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0.10.11\Ai본부\F.AI본부\2023년 12월\★오디텍\오디텍(최수민)_2312_CGU\1. 받은자료\1. 2020~2023 명세서\유무형자산\"/>
    </mc:Choice>
  </mc:AlternateContent>
  <bookViews>
    <workbookView xWindow="0" yWindow="0" windowWidth="28800" windowHeight="11610" tabRatio="895" firstSheet="1" activeTab="1"/>
  </bookViews>
  <sheets>
    <sheet name="감가상각분개" sheetId="2" state="hidden" r:id="rId1"/>
    <sheet name="유형자산" sheetId="3" r:id="rId2"/>
    <sheet name="토지" sheetId="4" state="hidden" r:id="rId3"/>
    <sheet name="건물(DM)" sheetId="5" state="hidden" r:id="rId4"/>
    <sheet name="건물(반도체)" sheetId="6" state="hidden" r:id="rId5"/>
    <sheet name="구축물(DM)" sheetId="7" state="hidden" r:id="rId6"/>
    <sheet name="구축물(반도체)" sheetId="8" state="hidden" r:id="rId7"/>
    <sheet name="기계설비(D&amp;M)" sheetId="9" state="hidden" r:id="rId8"/>
    <sheet name="기계설비(반도체)" sheetId="10" state="hidden" r:id="rId9"/>
    <sheet name="차량운반(D&amp;M)" sheetId="11" state="hidden" r:id="rId10"/>
    <sheet name="차량운반(반도체)" sheetId="12" state="hidden" r:id="rId11"/>
    <sheet name="공구와기구(D&amp;M)" sheetId="13" state="hidden" r:id="rId12"/>
    <sheet name="공구와기구(반도체)" sheetId="14" state="hidden" r:id="rId13"/>
    <sheet name="비품(D&amp;M)" sheetId="15" state="hidden" r:id="rId14"/>
    <sheet name="비품(반도체)" sheetId="16" state="hidden" r:id="rId15"/>
    <sheet name="무형자산-D&amp;M사업부" sheetId="17" r:id="rId16"/>
    <sheet name="무형자산분개" sheetId="18" state="hidden" r:id="rId17"/>
  </sheets>
  <definedNames>
    <definedName name="_xlnm._FilterDatabase" localSheetId="11" hidden="1">'공구와기구(D&amp;M)'!$A$4:$AA$447</definedName>
    <definedName name="_xlnm._FilterDatabase" localSheetId="12" hidden="1">'공구와기구(반도체)'!$A$4:$Q$4</definedName>
    <definedName name="_xlnm._FilterDatabase" localSheetId="7" hidden="1">'기계설비(D&amp;M)'!$A$4:$Y$240</definedName>
    <definedName name="_xlnm._FilterDatabase" localSheetId="8" hidden="1">'기계설비(반도체)'!$A$4:$Q$378</definedName>
    <definedName name="_xlnm._FilterDatabase" localSheetId="13" hidden="1">'비품(D&amp;M)'!$A$4:$Q$541</definedName>
    <definedName name="_xlnm._FilterDatabase" localSheetId="14" hidden="1">'비품(반도체)'!$A$4:$Q$463</definedName>
    <definedName name="_xlnm.Print_Area" localSheetId="3">'건물(DM)'!$A$1:$Q$14</definedName>
    <definedName name="_xlnm.Print_Area" localSheetId="4">'건물(반도체)'!$A$1:$Q$6</definedName>
    <definedName name="_xlnm.Print_Area" localSheetId="11">'공구와기구(D&amp;M)'!$A$1:$Q$447</definedName>
    <definedName name="_xlnm.Print_Area" localSheetId="12">'공구와기구(반도체)'!$A$1:$Q$201</definedName>
    <definedName name="_xlnm.Print_Area" localSheetId="5">'구축물(DM)'!$A$1:$Q$15</definedName>
    <definedName name="_xlnm.Print_Area" localSheetId="6">'구축물(반도체)'!$A$1:$Q$9</definedName>
    <definedName name="_xlnm.Print_Area" localSheetId="7">'기계설비(D&amp;M)'!$A$1:$Q$240</definedName>
    <definedName name="_xlnm.Print_Area" localSheetId="8">'기계설비(반도체)'!$A$1:$Q$378</definedName>
    <definedName name="_xlnm.Print_Area" localSheetId="13">'비품(D&amp;M)'!$A$1:$Q$537</definedName>
    <definedName name="_xlnm.Print_Area" localSheetId="14">'비품(반도체)'!$A$1:$Q$466</definedName>
    <definedName name="_xlnm.Print_Area" localSheetId="9">'차량운반(D&amp;M)'!$A$1:$Q$18</definedName>
    <definedName name="_xlnm.Print_Area" localSheetId="10">'차량운반(반도체)'!$A$1:$Q$10</definedName>
    <definedName name="_xlnm.Print_Area" localSheetId="2">토지!$A$1:$Q$13</definedName>
    <definedName name="_xlnm.Print_Titles" localSheetId="11">'공구와기구(D&amp;M)'!$1:$4</definedName>
    <definedName name="_xlnm.Print_Titles" localSheetId="12">'공구와기구(반도체)'!$1:$4</definedName>
    <definedName name="_xlnm.Print_Titles" localSheetId="7">'기계설비(D&amp;M)'!$1:$4</definedName>
    <definedName name="_xlnm.Print_Titles" localSheetId="8">'기계설비(반도체)'!$1:$4</definedName>
    <definedName name="_xlnm.Print_Titles" localSheetId="15">'무형자산-D&amp;M사업부'!$1:$4</definedName>
    <definedName name="_xlnm.Print_Titles" localSheetId="13">'비품(D&amp;M)'!$1:$4</definedName>
    <definedName name="_xlnm.Print_Titles" localSheetId="14">'비품(반도체)'!$1:$4</definedName>
  </definedNames>
  <calcPr calcId="162913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" l="1"/>
  <c r="H20" i="3"/>
  <c r="I20" i="3"/>
  <c r="E25" i="3" l="1"/>
  <c r="B25" i="3"/>
  <c r="F464" i="16" l="1"/>
  <c r="L535" i="15"/>
  <c r="M535" i="15" s="1"/>
  <c r="N535" i="15" s="1"/>
  <c r="F535" i="15"/>
  <c r="H535" i="15" s="1"/>
  <c r="F443" i="13"/>
  <c r="H443" i="13" s="1"/>
  <c r="F444" i="13"/>
  <c r="H444" i="13" s="1"/>
  <c r="F445" i="13"/>
  <c r="H445" i="13" s="1"/>
  <c r="L445" i="13" s="1"/>
  <c r="M445" i="13" s="1"/>
  <c r="N445" i="13" s="1"/>
  <c r="F376" i="10"/>
  <c r="F235" i="9"/>
  <c r="H235" i="9" s="1"/>
  <c r="F236" i="9"/>
  <c r="L236" i="9" s="1"/>
  <c r="M236" i="9" s="1"/>
  <c r="N236" i="9" s="1"/>
  <c r="H236" i="9"/>
  <c r="F237" i="9"/>
  <c r="H237" i="9" s="1"/>
  <c r="F238" i="9"/>
  <c r="H238" i="9" s="1"/>
  <c r="L443" i="13" l="1"/>
  <c r="M443" i="13" s="1"/>
  <c r="N443" i="13" s="1"/>
  <c r="L444" i="13"/>
  <c r="M444" i="13" s="1"/>
  <c r="N444" i="13" s="1"/>
  <c r="L237" i="9"/>
  <c r="M237" i="9" s="1"/>
  <c r="N237" i="9" s="1"/>
  <c r="L238" i="9"/>
  <c r="M238" i="9" s="1"/>
  <c r="N238" i="9" s="1"/>
  <c r="H376" i="10"/>
  <c r="L376" i="10" s="1"/>
  <c r="M376" i="10" s="1"/>
  <c r="N376" i="10" s="1"/>
  <c r="H464" i="16"/>
  <c r="L464" i="16" s="1"/>
  <c r="M464" i="16" s="1"/>
  <c r="N464" i="16" s="1"/>
  <c r="L235" i="9"/>
  <c r="M235" i="9" s="1"/>
  <c r="N235" i="9" s="1"/>
  <c r="F461" i="16" l="1"/>
  <c r="H461" i="16" l="1"/>
  <c r="L461" i="16" s="1"/>
  <c r="M461" i="16" s="1"/>
  <c r="N461" i="16" s="1"/>
  <c r="F460" i="16" l="1"/>
  <c r="H460" i="16" s="1"/>
  <c r="F462" i="16"/>
  <c r="F463" i="16"/>
  <c r="H463" i="16" s="1"/>
  <c r="F434" i="13"/>
  <c r="L434" i="13" s="1"/>
  <c r="M434" i="13" s="1"/>
  <c r="N434" i="13" s="1"/>
  <c r="H434" i="13"/>
  <c r="F435" i="13"/>
  <c r="H435" i="13" s="1"/>
  <c r="F436" i="13"/>
  <c r="H436" i="13" s="1"/>
  <c r="L436" i="13" s="1"/>
  <c r="M436" i="13" s="1"/>
  <c r="N436" i="13" s="1"/>
  <c r="F437" i="13"/>
  <c r="H437" i="13" s="1"/>
  <c r="L437" i="13" s="1"/>
  <c r="M437" i="13" s="1"/>
  <c r="N437" i="13" s="1"/>
  <c r="F438" i="13"/>
  <c r="H438" i="13"/>
  <c r="L438" i="13" s="1"/>
  <c r="M438" i="13" s="1"/>
  <c r="N438" i="13" s="1"/>
  <c r="F439" i="13"/>
  <c r="L439" i="13" s="1"/>
  <c r="M439" i="13" s="1"/>
  <c r="N439" i="13" s="1"/>
  <c r="H439" i="13"/>
  <c r="F440" i="13"/>
  <c r="L440" i="13" s="1"/>
  <c r="M440" i="13" s="1"/>
  <c r="N440" i="13" s="1"/>
  <c r="H440" i="13"/>
  <c r="F441" i="13"/>
  <c r="H441" i="13" s="1"/>
  <c r="F442" i="13"/>
  <c r="L442" i="13" s="1"/>
  <c r="M442" i="13" s="1"/>
  <c r="N442" i="13" s="1"/>
  <c r="H442" i="13"/>
  <c r="L232" i="9"/>
  <c r="M232" i="9" s="1"/>
  <c r="F234" i="9"/>
  <c r="H234" i="9" s="1"/>
  <c r="F233" i="9"/>
  <c r="H233" i="9" s="1"/>
  <c r="F232" i="9"/>
  <c r="H232" i="9" s="1"/>
  <c r="L435" i="13" l="1"/>
  <c r="M435" i="13" s="1"/>
  <c r="N435" i="13" s="1"/>
  <c r="L441" i="13"/>
  <c r="M441" i="13" s="1"/>
  <c r="N441" i="13" s="1"/>
  <c r="L233" i="9"/>
  <c r="M233" i="9" s="1"/>
  <c r="N233" i="9" s="1"/>
  <c r="N232" i="9"/>
  <c r="L234" i="9"/>
  <c r="M234" i="9" s="1"/>
  <c r="N234" i="9" s="1"/>
  <c r="L460" i="16"/>
  <c r="M460" i="16" s="1"/>
  <c r="N460" i="16" s="1"/>
  <c r="H462" i="16"/>
  <c r="L462" i="16" s="1"/>
  <c r="M462" i="16" s="1"/>
  <c r="N462" i="16" s="1"/>
  <c r="L463" i="16"/>
  <c r="M463" i="16" s="1"/>
  <c r="N463" i="16" s="1"/>
  <c r="I58" i="17"/>
  <c r="M58" i="17" s="1"/>
  <c r="N58" i="17" s="1"/>
  <c r="O58" i="17" s="1"/>
  <c r="G58" i="17"/>
  <c r="F533" i="15" l="1"/>
  <c r="H533" i="15" s="1"/>
  <c r="F534" i="15"/>
  <c r="L534" i="15" s="1"/>
  <c r="M534" i="15" s="1"/>
  <c r="N534" i="15" s="1"/>
  <c r="H534" i="15"/>
  <c r="F431" i="13"/>
  <c r="F432" i="13"/>
  <c r="H432" i="13" s="1"/>
  <c r="L432" i="13" s="1"/>
  <c r="M432" i="13" s="1"/>
  <c r="N432" i="13" s="1"/>
  <c r="F433" i="13"/>
  <c r="H433" i="13" s="1"/>
  <c r="L433" i="13" s="1"/>
  <c r="M433" i="13" s="1"/>
  <c r="N433" i="13" s="1"/>
  <c r="H374" i="10"/>
  <c r="L374" i="10" s="1"/>
  <c r="M374" i="10" s="1"/>
  <c r="N374" i="10" s="1"/>
  <c r="F373" i="10"/>
  <c r="F374" i="10"/>
  <c r="F375" i="10"/>
  <c r="H375" i="10" s="1"/>
  <c r="L375" i="10" s="1"/>
  <c r="M375" i="10" s="1"/>
  <c r="N375" i="10" s="1"/>
  <c r="F230" i="9"/>
  <c r="F231" i="9"/>
  <c r="H231" i="9" s="1"/>
  <c r="L231" i="9" s="1"/>
  <c r="M231" i="9" s="1"/>
  <c r="N231" i="9" s="1"/>
  <c r="L431" i="13" l="1"/>
  <c r="M431" i="13" s="1"/>
  <c r="N431" i="13" s="1"/>
  <c r="H431" i="13"/>
  <c r="H373" i="10"/>
  <c r="L373" i="10" s="1"/>
  <c r="M373" i="10" s="1"/>
  <c r="N373" i="10" s="1"/>
  <c r="L533" i="15"/>
  <c r="M533" i="15" s="1"/>
  <c r="N533" i="15" s="1"/>
  <c r="H230" i="9"/>
  <c r="L230" i="9" s="1"/>
  <c r="M230" i="9" s="1"/>
  <c r="N230" i="9" s="1"/>
  <c r="F229" i="9" l="1"/>
  <c r="H229" i="9" s="1"/>
  <c r="L229" i="9" s="1"/>
  <c r="M229" i="9" s="1"/>
  <c r="N229" i="9" s="1"/>
  <c r="D240" i="9"/>
  <c r="B10" i="3" s="1"/>
  <c r="F459" i="16"/>
  <c r="S459" i="16" s="1"/>
  <c r="F532" i="15"/>
  <c r="H532" i="15" s="1"/>
  <c r="F531" i="15"/>
  <c r="H531" i="15" s="1"/>
  <c r="F430" i="13"/>
  <c r="F429" i="13"/>
  <c r="H459" i="16" l="1"/>
  <c r="L459" i="16" s="1"/>
  <c r="M459" i="16" s="1"/>
  <c r="N459" i="16" s="1"/>
  <c r="V459" i="16"/>
  <c r="L532" i="15"/>
  <c r="M532" i="15" s="1"/>
  <c r="N532" i="15" s="1"/>
  <c r="L531" i="15"/>
  <c r="M531" i="15" s="1"/>
  <c r="N531" i="15" s="1"/>
  <c r="H430" i="13"/>
  <c r="L430" i="13" s="1"/>
  <c r="M430" i="13" s="1"/>
  <c r="N430" i="13" s="1"/>
  <c r="H429" i="13"/>
  <c r="L429" i="13" s="1"/>
  <c r="M429" i="13" s="1"/>
  <c r="N429" i="13" s="1"/>
  <c r="W459" i="16" l="1"/>
  <c r="X459" i="16" s="1"/>
  <c r="F530" i="15"/>
  <c r="H530" i="15" s="1"/>
  <c r="L530" i="15" s="1"/>
  <c r="M530" i="15" s="1"/>
  <c r="N530" i="15" s="1"/>
  <c r="F371" i="10"/>
  <c r="F372" i="10"/>
  <c r="H372" i="10" s="1"/>
  <c r="L372" i="10" s="1"/>
  <c r="M372" i="10" s="1"/>
  <c r="N372" i="10" s="1"/>
  <c r="M44" i="10"/>
  <c r="E18" i="18"/>
  <c r="F424" i="13"/>
  <c r="H424" i="13" s="1"/>
  <c r="F425" i="13"/>
  <c r="H425" i="13" s="1"/>
  <c r="F426" i="13"/>
  <c r="H426" i="13" s="1"/>
  <c r="L426" i="13" s="1"/>
  <c r="M426" i="13" s="1"/>
  <c r="N426" i="13" s="1"/>
  <c r="F427" i="13"/>
  <c r="H427" i="13"/>
  <c r="F428" i="13"/>
  <c r="H428" i="13" s="1"/>
  <c r="F227" i="9"/>
  <c r="H227" i="9" s="1"/>
  <c r="L227" i="9" s="1"/>
  <c r="M227" i="9" s="1"/>
  <c r="N227" i="9" s="1"/>
  <c r="F228" i="9"/>
  <c r="H228" i="9" s="1"/>
  <c r="L228" i="9" s="1"/>
  <c r="M228" i="9" s="1"/>
  <c r="N228" i="9" s="1"/>
  <c r="F12" i="5"/>
  <c r="L12" i="5" s="1"/>
  <c r="M12" i="5" s="1"/>
  <c r="N12" i="5" s="1"/>
  <c r="F11" i="4"/>
  <c r="N11" i="4" s="1"/>
  <c r="E35" i="18"/>
  <c r="E10" i="18"/>
  <c r="G57" i="17"/>
  <c r="I57" i="17" s="1"/>
  <c r="M57" i="17" s="1"/>
  <c r="A6" i="17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G85" i="17"/>
  <c r="G56" i="17"/>
  <c r="I56" i="17" s="1"/>
  <c r="M56" i="17" s="1"/>
  <c r="N56" i="17" s="1"/>
  <c r="O56" i="17" s="1"/>
  <c r="F520" i="15"/>
  <c r="H520" i="15" s="1"/>
  <c r="F521" i="15"/>
  <c r="F522" i="15"/>
  <c r="F523" i="15"/>
  <c r="F524" i="15"/>
  <c r="H524" i="15" s="1"/>
  <c r="F525" i="15"/>
  <c r="F526" i="15"/>
  <c r="F527" i="15"/>
  <c r="F528" i="15"/>
  <c r="H528" i="15" s="1"/>
  <c r="F529" i="15"/>
  <c r="F419" i="13"/>
  <c r="H419" i="13"/>
  <c r="L419" i="13" s="1"/>
  <c r="M419" i="13" s="1"/>
  <c r="N419" i="13" s="1"/>
  <c r="F420" i="13"/>
  <c r="H420" i="13" s="1"/>
  <c r="F421" i="13"/>
  <c r="F422" i="13"/>
  <c r="F423" i="13"/>
  <c r="H423" i="13"/>
  <c r="L423" i="13" s="1"/>
  <c r="M423" i="13" s="1"/>
  <c r="N423" i="13" s="1"/>
  <c r="F226" i="9"/>
  <c r="F8" i="4"/>
  <c r="H8" i="4" s="1"/>
  <c r="G55" i="17"/>
  <c r="I55" i="17" s="1"/>
  <c r="T55" i="17" s="1"/>
  <c r="U55" i="17" s="1"/>
  <c r="G50" i="17"/>
  <c r="I50" i="17" s="1"/>
  <c r="G51" i="17"/>
  <c r="G52" i="17"/>
  <c r="I52" i="17" s="1"/>
  <c r="M52" i="17" s="1"/>
  <c r="G53" i="17"/>
  <c r="I53" i="17" s="1"/>
  <c r="G54" i="17"/>
  <c r="I54" i="17" s="1"/>
  <c r="R54" i="17" s="1"/>
  <c r="F509" i="15"/>
  <c r="F510" i="15"/>
  <c r="H510" i="15" s="1"/>
  <c r="L510" i="15" s="1"/>
  <c r="M510" i="15" s="1"/>
  <c r="N510" i="15" s="1"/>
  <c r="F511" i="15"/>
  <c r="F512" i="15"/>
  <c r="H512" i="15" s="1"/>
  <c r="F513" i="15"/>
  <c r="F514" i="15"/>
  <c r="H514" i="15" s="1"/>
  <c r="L514" i="15" s="1"/>
  <c r="M514" i="15" s="1"/>
  <c r="N514" i="15" s="1"/>
  <c r="F515" i="15"/>
  <c r="F516" i="15"/>
  <c r="H516" i="15" s="1"/>
  <c r="F517" i="15"/>
  <c r="H517" i="15" s="1"/>
  <c r="F518" i="15"/>
  <c r="F519" i="15"/>
  <c r="F369" i="10"/>
  <c r="H369" i="10" s="1"/>
  <c r="F370" i="10"/>
  <c r="F225" i="9"/>
  <c r="H225" i="9" s="1"/>
  <c r="F5" i="15"/>
  <c r="V5" i="15" s="1"/>
  <c r="F6" i="15"/>
  <c r="F7" i="15"/>
  <c r="V7" i="15" s="1"/>
  <c r="F8" i="15"/>
  <c r="H8" i="15" s="1"/>
  <c r="W8" i="15" s="1"/>
  <c r="X8" i="15" s="1"/>
  <c r="F9" i="15"/>
  <c r="H9" i="15" s="1"/>
  <c r="W9" i="15" s="1"/>
  <c r="X9" i="15" s="1"/>
  <c r="F10" i="15"/>
  <c r="F11" i="15"/>
  <c r="V11" i="15" s="1"/>
  <c r="F12" i="15"/>
  <c r="V12" i="15" s="1"/>
  <c r="F13" i="15"/>
  <c r="F14" i="15"/>
  <c r="V14" i="15" s="1"/>
  <c r="F15" i="15"/>
  <c r="V15" i="15" s="1"/>
  <c r="F16" i="15"/>
  <c r="V16" i="15" s="1"/>
  <c r="F17" i="15"/>
  <c r="F18" i="15"/>
  <c r="V18" i="15" s="1"/>
  <c r="F19" i="15"/>
  <c r="H19" i="15" s="1"/>
  <c r="W19" i="15" s="1"/>
  <c r="X19" i="15" s="1"/>
  <c r="F20" i="15"/>
  <c r="F21" i="15"/>
  <c r="V21" i="15" s="1"/>
  <c r="F22" i="15"/>
  <c r="F23" i="15"/>
  <c r="V23" i="15" s="1"/>
  <c r="F24" i="15"/>
  <c r="H24" i="15" s="1"/>
  <c r="F25" i="15"/>
  <c r="F26" i="15"/>
  <c r="F27" i="15"/>
  <c r="H27" i="15" s="1"/>
  <c r="W27" i="15" s="1"/>
  <c r="X27" i="15" s="1"/>
  <c r="F28" i="15"/>
  <c r="V28" i="15" s="1"/>
  <c r="F29" i="15"/>
  <c r="F30" i="15"/>
  <c r="F31" i="15"/>
  <c r="V31" i="15" s="1"/>
  <c r="F32" i="15"/>
  <c r="H32" i="15" s="1"/>
  <c r="W32" i="15" s="1"/>
  <c r="X32" i="15" s="1"/>
  <c r="F33" i="15"/>
  <c r="H33" i="15" s="1"/>
  <c r="W33" i="15" s="1"/>
  <c r="X33" i="15" s="1"/>
  <c r="F34" i="15"/>
  <c r="F35" i="15"/>
  <c r="F36" i="15"/>
  <c r="V36" i="15" s="1"/>
  <c r="F37" i="15"/>
  <c r="F38" i="15"/>
  <c r="H38" i="15" s="1"/>
  <c r="W38" i="15" s="1"/>
  <c r="X38" i="15" s="1"/>
  <c r="F39" i="15"/>
  <c r="H39" i="15" s="1"/>
  <c r="W39" i="15" s="1"/>
  <c r="X39" i="15" s="1"/>
  <c r="F40" i="15"/>
  <c r="N40" i="15" s="1"/>
  <c r="R40" i="15" s="1"/>
  <c r="F42" i="15"/>
  <c r="V42" i="15" s="1"/>
  <c r="F43" i="15"/>
  <c r="V43" i="15" s="1"/>
  <c r="F44" i="15"/>
  <c r="F45" i="15"/>
  <c r="F46" i="15"/>
  <c r="F47" i="15"/>
  <c r="F48" i="15"/>
  <c r="F49" i="15"/>
  <c r="V49" i="15" s="1"/>
  <c r="F50" i="15"/>
  <c r="H50" i="15" s="1"/>
  <c r="W50" i="15" s="1"/>
  <c r="X50" i="15" s="1"/>
  <c r="F51" i="15"/>
  <c r="F53" i="15"/>
  <c r="F54" i="15"/>
  <c r="V54" i="15" s="1"/>
  <c r="F55" i="15"/>
  <c r="F56" i="15"/>
  <c r="F57" i="15"/>
  <c r="H57" i="15" s="1"/>
  <c r="W57" i="15" s="1"/>
  <c r="X57" i="15" s="1"/>
  <c r="F58" i="15"/>
  <c r="F59" i="15"/>
  <c r="H59" i="15" s="1"/>
  <c r="W59" i="15" s="1"/>
  <c r="X59" i="15" s="1"/>
  <c r="F60" i="15"/>
  <c r="F61" i="15"/>
  <c r="V61" i="15" s="1"/>
  <c r="F62" i="15"/>
  <c r="V62" i="15" s="1"/>
  <c r="F63" i="15"/>
  <c r="F64" i="15"/>
  <c r="V64" i="15" s="1"/>
  <c r="F65" i="15"/>
  <c r="H65" i="15" s="1"/>
  <c r="W65" i="15" s="1"/>
  <c r="X65" i="15" s="1"/>
  <c r="F66" i="15"/>
  <c r="F67" i="15"/>
  <c r="V67" i="15" s="1"/>
  <c r="F68" i="15"/>
  <c r="V68" i="15" s="1"/>
  <c r="F69" i="15"/>
  <c r="V69" i="15" s="1"/>
  <c r="F70" i="15"/>
  <c r="F71" i="15"/>
  <c r="H71" i="15" s="1"/>
  <c r="W71" i="15" s="1"/>
  <c r="X71" i="15" s="1"/>
  <c r="F72" i="15"/>
  <c r="F73" i="15"/>
  <c r="F74" i="15"/>
  <c r="F75" i="15"/>
  <c r="F76" i="15"/>
  <c r="F77" i="15"/>
  <c r="H77" i="15" s="1"/>
  <c r="W77" i="15" s="1"/>
  <c r="X77" i="15" s="1"/>
  <c r="F78" i="15"/>
  <c r="H78" i="15" s="1"/>
  <c r="W78" i="15" s="1"/>
  <c r="X78" i="15" s="1"/>
  <c r="F79" i="15"/>
  <c r="F80" i="15"/>
  <c r="V80" i="15" s="1"/>
  <c r="F81" i="15"/>
  <c r="H81" i="15" s="1"/>
  <c r="W81" i="15" s="1"/>
  <c r="X81" i="15" s="1"/>
  <c r="F82" i="15"/>
  <c r="V82" i="15" s="1"/>
  <c r="F83" i="15"/>
  <c r="H83" i="15" s="1"/>
  <c r="F84" i="15"/>
  <c r="F85" i="15"/>
  <c r="H85" i="15" s="1"/>
  <c r="W85" i="15" s="1"/>
  <c r="X85" i="15" s="1"/>
  <c r="F86" i="15"/>
  <c r="H86" i="15" s="1"/>
  <c r="W86" i="15" s="1"/>
  <c r="X86" i="15" s="1"/>
  <c r="F87" i="15"/>
  <c r="V87" i="15" s="1"/>
  <c r="F88" i="15"/>
  <c r="F89" i="15"/>
  <c r="F90" i="15"/>
  <c r="F91" i="15"/>
  <c r="F92" i="15"/>
  <c r="V92" i="15" s="1"/>
  <c r="F93" i="15"/>
  <c r="H93" i="15" s="1"/>
  <c r="W93" i="15" s="1"/>
  <c r="X93" i="15" s="1"/>
  <c r="F94" i="15"/>
  <c r="F95" i="15"/>
  <c r="F96" i="15"/>
  <c r="F97" i="15"/>
  <c r="V97" i="15" s="1"/>
  <c r="F98" i="15"/>
  <c r="F99" i="15"/>
  <c r="F100" i="15"/>
  <c r="H100" i="15" s="1"/>
  <c r="W100" i="15" s="1"/>
  <c r="X100" i="15" s="1"/>
  <c r="F101" i="15"/>
  <c r="H101" i="15" s="1"/>
  <c r="W101" i="15" s="1"/>
  <c r="X101" i="15" s="1"/>
  <c r="F102" i="15"/>
  <c r="F103" i="15"/>
  <c r="F104" i="15"/>
  <c r="H104" i="15" s="1"/>
  <c r="W104" i="15" s="1"/>
  <c r="X104" i="15" s="1"/>
  <c r="F105" i="15"/>
  <c r="F106" i="15"/>
  <c r="F107" i="15"/>
  <c r="H107" i="15" s="1"/>
  <c r="W107" i="15" s="1"/>
  <c r="X107" i="15" s="1"/>
  <c r="F108" i="15"/>
  <c r="F109" i="15"/>
  <c r="F110" i="15"/>
  <c r="V110" i="15" s="1"/>
  <c r="F111" i="15"/>
  <c r="F112" i="15"/>
  <c r="H112" i="15" s="1"/>
  <c r="W112" i="15" s="1"/>
  <c r="X112" i="15" s="1"/>
  <c r="F113" i="15"/>
  <c r="F114" i="15"/>
  <c r="F115" i="15"/>
  <c r="F116" i="15"/>
  <c r="V116" i="15" s="1"/>
  <c r="F117" i="15"/>
  <c r="F118" i="15"/>
  <c r="F119" i="15"/>
  <c r="F120" i="15"/>
  <c r="F122" i="15"/>
  <c r="H122" i="15" s="1"/>
  <c r="W122" i="15" s="1"/>
  <c r="X122" i="15" s="1"/>
  <c r="F123" i="15"/>
  <c r="F124" i="15"/>
  <c r="F125" i="15"/>
  <c r="H125" i="15" s="1"/>
  <c r="W125" i="15" s="1"/>
  <c r="X125" i="15" s="1"/>
  <c r="F126" i="15"/>
  <c r="H126" i="15" s="1"/>
  <c r="W126" i="15" s="1"/>
  <c r="X126" i="15" s="1"/>
  <c r="F127" i="15"/>
  <c r="V127" i="15" s="1"/>
  <c r="F128" i="15"/>
  <c r="V128" i="15" s="1"/>
  <c r="F129" i="15"/>
  <c r="F130" i="15"/>
  <c r="H130" i="15" s="1"/>
  <c r="W130" i="15" s="1"/>
  <c r="X130" i="15" s="1"/>
  <c r="F131" i="15"/>
  <c r="F132" i="15"/>
  <c r="F133" i="15"/>
  <c r="V133" i="15" s="1"/>
  <c r="F134" i="15"/>
  <c r="F135" i="15"/>
  <c r="V135" i="15" s="1"/>
  <c r="F136" i="15"/>
  <c r="N136" i="15" s="1"/>
  <c r="R136" i="15" s="1"/>
  <c r="F137" i="15"/>
  <c r="H137" i="15" s="1"/>
  <c r="W137" i="15" s="1"/>
  <c r="X137" i="15" s="1"/>
  <c r="F138" i="15"/>
  <c r="F139" i="15"/>
  <c r="V139" i="15" s="1"/>
  <c r="F140" i="15"/>
  <c r="V140" i="15" s="1"/>
  <c r="F141" i="15"/>
  <c r="H141" i="15" s="1"/>
  <c r="W141" i="15" s="1"/>
  <c r="X141" i="15" s="1"/>
  <c r="F142" i="15"/>
  <c r="F143" i="15"/>
  <c r="F144" i="15"/>
  <c r="F145" i="15"/>
  <c r="F146" i="15"/>
  <c r="F147" i="15"/>
  <c r="H147" i="15" s="1"/>
  <c r="W147" i="15" s="1"/>
  <c r="X147" i="15" s="1"/>
  <c r="F148" i="15"/>
  <c r="V148" i="15" s="1"/>
  <c r="F149" i="15"/>
  <c r="H149" i="15" s="1"/>
  <c r="W149" i="15" s="1"/>
  <c r="X149" i="15" s="1"/>
  <c r="F150" i="15"/>
  <c r="H150" i="15" s="1"/>
  <c r="F151" i="15"/>
  <c r="F152" i="15"/>
  <c r="F153" i="15"/>
  <c r="F154" i="15"/>
  <c r="V154" i="15" s="1"/>
  <c r="F155" i="15"/>
  <c r="F156" i="15"/>
  <c r="H156" i="15" s="1"/>
  <c r="W156" i="15" s="1"/>
  <c r="X156" i="15" s="1"/>
  <c r="F157" i="15"/>
  <c r="V157" i="15" s="1"/>
  <c r="F158" i="15"/>
  <c r="F159" i="15"/>
  <c r="F160" i="15"/>
  <c r="V160" i="15" s="1"/>
  <c r="F161" i="15"/>
  <c r="H161" i="15" s="1"/>
  <c r="W161" i="15" s="1"/>
  <c r="X161" i="15" s="1"/>
  <c r="F162" i="15"/>
  <c r="V162" i="15" s="1"/>
  <c r="F163" i="15"/>
  <c r="V163" i="15" s="1"/>
  <c r="F164" i="15"/>
  <c r="H164" i="15" s="1"/>
  <c r="W164" i="15" s="1"/>
  <c r="X164" i="15" s="1"/>
  <c r="F165" i="15"/>
  <c r="V165" i="15" s="1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V180" i="15" s="1"/>
  <c r="F181" i="15"/>
  <c r="F182" i="15"/>
  <c r="F183" i="15"/>
  <c r="H183" i="15" s="1"/>
  <c r="W183" i="15" s="1"/>
  <c r="X183" i="15" s="1"/>
  <c r="F184" i="15"/>
  <c r="F185" i="15"/>
  <c r="H185" i="15" s="1"/>
  <c r="W185" i="15" s="1"/>
  <c r="X185" i="15" s="1"/>
  <c r="F186" i="15"/>
  <c r="H186" i="15" s="1"/>
  <c r="W186" i="15" s="1"/>
  <c r="X186" i="15" s="1"/>
  <c r="F187" i="15"/>
  <c r="F188" i="15"/>
  <c r="H188" i="15" s="1"/>
  <c r="W188" i="15" s="1"/>
  <c r="X188" i="15" s="1"/>
  <c r="F189" i="15"/>
  <c r="F190" i="15"/>
  <c r="V190" i="15" s="1"/>
  <c r="F191" i="15"/>
  <c r="F192" i="15"/>
  <c r="H192" i="15" s="1"/>
  <c r="W192" i="15" s="1"/>
  <c r="X192" i="15" s="1"/>
  <c r="F193" i="15"/>
  <c r="F194" i="15"/>
  <c r="V194" i="15" s="1"/>
  <c r="F195" i="15"/>
  <c r="F196" i="15"/>
  <c r="H196" i="15" s="1"/>
  <c r="L196" i="15" s="1"/>
  <c r="F197" i="15"/>
  <c r="F198" i="15"/>
  <c r="V198" i="15" s="1"/>
  <c r="F199" i="15"/>
  <c r="F200" i="15"/>
  <c r="H200" i="15" s="1"/>
  <c r="F201" i="15"/>
  <c r="F202" i="15"/>
  <c r="F203" i="15"/>
  <c r="H203" i="15" s="1"/>
  <c r="W203" i="15" s="1"/>
  <c r="F204" i="15"/>
  <c r="V204" i="15" s="1"/>
  <c r="F205" i="15"/>
  <c r="F206" i="15"/>
  <c r="F207" i="15"/>
  <c r="H207" i="15" s="1"/>
  <c r="W207" i="15" s="1"/>
  <c r="F208" i="15"/>
  <c r="V208" i="15" s="1"/>
  <c r="F209" i="15"/>
  <c r="F210" i="15"/>
  <c r="F211" i="15"/>
  <c r="F212" i="15"/>
  <c r="H212" i="15" s="1"/>
  <c r="W212" i="15" s="1"/>
  <c r="X212" i="15" s="1"/>
  <c r="F213" i="15"/>
  <c r="V213" i="15" s="1"/>
  <c r="F214" i="15"/>
  <c r="V214" i="15" s="1"/>
  <c r="F215" i="15"/>
  <c r="H215" i="15" s="1"/>
  <c r="F216" i="15"/>
  <c r="F217" i="15"/>
  <c r="F218" i="15"/>
  <c r="F219" i="15"/>
  <c r="F220" i="15"/>
  <c r="H220" i="15" s="1"/>
  <c r="W220" i="15" s="1"/>
  <c r="F221" i="15"/>
  <c r="F222" i="15"/>
  <c r="V222" i="15" s="1"/>
  <c r="F223" i="15"/>
  <c r="F224" i="15"/>
  <c r="F225" i="15"/>
  <c r="V225" i="15" s="1"/>
  <c r="F226" i="15"/>
  <c r="F227" i="15"/>
  <c r="H227" i="15" s="1"/>
  <c r="F228" i="15"/>
  <c r="V228" i="15" s="1"/>
  <c r="F229" i="15"/>
  <c r="F230" i="15"/>
  <c r="V230" i="15" s="1"/>
  <c r="F231" i="15"/>
  <c r="V231" i="15" s="1"/>
  <c r="F232" i="15"/>
  <c r="H232" i="15" s="1"/>
  <c r="F233" i="15"/>
  <c r="V233" i="15" s="1"/>
  <c r="F234" i="15"/>
  <c r="V234" i="15" s="1"/>
  <c r="F235" i="15"/>
  <c r="F236" i="15"/>
  <c r="H236" i="15" s="1"/>
  <c r="W236" i="15" s="1"/>
  <c r="F237" i="15"/>
  <c r="F238" i="15"/>
  <c r="F239" i="15"/>
  <c r="V239" i="15" s="1"/>
  <c r="F240" i="15"/>
  <c r="V240" i="15" s="1"/>
  <c r="F241" i="15"/>
  <c r="F242" i="15"/>
  <c r="F243" i="15"/>
  <c r="F244" i="15"/>
  <c r="H244" i="15" s="1"/>
  <c r="W244" i="15" s="1"/>
  <c r="F245" i="15"/>
  <c r="F246" i="15"/>
  <c r="V246" i="15" s="1"/>
  <c r="F247" i="15"/>
  <c r="H247" i="15" s="1"/>
  <c r="W247" i="15" s="1"/>
  <c r="F248" i="15"/>
  <c r="F249" i="15"/>
  <c r="F250" i="15"/>
  <c r="H250" i="15" s="1"/>
  <c r="W250" i="15" s="1"/>
  <c r="F251" i="15"/>
  <c r="V251" i="15" s="1"/>
  <c r="F252" i="15"/>
  <c r="V252" i="15" s="1"/>
  <c r="F253" i="15"/>
  <c r="H253" i="15" s="1"/>
  <c r="F254" i="15"/>
  <c r="F255" i="15"/>
  <c r="F256" i="15"/>
  <c r="F257" i="15"/>
  <c r="V257" i="15" s="1"/>
  <c r="F258" i="15"/>
  <c r="H258" i="15" s="1"/>
  <c r="W258" i="15" s="1"/>
  <c r="F259" i="15"/>
  <c r="F260" i="15"/>
  <c r="V260" i="15" s="1"/>
  <c r="F261" i="15"/>
  <c r="F262" i="15"/>
  <c r="F263" i="15"/>
  <c r="V263" i="15" s="1"/>
  <c r="F264" i="15"/>
  <c r="F265" i="15"/>
  <c r="F266" i="15"/>
  <c r="H266" i="15" s="1"/>
  <c r="F267" i="15"/>
  <c r="F268" i="15"/>
  <c r="V268" i="15" s="1"/>
  <c r="F269" i="15"/>
  <c r="F270" i="15"/>
  <c r="F271" i="15"/>
  <c r="F272" i="15"/>
  <c r="H272" i="15" s="1"/>
  <c r="F273" i="15"/>
  <c r="F274" i="15"/>
  <c r="H274" i="15" s="1"/>
  <c r="L274" i="15" s="1"/>
  <c r="F275" i="15"/>
  <c r="F276" i="15"/>
  <c r="V276" i="15" s="1"/>
  <c r="F277" i="15"/>
  <c r="F278" i="15"/>
  <c r="V278" i="15" s="1"/>
  <c r="F279" i="15"/>
  <c r="F280" i="15"/>
  <c r="H280" i="15" s="1"/>
  <c r="L280" i="15" s="1"/>
  <c r="M280" i="15" s="1"/>
  <c r="N280" i="15" s="1"/>
  <c r="F281" i="15"/>
  <c r="V281" i="15" s="1"/>
  <c r="F282" i="15"/>
  <c r="F283" i="15"/>
  <c r="V283" i="15" s="1"/>
  <c r="F284" i="15"/>
  <c r="H284" i="15" s="1"/>
  <c r="F285" i="15"/>
  <c r="H285" i="15" s="1"/>
  <c r="W285" i="15" s="1"/>
  <c r="F286" i="15"/>
  <c r="F287" i="15"/>
  <c r="F288" i="15"/>
  <c r="H288" i="15" s="1"/>
  <c r="W288" i="15" s="1"/>
  <c r="F289" i="15"/>
  <c r="H289" i="15" s="1"/>
  <c r="W289" i="15" s="1"/>
  <c r="F290" i="15"/>
  <c r="V290" i="15" s="1"/>
  <c r="F291" i="15"/>
  <c r="F292" i="15"/>
  <c r="H292" i="15" s="1"/>
  <c r="L292" i="15" s="1"/>
  <c r="M292" i="15" s="1"/>
  <c r="N292" i="15" s="1"/>
  <c r="F293" i="15"/>
  <c r="F294" i="15"/>
  <c r="H294" i="15" s="1"/>
  <c r="F295" i="15"/>
  <c r="V295" i="15" s="1"/>
  <c r="F296" i="15"/>
  <c r="N296" i="15" s="1"/>
  <c r="F297" i="15"/>
  <c r="H297" i="15" s="1"/>
  <c r="L297" i="15" s="1"/>
  <c r="F298" i="15"/>
  <c r="H298" i="15" s="1"/>
  <c r="F299" i="15"/>
  <c r="V299" i="15" s="1"/>
  <c r="F300" i="15"/>
  <c r="H300" i="15" s="1"/>
  <c r="W300" i="15" s="1"/>
  <c r="F301" i="15"/>
  <c r="F302" i="15"/>
  <c r="V302" i="15" s="1"/>
  <c r="F303" i="15"/>
  <c r="F304" i="15"/>
  <c r="V304" i="15" s="1"/>
  <c r="F305" i="15"/>
  <c r="F306" i="15"/>
  <c r="F307" i="15"/>
  <c r="V307" i="15" s="1"/>
  <c r="F308" i="15"/>
  <c r="H308" i="15" s="1"/>
  <c r="F309" i="15"/>
  <c r="V309" i="15" s="1"/>
  <c r="F310" i="15"/>
  <c r="H310" i="15" s="1"/>
  <c r="F311" i="15"/>
  <c r="V311" i="15" s="1"/>
  <c r="F312" i="15"/>
  <c r="V312" i="15" s="1"/>
  <c r="F313" i="15"/>
  <c r="V313" i="15" s="1"/>
  <c r="F314" i="15"/>
  <c r="F315" i="15"/>
  <c r="F316" i="15"/>
  <c r="V316" i="15" s="1"/>
  <c r="F317" i="15"/>
  <c r="F318" i="15"/>
  <c r="F319" i="15"/>
  <c r="F320" i="15"/>
  <c r="F321" i="15"/>
  <c r="H321" i="15" s="1"/>
  <c r="L321" i="15" s="1"/>
  <c r="F322" i="15"/>
  <c r="F323" i="15"/>
  <c r="V323" i="15" s="1"/>
  <c r="F324" i="15"/>
  <c r="H324" i="15" s="1"/>
  <c r="W324" i="15" s="1"/>
  <c r="F325" i="15"/>
  <c r="H325" i="15" s="1"/>
  <c r="W325" i="15" s="1"/>
  <c r="F326" i="15"/>
  <c r="F327" i="15"/>
  <c r="H327" i="15" s="1"/>
  <c r="F328" i="15"/>
  <c r="F329" i="15"/>
  <c r="F330" i="15"/>
  <c r="V330" i="15" s="1"/>
  <c r="F331" i="15"/>
  <c r="F332" i="15"/>
  <c r="H332" i="15" s="1"/>
  <c r="F333" i="15"/>
  <c r="V333" i="15" s="1"/>
  <c r="F334" i="15"/>
  <c r="H334" i="15" s="1"/>
  <c r="V335" i="15"/>
  <c r="V336" i="15"/>
  <c r="V337" i="15"/>
  <c r="F338" i="15"/>
  <c r="F339" i="15"/>
  <c r="V339" i="15" s="1"/>
  <c r="F340" i="15"/>
  <c r="V340" i="15" s="1"/>
  <c r="F341" i="15"/>
  <c r="V341" i="15" s="1"/>
  <c r="F342" i="15"/>
  <c r="H342" i="15" s="1"/>
  <c r="L342" i="15" s="1"/>
  <c r="M342" i="15" s="1"/>
  <c r="N342" i="15" s="1"/>
  <c r="F343" i="15"/>
  <c r="F344" i="15"/>
  <c r="F345" i="15"/>
  <c r="V345" i="15" s="1"/>
  <c r="F346" i="15"/>
  <c r="F347" i="15"/>
  <c r="F348" i="15"/>
  <c r="H348" i="15" s="1"/>
  <c r="F349" i="15"/>
  <c r="F350" i="15"/>
  <c r="F351" i="15"/>
  <c r="H351" i="15" s="1"/>
  <c r="F352" i="15"/>
  <c r="V352" i="15" s="1"/>
  <c r="F353" i="15"/>
  <c r="V353" i="15" s="1"/>
  <c r="F354" i="15"/>
  <c r="F355" i="15"/>
  <c r="F356" i="15"/>
  <c r="H356" i="15" s="1"/>
  <c r="F357" i="15"/>
  <c r="V357" i="15" s="1"/>
  <c r="F358" i="15"/>
  <c r="F359" i="15"/>
  <c r="F360" i="15"/>
  <c r="F361" i="15"/>
  <c r="H361" i="15" s="1"/>
  <c r="F362" i="15"/>
  <c r="V362" i="15" s="1"/>
  <c r="F363" i="15"/>
  <c r="V363" i="15" s="1"/>
  <c r="F364" i="15"/>
  <c r="H364" i="15" s="1"/>
  <c r="F365" i="15"/>
  <c r="F366" i="15"/>
  <c r="H366" i="15" s="1"/>
  <c r="F367" i="15"/>
  <c r="F368" i="15"/>
  <c r="F369" i="15"/>
  <c r="V369" i="15" s="1"/>
  <c r="F370" i="15"/>
  <c r="V370" i="15" s="1"/>
  <c r="F371" i="15"/>
  <c r="V371" i="15" s="1"/>
  <c r="F372" i="15"/>
  <c r="V372" i="15" s="1"/>
  <c r="F373" i="15"/>
  <c r="F374" i="15"/>
  <c r="H374" i="15" s="1"/>
  <c r="F375" i="15"/>
  <c r="H375" i="15" s="1"/>
  <c r="F376" i="15"/>
  <c r="V376" i="15" s="1"/>
  <c r="F377" i="15"/>
  <c r="F378" i="15"/>
  <c r="H378" i="15" s="1"/>
  <c r="F379" i="15"/>
  <c r="H379" i="15" s="1"/>
  <c r="L379" i="15" s="1"/>
  <c r="F380" i="15"/>
  <c r="H380" i="15" s="1"/>
  <c r="W380" i="15" s="1"/>
  <c r="F381" i="15"/>
  <c r="V381" i="15" s="1"/>
  <c r="F382" i="15"/>
  <c r="F383" i="15"/>
  <c r="H383" i="15" s="1"/>
  <c r="F384" i="15"/>
  <c r="V384" i="15" s="1"/>
  <c r="F385" i="15"/>
  <c r="F386" i="15"/>
  <c r="V386" i="15" s="1"/>
  <c r="F387" i="15"/>
  <c r="F388" i="15"/>
  <c r="V388" i="15" s="1"/>
  <c r="F389" i="15"/>
  <c r="F390" i="15"/>
  <c r="H390" i="15" s="1"/>
  <c r="W390" i="15" s="1"/>
  <c r="F391" i="15"/>
  <c r="F392" i="15"/>
  <c r="V392" i="15" s="1"/>
  <c r="F393" i="15"/>
  <c r="F394" i="15"/>
  <c r="H394" i="15" s="1"/>
  <c r="W394" i="15" s="1"/>
  <c r="F395" i="15"/>
  <c r="F396" i="15"/>
  <c r="V396" i="15" s="1"/>
  <c r="F397" i="15"/>
  <c r="H397" i="15" s="1"/>
  <c r="W397" i="15" s="1"/>
  <c r="F398" i="15"/>
  <c r="H398" i="15" s="1"/>
  <c r="W398" i="15" s="1"/>
  <c r="F399" i="15"/>
  <c r="V399" i="15" s="1"/>
  <c r="F400" i="15"/>
  <c r="V400" i="15" s="1"/>
  <c r="F401" i="15"/>
  <c r="V401" i="15" s="1"/>
  <c r="F402" i="15"/>
  <c r="F403" i="15"/>
  <c r="F404" i="15"/>
  <c r="V404" i="15" s="1"/>
  <c r="F405" i="15"/>
  <c r="H405" i="15" s="1"/>
  <c r="F406" i="15"/>
  <c r="F407" i="15"/>
  <c r="F408" i="15"/>
  <c r="V408" i="15" s="1"/>
  <c r="F409" i="15"/>
  <c r="F410" i="15"/>
  <c r="F411" i="15"/>
  <c r="H411" i="15" s="1"/>
  <c r="F412" i="15"/>
  <c r="H412" i="15" s="1"/>
  <c r="L412" i="15" s="1"/>
  <c r="M412" i="15" s="1"/>
  <c r="N412" i="15" s="1"/>
  <c r="F413" i="15"/>
  <c r="V413" i="15" s="1"/>
  <c r="F414" i="15"/>
  <c r="F415" i="15"/>
  <c r="F416" i="15"/>
  <c r="V416" i="15" s="1"/>
  <c r="F417" i="15"/>
  <c r="F418" i="15"/>
  <c r="F419" i="15"/>
  <c r="F420" i="15"/>
  <c r="V420" i="15" s="1"/>
  <c r="F421" i="15"/>
  <c r="V421" i="15" s="1"/>
  <c r="F422" i="15"/>
  <c r="V422" i="15" s="1"/>
  <c r="F423" i="15"/>
  <c r="V423" i="15" s="1"/>
  <c r="F424" i="15"/>
  <c r="F425" i="15"/>
  <c r="F426" i="15"/>
  <c r="F427" i="15"/>
  <c r="H427" i="15" s="1"/>
  <c r="W427" i="15" s="1"/>
  <c r="F428" i="15"/>
  <c r="F429" i="15"/>
  <c r="F430" i="15"/>
  <c r="F431" i="15"/>
  <c r="F432" i="15"/>
  <c r="H432" i="15" s="1"/>
  <c r="F433" i="15"/>
  <c r="V433" i="15" s="1"/>
  <c r="F434" i="15"/>
  <c r="F435" i="15"/>
  <c r="F436" i="15"/>
  <c r="V436" i="15" s="1"/>
  <c r="F437" i="15"/>
  <c r="F438" i="15"/>
  <c r="H438" i="15" s="1"/>
  <c r="F439" i="15"/>
  <c r="F440" i="15"/>
  <c r="F441" i="15"/>
  <c r="F442" i="15"/>
  <c r="F443" i="15"/>
  <c r="H443" i="15" s="1"/>
  <c r="F444" i="15"/>
  <c r="H444" i="15" s="1"/>
  <c r="W444" i="15" s="1"/>
  <c r="F445" i="15"/>
  <c r="V445" i="15" s="1"/>
  <c r="F446" i="15"/>
  <c r="V446" i="15" s="1"/>
  <c r="F447" i="15"/>
  <c r="F448" i="15"/>
  <c r="H448" i="15" s="1"/>
  <c r="W448" i="15" s="1"/>
  <c r="F449" i="15"/>
  <c r="S449" i="15" s="1"/>
  <c r="F450" i="15"/>
  <c r="F451" i="15"/>
  <c r="F452" i="15"/>
  <c r="H452" i="15" s="1"/>
  <c r="W452" i="15" s="1"/>
  <c r="F453" i="15"/>
  <c r="F454" i="15"/>
  <c r="F455" i="15"/>
  <c r="H455" i="15" s="1"/>
  <c r="F456" i="15"/>
  <c r="V456" i="15" s="1"/>
  <c r="F457" i="15"/>
  <c r="F458" i="15"/>
  <c r="H458" i="15" s="1"/>
  <c r="F459" i="15"/>
  <c r="S459" i="15" s="1"/>
  <c r="F460" i="15"/>
  <c r="H460" i="15" s="1"/>
  <c r="F461" i="15"/>
  <c r="H461" i="15" s="1"/>
  <c r="F462" i="15"/>
  <c r="F463" i="15"/>
  <c r="V463" i="15" s="1"/>
  <c r="F464" i="15"/>
  <c r="H464" i="15" s="1"/>
  <c r="W464" i="15" s="1"/>
  <c r="F465" i="15"/>
  <c r="F466" i="15"/>
  <c r="F467" i="15"/>
  <c r="H467" i="15" s="1"/>
  <c r="F468" i="15"/>
  <c r="S468" i="15" s="1"/>
  <c r="F469" i="15"/>
  <c r="V469" i="15" s="1"/>
  <c r="F470" i="15"/>
  <c r="F471" i="15"/>
  <c r="F472" i="15"/>
  <c r="V472" i="15" s="1"/>
  <c r="F473" i="15"/>
  <c r="V473" i="15" s="1"/>
  <c r="F474" i="15"/>
  <c r="F475" i="15"/>
  <c r="F476" i="15"/>
  <c r="H476" i="15" s="1"/>
  <c r="F477" i="15"/>
  <c r="F478" i="15"/>
  <c r="H478" i="15" s="1"/>
  <c r="L478" i="15" s="1"/>
  <c r="M478" i="15" s="1"/>
  <c r="N478" i="15" s="1"/>
  <c r="U478" i="15" s="1"/>
  <c r="F479" i="15"/>
  <c r="S479" i="15" s="1"/>
  <c r="F480" i="15"/>
  <c r="H480" i="15" s="1"/>
  <c r="F481" i="15"/>
  <c r="V481" i="15" s="1"/>
  <c r="F482" i="15"/>
  <c r="H482" i="15" s="1"/>
  <c r="L482" i="15" s="1"/>
  <c r="M482" i="15" s="1"/>
  <c r="N482" i="15" s="1"/>
  <c r="F483" i="15"/>
  <c r="V483" i="15" s="1"/>
  <c r="F484" i="15"/>
  <c r="V484" i="15" s="1"/>
  <c r="F485" i="15"/>
  <c r="V485" i="15" s="1"/>
  <c r="F486" i="15"/>
  <c r="F487" i="15"/>
  <c r="F488" i="15"/>
  <c r="F489" i="15"/>
  <c r="H489" i="15" s="1"/>
  <c r="L489" i="15" s="1"/>
  <c r="M489" i="15" s="1"/>
  <c r="N489" i="15" s="1"/>
  <c r="U489" i="15" s="1"/>
  <c r="F490" i="15"/>
  <c r="F491" i="15"/>
  <c r="S491" i="15" s="1"/>
  <c r="F492" i="15"/>
  <c r="S492" i="15" s="1"/>
  <c r="F493" i="15"/>
  <c r="H493" i="15" s="1"/>
  <c r="F494" i="15"/>
  <c r="H494" i="15" s="1"/>
  <c r="F495" i="15"/>
  <c r="F496" i="15"/>
  <c r="S496" i="15" s="1"/>
  <c r="F497" i="15"/>
  <c r="F498" i="15"/>
  <c r="F499" i="15"/>
  <c r="F500" i="15"/>
  <c r="F501" i="15"/>
  <c r="H501" i="15" s="1"/>
  <c r="L501" i="15" s="1"/>
  <c r="M501" i="15" s="1"/>
  <c r="N501" i="15" s="1"/>
  <c r="F502" i="15"/>
  <c r="F503" i="15"/>
  <c r="H503" i="15" s="1"/>
  <c r="L503" i="15" s="1"/>
  <c r="M503" i="15" s="1"/>
  <c r="N503" i="15" s="1"/>
  <c r="F504" i="15"/>
  <c r="H504" i="15" s="1"/>
  <c r="F505" i="15"/>
  <c r="H505" i="15" s="1"/>
  <c r="L505" i="15" s="1"/>
  <c r="M505" i="15" s="1"/>
  <c r="N505" i="15" s="1"/>
  <c r="F506" i="15"/>
  <c r="H506" i="15" s="1"/>
  <c r="F507" i="15"/>
  <c r="H507" i="15" s="1"/>
  <c r="F508" i="15"/>
  <c r="H508" i="15" s="1"/>
  <c r="F416" i="13"/>
  <c r="H416" i="13"/>
  <c r="F417" i="13"/>
  <c r="F418" i="13"/>
  <c r="F367" i="10"/>
  <c r="H367" i="10" s="1"/>
  <c r="L367" i="10" s="1"/>
  <c r="M367" i="10" s="1"/>
  <c r="N367" i="10" s="1"/>
  <c r="F368" i="10"/>
  <c r="H368" i="10" s="1"/>
  <c r="F221" i="9"/>
  <c r="F222" i="9"/>
  <c r="F223" i="9"/>
  <c r="H223" i="9" s="1"/>
  <c r="L223" i="9" s="1"/>
  <c r="M223" i="9" s="1"/>
  <c r="N223" i="9" s="1"/>
  <c r="F224" i="9"/>
  <c r="H224" i="9"/>
  <c r="L224" i="9" s="1"/>
  <c r="M224" i="9" s="1"/>
  <c r="N224" i="9" s="1"/>
  <c r="M45" i="10"/>
  <c r="M46" i="10"/>
  <c r="M47" i="10"/>
  <c r="M48" i="10"/>
  <c r="M49" i="10"/>
  <c r="M50" i="10"/>
  <c r="M51" i="10"/>
  <c r="G15" i="7"/>
  <c r="E9" i="3" s="1"/>
  <c r="D15" i="7"/>
  <c r="B9" i="3" s="1"/>
  <c r="E15" i="7"/>
  <c r="C9" i="3" s="1"/>
  <c r="E378" i="10"/>
  <c r="C27" i="3" s="1"/>
  <c r="F13" i="7"/>
  <c r="H13" i="7"/>
  <c r="F399" i="13"/>
  <c r="H399" i="13" s="1"/>
  <c r="L399" i="13" s="1"/>
  <c r="M399" i="13" s="1"/>
  <c r="N399" i="13" s="1"/>
  <c r="F400" i="13"/>
  <c r="F401" i="13"/>
  <c r="H401" i="13" s="1"/>
  <c r="L401" i="13" s="1"/>
  <c r="M401" i="13" s="1"/>
  <c r="N401" i="13" s="1"/>
  <c r="F402" i="13"/>
  <c r="H402" i="13"/>
  <c r="L402" i="13" s="1"/>
  <c r="M402" i="13" s="1"/>
  <c r="N402" i="13" s="1"/>
  <c r="F403" i="13"/>
  <c r="H403" i="13" s="1"/>
  <c r="L403" i="13" s="1"/>
  <c r="M403" i="13" s="1"/>
  <c r="N403" i="13" s="1"/>
  <c r="F404" i="13"/>
  <c r="F405" i="13"/>
  <c r="F406" i="13"/>
  <c r="H406" i="13" s="1"/>
  <c r="F407" i="13"/>
  <c r="H407" i="13" s="1"/>
  <c r="L407" i="13" s="1"/>
  <c r="M407" i="13" s="1"/>
  <c r="N407" i="13" s="1"/>
  <c r="F408" i="13"/>
  <c r="H408" i="13"/>
  <c r="L408" i="13" s="1"/>
  <c r="M408" i="13" s="1"/>
  <c r="N408" i="13" s="1"/>
  <c r="F409" i="13"/>
  <c r="F410" i="13"/>
  <c r="H410" i="13"/>
  <c r="F411" i="13"/>
  <c r="H411" i="13" s="1"/>
  <c r="L411" i="13" s="1"/>
  <c r="M411" i="13" s="1"/>
  <c r="N411" i="13" s="1"/>
  <c r="F412" i="13"/>
  <c r="H412" i="13"/>
  <c r="F413" i="13"/>
  <c r="F414" i="13"/>
  <c r="F415" i="13"/>
  <c r="H415" i="13" s="1"/>
  <c r="F364" i="10"/>
  <c r="F365" i="10"/>
  <c r="F366" i="10"/>
  <c r="H366" i="10" s="1"/>
  <c r="F388" i="13"/>
  <c r="F389" i="13"/>
  <c r="F390" i="13"/>
  <c r="H390" i="13"/>
  <c r="F391" i="13"/>
  <c r="H391" i="13"/>
  <c r="F392" i="13"/>
  <c r="F393" i="13"/>
  <c r="F394" i="13"/>
  <c r="H394" i="13"/>
  <c r="F395" i="13"/>
  <c r="H395" i="13" s="1"/>
  <c r="L395" i="13" s="1"/>
  <c r="M395" i="13" s="1"/>
  <c r="N395" i="13" s="1"/>
  <c r="F396" i="13"/>
  <c r="H396" i="13"/>
  <c r="F397" i="13"/>
  <c r="H397" i="13" s="1"/>
  <c r="F398" i="13"/>
  <c r="H398" i="13" s="1"/>
  <c r="L398" i="13" s="1"/>
  <c r="M398" i="13" s="1"/>
  <c r="N398" i="13" s="1"/>
  <c r="F220" i="9"/>
  <c r="H220" i="9" s="1"/>
  <c r="F12" i="11"/>
  <c r="B24" i="17"/>
  <c r="F387" i="13"/>
  <c r="G378" i="10"/>
  <c r="E27" i="3" s="1"/>
  <c r="F363" i="10"/>
  <c r="F362" i="10"/>
  <c r="H20" i="9"/>
  <c r="H16" i="9"/>
  <c r="H11" i="9"/>
  <c r="F218" i="9"/>
  <c r="F219" i="9"/>
  <c r="H219" i="9"/>
  <c r="E21" i="18"/>
  <c r="B19" i="18" s="1"/>
  <c r="E20" i="18"/>
  <c r="B18" i="18" s="1"/>
  <c r="E13" i="18"/>
  <c r="B11" i="18" s="1"/>
  <c r="E12" i="18"/>
  <c r="E5" i="18"/>
  <c r="E6" i="18" s="1"/>
  <c r="J3" i="18"/>
  <c r="H60" i="17"/>
  <c r="F60" i="17"/>
  <c r="E60" i="17"/>
  <c r="G59" i="17"/>
  <c r="I59" i="17" s="1"/>
  <c r="I51" i="17"/>
  <c r="B50" i="17"/>
  <c r="G49" i="17"/>
  <c r="I49" i="17" s="1"/>
  <c r="B49" i="17"/>
  <c r="G48" i="17"/>
  <c r="I48" i="17" s="1"/>
  <c r="T48" i="17" s="1"/>
  <c r="U48" i="17" s="1"/>
  <c r="B48" i="17"/>
  <c r="G47" i="17"/>
  <c r="I47" i="17" s="1"/>
  <c r="B47" i="17"/>
  <c r="G46" i="17"/>
  <c r="I46" i="17" s="1"/>
  <c r="B46" i="17"/>
  <c r="G45" i="17"/>
  <c r="I45" i="17" s="1"/>
  <c r="B45" i="17"/>
  <c r="G44" i="17"/>
  <c r="I44" i="17" s="1"/>
  <c r="B44" i="17"/>
  <c r="G43" i="17"/>
  <c r="I43" i="17" s="1"/>
  <c r="B43" i="17"/>
  <c r="G42" i="17"/>
  <c r="I42" i="17"/>
  <c r="M42" i="17" s="1"/>
  <c r="N42" i="17" s="1"/>
  <c r="O42" i="17" s="1"/>
  <c r="B42" i="17"/>
  <c r="G41" i="17"/>
  <c r="I41" i="17" s="1"/>
  <c r="M41" i="17" s="1"/>
  <c r="B41" i="17"/>
  <c r="G40" i="17"/>
  <c r="I40" i="17" s="1"/>
  <c r="B40" i="17"/>
  <c r="G39" i="17"/>
  <c r="I39" i="17"/>
  <c r="B39" i="17"/>
  <c r="G38" i="17"/>
  <c r="I38" i="17" s="1"/>
  <c r="T38" i="17" s="1"/>
  <c r="U38" i="17" s="1"/>
  <c r="B38" i="17"/>
  <c r="G37" i="17"/>
  <c r="I37" i="17" s="1"/>
  <c r="B37" i="17"/>
  <c r="G36" i="17"/>
  <c r="I36" i="17"/>
  <c r="M36" i="17" s="1"/>
  <c r="B36" i="17"/>
  <c r="G35" i="17"/>
  <c r="I35" i="17" s="1"/>
  <c r="B35" i="17"/>
  <c r="G34" i="17"/>
  <c r="I34" i="17" s="1"/>
  <c r="T34" i="17" s="1"/>
  <c r="U34" i="17" s="1"/>
  <c r="B34" i="17"/>
  <c r="G33" i="17"/>
  <c r="I33" i="17" s="1"/>
  <c r="B33" i="17"/>
  <c r="G32" i="17"/>
  <c r="I32" i="17" s="1"/>
  <c r="B32" i="17"/>
  <c r="G31" i="17"/>
  <c r="I31" i="17" s="1"/>
  <c r="B31" i="17"/>
  <c r="G30" i="17"/>
  <c r="I30" i="17"/>
  <c r="B30" i="17"/>
  <c r="G29" i="17"/>
  <c r="I29" i="17" s="1"/>
  <c r="B29" i="17"/>
  <c r="G28" i="17"/>
  <c r="I28" i="17" s="1"/>
  <c r="B28" i="17"/>
  <c r="G27" i="17"/>
  <c r="I27" i="17" s="1"/>
  <c r="B27" i="17"/>
  <c r="G26" i="17"/>
  <c r="I26" i="17" s="1"/>
  <c r="B26" i="17"/>
  <c r="G25" i="17"/>
  <c r="I25" i="17" s="1"/>
  <c r="B25" i="17"/>
  <c r="G24" i="17"/>
  <c r="I24" i="17" s="1"/>
  <c r="G23" i="17"/>
  <c r="I23" i="17" s="1"/>
  <c r="T23" i="17" s="1"/>
  <c r="U23" i="17" s="1"/>
  <c r="B23" i="17"/>
  <c r="G22" i="17"/>
  <c r="I22" i="17" s="1"/>
  <c r="B22" i="17"/>
  <c r="G21" i="17"/>
  <c r="I21" i="17" s="1"/>
  <c r="B21" i="17"/>
  <c r="G20" i="17"/>
  <c r="I20" i="17" s="1"/>
  <c r="B20" i="17"/>
  <c r="G19" i="17"/>
  <c r="I19" i="17" s="1"/>
  <c r="B19" i="17"/>
  <c r="U18" i="17"/>
  <c r="G18" i="17"/>
  <c r="I18" i="17" s="1"/>
  <c r="U17" i="17"/>
  <c r="G17" i="17"/>
  <c r="I17" i="17" s="1"/>
  <c r="R17" i="17" s="1"/>
  <c r="U16" i="17"/>
  <c r="G16" i="17"/>
  <c r="I16" i="17" s="1"/>
  <c r="U15" i="17"/>
  <c r="G15" i="17"/>
  <c r="I15" i="17" s="1"/>
  <c r="U14" i="17"/>
  <c r="V14" i="17" s="1"/>
  <c r="Q14" i="17"/>
  <c r="N14" i="17"/>
  <c r="G14" i="17"/>
  <c r="I14" i="17" s="1"/>
  <c r="R14" i="17" s="1"/>
  <c r="U13" i="17"/>
  <c r="V13" i="17" s="1"/>
  <c r="Q13" i="17"/>
  <c r="N13" i="17"/>
  <c r="G13" i="17"/>
  <c r="I13" i="17" s="1"/>
  <c r="R13" i="17" s="1"/>
  <c r="U12" i="17"/>
  <c r="V12" i="17" s="1"/>
  <c r="Q12" i="17"/>
  <c r="N12" i="17"/>
  <c r="G12" i="17"/>
  <c r="I12" i="17" s="1"/>
  <c r="U11" i="17"/>
  <c r="V11" i="17" s="1"/>
  <c r="Q11" i="17"/>
  <c r="N11" i="17"/>
  <c r="G11" i="17"/>
  <c r="I11" i="17" s="1"/>
  <c r="U10" i="17"/>
  <c r="V10" i="17" s="1"/>
  <c r="Q10" i="17"/>
  <c r="N10" i="17"/>
  <c r="O10" i="17" s="1"/>
  <c r="G10" i="17"/>
  <c r="I10" i="17" s="1"/>
  <c r="U9" i="17"/>
  <c r="V9" i="17" s="1"/>
  <c r="Q9" i="17"/>
  <c r="N9" i="17"/>
  <c r="G9" i="17"/>
  <c r="I9" i="17" s="1"/>
  <c r="R9" i="17" s="1"/>
  <c r="U8" i="17"/>
  <c r="V8" i="17" s="1"/>
  <c r="Q8" i="17"/>
  <c r="N8" i="17"/>
  <c r="G8" i="17"/>
  <c r="I8" i="17" s="1"/>
  <c r="U7" i="17"/>
  <c r="V7" i="17" s="1"/>
  <c r="Q7" i="17"/>
  <c r="N7" i="17"/>
  <c r="O7" i="17" s="1"/>
  <c r="G7" i="17"/>
  <c r="I7" i="17" s="1"/>
  <c r="U6" i="17"/>
  <c r="V6" i="17" s="1"/>
  <c r="Q6" i="17"/>
  <c r="N6" i="17"/>
  <c r="G6" i="17"/>
  <c r="I6" i="17" s="1"/>
  <c r="U5" i="17"/>
  <c r="Q5" i="17"/>
  <c r="N5" i="17"/>
  <c r="G5" i="17"/>
  <c r="G466" i="16"/>
  <c r="E30" i="3" s="1"/>
  <c r="E466" i="16"/>
  <c r="C30" i="3" s="1"/>
  <c r="F458" i="16"/>
  <c r="F457" i="16"/>
  <c r="F456" i="16"/>
  <c r="H456" i="16" s="1"/>
  <c r="F455" i="16"/>
  <c r="F454" i="16"/>
  <c r="F453" i="16"/>
  <c r="F452" i="16"/>
  <c r="F451" i="16"/>
  <c r="F450" i="16"/>
  <c r="F449" i="16"/>
  <c r="V449" i="16" s="1"/>
  <c r="F448" i="16"/>
  <c r="V448" i="16" s="1"/>
  <c r="F447" i="16"/>
  <c r="F446" i="16"/>
  <c r="F445" i="16"/>
  <c r="F444" i="16"/>
  <c r="S444" i="16" s="1"/>
  <c r="F443" i="16"/>
  <c r="F442" i="16"/>
  <c r="V442" i="16" s="1"/>
  <c r="F441" i="16"/>
  <c r="F440" i="16"/>
  <c r="V440" i="16" s="1"/>
  <c r="F439" i="16"/>
  <c r="F438" i="16"/>
  <c r="F437" i="16"/>
  <c r="V437" i="16" s="1"/>
  <c r="F436" i="16"/>
  <c r="H436" i="16" s="1"/>
  <c r="W436" i="16" s="1"/>
  <c r="F435" i="16"/>
  <c r="H435" i="16" s="1"/>
  <c r="F434" i="16"/>
  <c r="F433" i="16"/>
  <c r="F432" i="16"/>
  <c r="S432" i="16" s="1"/>
  <c r="F431" i="16"/>
  <c r="H431" i="16" s="1"/>
  <c r="F430" i="16"/>
  <c r="F429" i="16"/>
  <c r="F428" i="16"/>
  <c r="S428" i="16" s="1"/>
  <c r="F427" i="16"/>
  <c r="H427" i="16" s="1"/>
  <c r="F426" i="16"/>
  <c r="F425" i="16"/>
  <c r="F424" i="16"/>
  <c r="S424" i="16" s="1"/>
  <c r="F423" i="16"/>
  <c r="V423" i="16" s="1"/>
  <c r="F422" i="16"/>
  <c r="V422" i="16" s="1"/>
  <c r="F421" i="16"/>
  <c r="F420" i="16"/>
  <c r="S420" i="16" s="1"/>
  <c r="F419" i="16"/>
  <c r="S419" i="16" s="1"/>
  <c r="F418" i="16"/>
  <c r="S418" i="16" s="1"/>
  <c r="F417" i="16"/>
  <c r="F416" i="16"/>
  <c r="H416" i="16" s="1"/>
  <c r="F415" i="16"/>
  <c r="F414" i="16"/>
  <c r="F413" i="16"/>
  <c r="F412" i="16"/>
  <c r="F411" i="16"/>
  <c r="S410" i="16"/>
  <c r="F410" i="16"/>
  <c r="S409" i="16"/>
  <c r="F409" i="16"/>
  <c r="S408" i="16"/>
  <c r="F408" i="16"/>
  <c r="V408" i="16" s="1"/>
  <c r="S407" i="16"/>
  <c r="F407" i="16"/>
  <c r="S406" i="16"/>
  <c r="F406" i="16"/>
  <c r="S405" i="16"/>
  <c r="F405" i="16"/>
  <c r="S404" i="16"/>
  <c r="F404" i="16"/>
  <c r="H404" i="16" s="1"/>
  <c r="W404" i="16" s="1"/>
  <c r="S403" i="16"/>
  <c r="F403" i="16"/>
  <c r="S402" i="16"/>
  <c r="F402" i="16"/>
  <c r="S401" i="16"/>
  <c r="F401" i="16"/>
  <c r="V401" i="16" s="1"/>
  <c r="S400" i="16"/>
  <c r="F400" i="16"/>
  <c r="H400" i="16" s="1"/>
  <c r="S399" i="16"/>
  <c r="F399" i="16"/>
  <c r="S398" i="16"/>
  <c r="F398" i="16"/>
  <c r="S397" i="16"/>
  <c r="F397" i="16"/>
  <c r="S396" i="16"/>
  <c r="F396" i="16"/>
  <c r="S395" i="16"/>
  <c r="F395" i="16"/>
  <c r="S394" i="16"/>
  <c r="F394" i="16"/>
  <c r="S393" i="16"/>
  <c r="F393" i="16"/>
  <c r="V393" i="16" s="1"/>
  <c r="S392" i="16"/>
  <c r="F392" i="16"/>
  <c r="H392" i="16" s="1"/>
  <c r="W392" i="16" s="1"/>
  <c r="S391" i="16"/>
  <c r="F391" i="16"/>
  <c r="S390" i="16"/>
  <c r="F390" i="16"/>
  <c r="S389" i="16"/>
  <c r="F389" i="16"/>
  <c r="S388" i="16"/>
  <c r="F388" i="16"/>
  <c r="H388" i="16"/>
  <c r="S387" i="16"/>
  <c r="F387" i="16"/>
  <c r="H387" i="16" s="1"/>
  <c r="W387" i="16" s="1"/>
  <c r="S386" i="16"/>
  <c r="F386" i="16"/>
  <c r="S385" i="16"/>
  <c r="F385" i="16"/>
  <c r="V385" i="16" s="1"/>
  <c r="S384" i="16"/>
  <c r="F384" i="16"/>
  <c r="V384" i="16" s="1"/>
  <c r="S383" i="16"/>
  <c r="F383" i="16"/>
  <c r="V383" i="16" s="1"/>
  <c r="S382" i="16"/>
  <c r="F382" i="16"/>
  <c r="S381" i="16"/>
  <c r="F381" i="16"/>
  <c r="H381" i="16" s="1"/>
  <c r="W381" i="16" s="1"/>
  <c r="S380" i="16"/>
  <c r="F380" i="16"/>
  <c r="S379" i="16"/>
  <c r="F379" i="16"/>
  <c r="S378" i="16"/>
  <c r="F378" i="16"/>
  <c r="S377" i="16"/>
  <c r="F377" i="16"/>
  <c r="H377" i="16" s="1"/>
  <c r="W377" i="16" s="1"/>
  <c r="S376" i="16"/>
  <c r="F376" i="16"/>
  <c r="S375" i="16"/>
  <c r="F375" i="16"/>
  <c r="V375" i="16" s="1"/>
  <c r="S374" i="16"/>
  <c r="F374" i="16"/>
  <c r="V374" i="16" s="1"/>
  <c r="S373" i="16"/>
  <c r="F373" i="16"/>
  <c r="H373" i="16" s="1"/>
  <c r="W373" i="16" s="1"/>
  <c r="S372" i="16"/>
  <c r="F372" i="16"/>
  <c r="H372" i="16" s="1"/>
  <c r="S371" i="16"/>
  <c r="F371" i="16"/>
  <c r="S370" i="16"/>
  <c r="F370" i="16"/>
  <c r="S369" i="16"/>
  <c r="F369" i="16"/>
  <c r="V369" i="16" s="1"/>
  <c r="S368" i="16"/>
  <c r="F368" i="16"/>
  <c r="S367" i="16"/>
  <c r="F367" i="16"/>
  <c r="V367" i="16" s="1"/>
  <c r="S366" i="16"/>
  <c r="F366" i="16"/>
  <c r="S365" i="16"/>
  <c r="F365" i="16"/>
  <c r="V365" i="16" s="1"/>
  <c r="S364" i="16"/>
  <c r="F364" i="16"/>
  <c r="S363" i="16"/>
  <c r="F363" i="16"/>
  <c r="V363" i="16" s="1"/>
  <c r="S362" i="16"/>
  <c r="F362" i="16"/>
  <c r="S361" i="16"/>
  <c r="F361" i="16"/>
  <c r="S360" i="16"/>
  <c r="F360" i="16"/>
  <c r="S359" i="16"/>
  <c r="F359" i="16"/>
  <c r="S358" i="16"/>
  <c r="F358" i="16"/>
  <c r="S357" i="16"/>
  <c r="F357" i="16"/>
  <c r="S356" i="16"/>
  <c r="F356" i="16"/>
  <c r="S355" i="16"/>
  <c r="F355" i="16"/>
  <c r="V355" i="16" s="1"/>
  <c r="S354" i="16"/>
  <c r="F354" i="16"/>
  <c r="S353" i="16"/>
  <c r="F353" i="16"/>
  <c r="S352" i="16"/>
  <c r="F352" i="16"/>
  <c r="V352" i="16" s="1"/>
  <c r="S351" i="16"/>
  <c r="F351" i="16"/>
  <c r="H351" i="16" s="1"/>
  <c r="S350" i="16"/>
  <c r="F350" i="16"/>
  <c r="S349" i="16"/>
  <c r="F349" i="16"/>
  <c r="V349" i="16" s="1"/>
  <c r="S348" i="16"/>
  <c r="F348" i="16"/>
  <c r="S347" i="16"/>
  <c r="F347" i="16"/>
  <c r="H347" i="16" s="1"/>
  <c r="S346" i="16"/>
  <c r="F346" i="16"/>
  <c r="H346" i="16" s="1"/>
  <c r="W346" i="16" s="1"/>
  <c r="S345" i="16"/>
  <c r="F345" i="16"/>
  <c r="H345" i="16" s="1"/>
  <c r="S344" i="16"/>
  <c r="F344" i="16"/>
  <c r="S343" i="16"/>
  <c r="F343" i="16"/>
  <c r="V343" i="16" s="1"/>
  <c r="S342" i="16"/>
  <c r="F342" i="16"/>
  <c r="V342" i="16" s="1"/>
  <c r="S341" i="16"/>
  <c r="F341" i="16"/>
  <c r="S340" i="16"/>
  <c r="F340" i="16"/>
  <c r="V340" i="16" s="1"/>
  <c r="S339" i="16"/>
  <c r="F339" i="16"/>
  <c r="S338" i="16"/>
  <c r="F338" i="16"/>
  <c r="S337" i="16"/>
  <c r="F337" i="16"/>
  <c r="S336" i="16"/>
  <c r="F336" i="16"/>
  <c r="S335" i="16"/>
  <c r="F335" i="16"/>
  <c r="H335" i="16" s="1"/>
  <c r="W335" i="16" s="1"/>
  <c r="S334" i="16"/>
  <c r="F334" i="16"/>
  <c r="V334" i="16" s="1"/>
  <c r="S333" i="16"/>
  <c r="F333" i="16"/>
  <c r="V333" i="16" s="1"/>
  <c r="S332" i="16"/>
  <c r="F332" i="16"/>
  <c r="H332" i="16" s="1"/>
  <c r="W332" i="16" s="1"/>
  <c r="S331" i="16"/>
  <c r="F331" i="16"/>
  <c r="V331" i="16" s="1"/>
  <c r="S330" i="16"/>
  <c r="F330" i="16"/>
  <c r="H330" i="16" s="1"/>
  <c r="S329" i="16"/>
  <c r="F329" i="16"/>
  <c r="S328" i="16"/>
  <c r="F328" i="16"/>
  <c r="H328" i="16" s="1"/>
  <c r="W328" i="16" s="1"/>
  <c r="S327" i="16"/>
  <c r="F327" i="16"/>
  <c r="S326" i="16"/>
  <c r="F326" i="16"/>
  <c r="V326" i="16" s="1"/>
  <c r="S325" i="16"/>
  <c r="F325" i="16"/>
  <c r="S324" i="16"/>
  <c r="F324" i="16"/>
  <c r="V324" i="16" s="1"/>
  <c r="S323" i="16"/>
  <c r="F323" i="16"/>
  <c r="H323" i="16" s="1"/>
  <c r="W323" i="16" s="1"/>
  <c r="S322" i="16"/>
  <c r="F322" i="16"/>
  <c r="S321" i="16"/>
  <c r="F321" i="16"/>
  <c r="S320" i="16"/>
  <c r="F320" i="16"/>
  <c r="S319" i="16"/>
  <c r="F319" i="16"/>
  <c r="S318" i="16"/>
  <c r="F318" i="16"/>
  <c r="S317" i="16"/>
  <c r="F317" i="16"/>
  <c r="V317" i="16" s="1"/>
  <c r="S316" i="16"/>
  <c r="F316" i="16"/>
  <c r="S315" i="16"/>
  <c r="F315" i="16"/>
  <c r="V315" i="16" s="1"/>
  <c r="S314" i="16"/>
  <c r="F314" i="16"/>
  <c r="H314" i="16" s="1"/>
  <c r="S313" i="16"/>
  <c r="F313" i="16"/>
  <c r="S312" i="16"/>
  <c r="F312" i="16"/>
  <c r="S311" i="16"/>
  <c r="F311" i="16"/>
  <c r="S310" i="16"/>
  <c r="F310" i="16"/>
  <c r="S309" i="16"/>
  <c r="F309" i="16"/>
  <c r="S308" i="16"/>
  <c r="F308" i="16"/>
  <c r="V308" i="16" s="1"/>
  <c r="S307" i="16"/>
  <c r="F307" i="16"/>
  <c r="S306" i="16"/>
  <c r="F306" i="16"/>
  <c r="S305" i="16"/>
  <c r="F305" i="16"/>
  <c r="V305" i="16" s="1"/>
  <c r="S304" i="16"/>
  <c r="F304" i="16"/>
  <c r="V304" i="16" s="1"/>
  <c r="S303" i="16"/>
  <c r="F303" i="16"/>
  <c r="V303" i="16"/>
  <c r="S302" i="16"/>
  <c r="F302" i="16"/>
  <c r="H302" i="16" s="1"/>
  <c r="S301" i="16"/>
  <c r="F301" i="16"/>
  <c r="H301" i="16" s="1"/>
  <c r="W301" i="16" s="1"/>
  <c r="S300" i="16"/>
  <c r="F300" i="16"/>
  <c r="H300" i="16" s="1"/>
  <c r="W300" i="16" s="1"/>
  <c r="S299" i="16"/>
  <c r="F299" i="16"/>
  <c r="H299" i="16" s="1"/>
  <c r="W299" i="16" s="1"/>
  <c r="S298" i="16"/>
  <c r="F298" i="16"/>
  <c r="V298" i="16" s="1"/>
  <c r="S297" i="16"/>
  <c r="F297" i="16"/>
  <c r="S296" i="16"/>
  <c r="F296" i="16"/>
  <c r="V296" i="16" s="1"/>
  <c r="S295" i="16"/>
  <c r="F295" i="16"/>
  <c r="V295" i="16" s="1"/>
  <c r="S294" i="16"/>
  <c r="F294" i="16"/>
  <c r="S293" i="16"/>
  <c r="F293" i="16"/>
  <c r="H293" i="16" s="1"/>
  <c r="S292" i="16"/>
  <c r="F292" i="16"/>
  <c r="S291" i="16"/>
  <c r="F291" i="16"/>
  <c r="V291" i="16" s="1"/>
  <c r="S290" i="16"/>
  <c r="F290" i="16"/>
  <c r="H290" i="16" s="1"/>
  <c r="W290" i="16" s="1"/>
  <c r="S289" i="16"/>
  <c r="F289" i="16"/>
  <c r="S288" i="16"/>
  <c r="F288" i="16"/>
  <c r="V288" i="16" s="1"/>
  <c r="S287" i="16"/>
  <c r="F287" i="16"/>
  <c r="S286" i="16"/>
  <c r="F286" i="16"/>
  <c r="S285" i="16"/>
  <c r="F285" i="16"/>
  <c r="S284" i="16"/>
  <c r="F284" i="16"/>
  <c r="S283" i="16"/>
  <c r="F283" i="16"/>
  <c r="V283" i="16" s="1"/>
  <c r="S282" i="16"/>
  <c r="F282" i="16"/>
  <c r="H282" i="16" s="1"/>
  <c r="S281" i="16"/>
  <c r="F281" i="16"/>
  <c r="S280" i="16"/>
  <c r="F280" i="16"/>
  <c r="W279" i="16"/>
  <c r="X279" i="16" s="1"/>
  <c r="F279" i="16"/>
  <c r="V279" i="16" s="1"/>
  <c r="S278" i="16"/>
  <c r="F278" i="16"/>
  <c r="S277" i="16"/>
  <c r="F277" i="16"/>
  <c r="S276" i="16"/>
  <c r="F276" i="16"/>
  <c r="S275" i="16"/>
  <c r="F275" i="16"/>
  <c r="S274" i="16"/>
  <c r="F274" i="16"/>
  <c r="S273" i="16"/>
  <c r="F273" i="16"/>
  <c r="H273" i="16" s="1"/>
  <c r="W273" i="16" s="1"/>
  <c r="S272" i="16"/>
  <c r="F272" i="16"/>
  <c r="S271" i="16"/>
  <c r="F271" i="16"/>
  <c r="S270" i="16"/>
  <c r="F270" i="16"/>
  <c r="S269" i="16"/>
  <c r="F269" i="16"/>
  <c r="S268" i="16"/>
  <c r="F268" i="16"/>
  <c r="H268" i="16" s="1"/>
  <c r="L268" i="16" s="1"/>
  <c r="S267" i="16"/>
  <c r="F267" i="16"/>
  <c r="S266" i="16"/>
  <c r="F266" i="16"/>
  <c r="S265" i="16"/>
  <c r="F265" i="16"/>
  <c r="S264" i="16"/>
  <c r="F264" i="16"/>
  <c r="S263" i="16"/>
  <c r="F263" i="16"/>
  <c r="H263" i="16" s="1"/>
  <c r="W263" i="16" s="1"/>
  <c r="S262" i="16"/>
  <c r="F262" i="16"/>
  <c r="S261" i="16"/>
  <c r="F261" i="16"/>
  <c r="S260" i="16"/>
  <c r="F260" i="16"/>
  <c r="H260" i="16" s="1"/>
  <c r="S259" i="16"/>
  <c r="F259" i="16"/>
  <c r="V259" i="16" s="1"/>
  <c r="S258" i="16"/>
  <c r="F258" i="16"/>
  <c r="S257" i="16"/>
  <c r="F257" i="16"/>
  <c r="S256" i="16"/>
  <c r="F256" i="16"/>
  <c r="S255" i="16"/>
  <c r="F255" i="16"/>
  <c r="H255" i="16" s="1"/>
  <c r="S254" i="16"/>
  <c r="F254" i="16"/>
  <c r="S253" i="16"/>
  <c r="F253" i="16"/>
  <c r="S252" i="16"/>
  <c r="F252" i="16"/>
  <c r="S251" i="16"/>
  <c r="F251" i="16"/>
  <c r="S250" i="16"/>
  <c r="F250" i="16"/>
  <c r="V250" i="16" s="1"/>
  <c r="S249" i="16"/>
  <c r="F249" i="16"/>
  <c r="S248" i="16"/>
  <c r="F248" i="16"/>
  <c r="V248" i="16" s="1"/>
  <c r="S247" i="16"/>
  <c r="F247" i="16"/>
  <c r="H247" i="16" s="1"/>
  <c r="W247" i="16" s="1"/>
  <c r="S246" i="16"/>
  <c r="F246" i="16"/>
  <c r="S245" i="16"/>
  <c r="F245" i="16"/>
  <c r="S244" i="16"/>
  <c r="F244" i="16"/>
  <c r="V244" i="16" s="1"/>
  <c r="S243" i="16"/>
  <c r="F243" i="16"/>
  <c r="S242" i="16"/>
  <c r="F242" i="16"/>
  <c r="S241" i="16"/>
  <c r="F241" i="16"/>
  <c r="H241" i="16" s="1"/>
  <c r="S240" i="16"/>
  <c r="F240" i="16"/>
  <c r="V240" i="16" s="1"/>
  <c r="S239" i="16"/>
  <c r="F239" i="16"/>
  <c r="S238" i="16"/>
  <c r="F238" i="16"/>
  <c r="S237" i="16"/>
  <c r="F237" i="16"/>
  <c r="H237" i="16" s="1"/>
  <c r="W237" i="16" s="1"/>
  <c r="S236" i="16"/>
  <c r="F236" i="16"/>
  <c r="S235" i="16"/>
  <c r="F235" i="16"/>
  <c r="H235" i="16" s="1"/>
  <c r="W235" i="16" s="1"/>
  <c r="S234" i="16"/>
  <c r="F234" i="16"/>
  <c r="H234" i="16" s="1"/>
  <c r="W234" i="16" s="1"/>
  <c r="S233" i="16"/>
  <c r="F233" i="16"/>
  <c r="S232" i="16"/>
  <c r="F232" i="16"/>
  <c r="S231" i="16"/>
  <c r="F231" i="16"/>
  <c r="S230" i="16"/>
  <c r="F230" i="16"/>
  <c r="S229" i="16"/>
  <c r="F229" i="16"/>
  <c r="S228" i="16"/>
  <c r="F228" i="16"/>
  <c r="H228" i="16" s="1"/>
  <c r="W228" i="16" s="1"/>
  <c r="S227" i="16"/>
  <c r="F227" i="16"/>
  <c r="S226" i="16"/>
  <c r="F226" i="16"/>
  <c r="V226" i="16" s="1"/>
  <c r="W225" i="16"/>
  <c r="X225" i="16" s="1"/>
  <c r="S224" i="16"/>
  <c r="F224" i="16"/>
  <c r="S223" i="16"/>
  <c r="F223" i="16"/>
  <c r="H223" i="16" s="1"/>
  <c r="S222" i="16"/>
  <c r="F222" i="16"/>
  <c r="H222" i="16" s="1"/>
  <c r="S221" i="16"/>
  <c r="F221" i="16"/>
  <c r="S220" i="16"/>
  <c r="F220" i="16"/>
  <c r="V220" i="16" s="1"/>
  <c r="S219" i="16"/>
  <c r="F219" i="16"/>
  <c r="V219" i="16" s="1"/>
  <c r="S218" i="16"/>
  <c r="F218" i="16"/>
  <c r="S217" i="16"/>
  <c r="F217" i="16"/>
  <c r="S216" i="16"/>
  <c r="F216" i="16"/>
  <c r="S215" i="16"/>
  <c r="F215" i="16"/>
  <c r="H215" i="16" s="1"/>
  <c r="W215" i="16" s="1"/>
  <c r="S214" i="16"/>
  <c r="F214" i="16"/>
  <c r="S213" i="16"/>
  <c r="F213" i="16"/>
  <c r="S212" i="16"/>
  <c r="F212" i="16"/>
  <c r="H212" i="16" s="1"/>
  <c r="W212" i="16" s="1"/>
  <c r="S211" i="16"/>
  <c r="F211" i="16"/>
  <c r="S210" i="16"/>
  <c r="F210" i="16"/>
  <c r="H210" i="16" s="1"/>
  <c r="W210" i="16" s="1"/>
  <c r="S209" i="16"/>
  <c r="F209" i="16"/>
  <c r="H209" i="16" s="1"/>
  <c r="S208" i="16"/>
  <c r="F208" i="16"/>
  <c r="S207" i="16"/>
  <c r="F207" i="16"/>
  <c r="V207" i="16" s="1"/>
  <c r="W206" i="16"/>
  <c r="X206" i="16" s="1"/>
  <c r="S205" i="16"/>
  <c r="F205" i="16"/>
  <c r="V205" i="16" s="1"/>
  <c r="S204" i="16"/>
  <c r="F204" i="16"/>
  <c r="V204" i="16" s="1"/>
  <c r="S203" i="16"/>
  <c r="F203" i="16"/>
  <c r="S202" i="16"/>
  <c r="F202" i="16"/>
  <c r="V202" i="16"/>
  <c r="S201" i="16"/>
  <c r="F201" i="16"/>
  <c r="V201" i="16" s="1"/>
  <c r="S200" i="16"/>
  <c r="F200" i="16"/>
  <c r="S199" i="16"/>
  <c r="F199" i="16"/>
  <c r="V199" i="16" s="1"/>
  <c r="S198" i="16"/>
  <c r="F198" i="16"/>
  <c r="S197" i="16"/>
  <c r="F197" i="16"/>
  <c r="V197" i="16" s="1"/>
  <c r="S196" i="16"/>
  <c r="F196" i="16"/>
  <c r="S195" i="16"/>
  <c r="F195" i="16"/>
  <c r="V195" i="16" s="1"/>
  <c r="S194" i="16"/>
  <c r="F194" i="16"/>
  <c r="S193" i="16"/>
  <c r="F193" i="16"/>
  <c r="V193" i="16" s="1"/>
  <c r="S192" i="16"/>
  <c r="F192" i="16"/>
  <c r="V192" i="16" s="1"/>
  <c r="S191" i="16"/>
  <c r="F191" i="16"/>
  <c r="S190" i="16"/>
  <c r="F190" i="16"/>
  <c r="S189" i="16"/>
  <c r="F189" i="16"/>
  <c r="S188" i="16"/>
  <c r="F188" i="16"/>
  <c r="S187" i="16"/>
  <c r="F187" i="16"/>
  <c r="V187" i="16" s="1"/>
  <c r="S186" i="16"/>
  <c r="F186" i="16"/>
  <c r="S185" i="16"/>
  <c r="F185" i="16"/>
  <c r="S184" i="16"/>
  <c r="F184" i="16"/>
  <c r="S183" i="16"/>
  <c r="F183" i="16"/>
  <c r="H183" i="16" s="1"/>
  <c r="W183" i="16" s="1"/>
  <c r="S182" i="16"/>
  <c r="M182" i="16"/>
  <c r="F182" i="16"/>
  <c r="V182" i="16" s="1"/>
  <c r="S181" i="16"/>
  <c r="F181" i="16"/>
  <c r="S180" i="16"/>
  <c r="F180" i="16"/>
  <c r="S179" i="16"/>
  <c r="F179" i="16"/>
  <c r="V179" i="16" s="1"/>
  <c r="S178" i="16"/>
  <c r="M178" i="16"/>
  <c r="N178" i="16" s="1"/>
  <c r="F178" i="16"/>
  <c r="H178" i="16" s="1"/>
  <c r="W178" i="16" s="1"/>
  <c r="X178" i="16" s="1"/>
  <c r="S177" i="16"/>
  <c r="M177" i="16"/>
  <c r="F177" i="16"/>
  <c r="H177" i="16" s="1"/>
  <c r="W177" i="16" s="1"/>
  <c r="X177" i="16" s="1"/>
  <c r="S176" i="16"/>
  <c r="M176" i="16"/>
  <c r="F176" i="16"/>
  <c r="S175" i="16"/>
  <c r="M175" i="16"/>
  <c r="F175" i="16"/>
  <c r="H175" i="16" s="1"/>
  <c r="W175" i="16" s="1"/>
  <c r="X175" i="16" s="1"/>
  <c r="S174" i="16"/>
  <c r="M174" i="16"/>
  <c r="N174" i="16" s="1"/>
  <c r="F174" i="16"/>
  <c r="V174" i="16" s="1"/>
  <c r="S173" i="16"/>
  <c r="M173" i="16"/>
  <c r="F173" i="16"/>
  <c r="S172" i="16"/>
  <c r="M172" i="16"/>
  <c r="F172" i="16"/>
  <c r="M171" i="16"/>
  <c r="S171" i="16"/>
  <c r="S170" i="16"/>
  <c r="M170" i="16"/>
  <c r="F170" i="16"/>
  <c r="N170" i="16" s="1"/>
  <c r="S169" i="16"/>
  <c r="M169" i="16"/>
  <c r="F169" i="16"/>
  <c r="H169" i="16" s="1"/>
  <c r="W169" i="16" s="1"/>
  <c r="X169" i="16" s="1"/>
  <c r="S168" i="16"/>
  <c r="M168" i="16"/>
  <c r="F168" i="16"/>
  <c r="V168" i="16" s="1"/>
  <c r="S167" i="16"/>
  <c r="M167" i="16"/>
  <c r="F167" i="16"/>
  <c r="S166" i="16"/>
  <c r="M166" i="16"/>
  <c r="F166" i="16"/>
  <c r="V166" i="16" s="1"/>
  <c r="S165" i="16"/>
  <c r="M165" i="16"/>
  <c r="F165" i="16"/>
  <c r="H165" i="16" s="1"/>
  <c r="W165" i="16" s="1"/>
  <c r="X165" i="16" s="1"/>
  <c r="S164" i="16"/>
  <c r="M164" i="16"/>
  <c r="F164" i="16"/>
  <c r="S163" i="16"/>
  <c r="M163" i="16"/>
  <c r="F163" i="16"/>
  <c r="H163" i="16" s="1"/>
  <c r="W163" i="16" s="1"/>
  <c r="X163" i="16" s="1"/>
  <c r="S162" i="16"/>
  <c r="M162" i="16"/>
  <c r="F162" i="16"/>
  <c r="S161" i="16"/>
  <c r="M161" i="16"/>
  <c r="F161" i="16"/>
  <c r="S160" i="16"/>
  <c r="M160" i="16"/>
  <c r="F160" i="16"/>
  <c r="S159" i="16"/>
  <c r="M159" i="16"/>
  <c r="F159" i="16"/>
  <c r="S158" i="16"/>
  <c r="M158" i="16"/>
  <c r="F158" i="16"/>
  <c r="S157" i="16"/>
  <c r="M157" i="16"/>
  <c r="F157" i="16"/>
  <c r="H157" i="16" s="1"/>
  <c r="W157" i="16" s="1"/>
  <c r="X157" i="16" s="1"/>
  <c r="M156" i="16"/>
  <c r="F156" i="16"/>
  <c r="S155" i="16"/>
  <c r="M155" i="16"/>
  <c r="F155" i="16"/>
  <c r="H155" i="16" s="1"/>
  <c r="W155" i="16" s="1"/>
  <c r="X155" i="16" s="1"/>
  <c r="S154" i="16"/>
  <c r="M154" i="16"/>
  <c r="F154" i="16"/>
  <c r="S153" i="16"/>
  <c r="M153" i="16"/>
  <c r="F153" i="16"/>
  <c r="H153" i="16" s="1"/>
  <c r="W153" i="16" s="1"/>
  <c r="X153" i="16" s="1"/>
  <c r="S152" i="16"/>
  <c r="M152" i="16"/>
  <c r="F152" i="16"/>
  <c r="V152" i="16" s="1"/>
  <c r="S151" i="16"/>
  <c r="M151" i="16"/>
  <c r="F151" i="16"/>
  <c r="H151" i="16" s="1"/>
  <c r="W151" i="16" s="1"/>
  <c r="X151" i="16" s="1"/>
  <c r="S150" i="16"/>
  <c r="M150" i="16"/>
  <c r="F150" i="16"/>
  <c r="S149" i="16"/>
  <c r="M149" i="16"/>
  <c r="F149" i="16"/>
  <c r="H149" i="16" s="1"/>
  <c r="W149" i="16" s="1"/>
  <c r="X149" i="16" s="1"/>
  <c r="S148" i="16"/>
  <c r="M148" i="16"/>
  <c r="N148" i="16" s="1"/>
  <c r="U148" i="16" s="1"/>
  <c r="F148" i="16"/>
  <c r="V148" i="16" s="1"/>
  <c r="S147" i="16"/>
  <c r="M147" i="16"/>
  <c r="F147" i="16"/>
  <c r="H147" i="16" s="1"/>
  <c r="W147" i="16" s="1"/>
  <c r="X147" i="16" s="1"/>
  <c r="S146" i="16"/>
  <c r="M146" i="16"/>
  <c r="F146" i="16"/>
  <c r="S145" i="16"/>
  <c r="M145" i="16"/>
  <c r="F145" i="16"/>
  <c r="S144" i="16"/>
  <c r="M144" i="16"/>
  <c r="N144" i="16" s="1"/>
  <c r="F144" i="16"/>
  <c r="S143" i="16"/>
  <c r="M143" i="16"/>
  <c r="F143" i="16"/>
  <c r="V143" i="16" s="1"/>
  <c r="S142" i="16"/>
  <c r="M142" i="16"/>
  <c r="F142" i="16"/>
  <c r="S141" i="16"/>
  <c r="M141" i="16"/>
  <c r="F141" i="16"/>
  <c r="V141" i="16" s="1"/>
  <c r="S140" i="16"/>
  <c r="M140" i="16"/>
  <c r="F140" i="16"/>
  <c r="S139" i="16"/>
  <c r="M139" i="16"/>
  <c r="F139" i="16"/>
  <c r="S138" i="16"/>
  <c r="M138" i="16"/>
  <c r="F138" i="16"/>
  <c r="H138" i="16" s="1"/>
  <c r="W138" i="16" s="1"/>
  <c r="X138" i="16" s="1"/>
  <c r="S137" i="16"/>
  <c r="M137" i="16"/>
  <c r="F137" i="16"/>
  <c r="S136" i="16"/>
  <c r="M136" i="16"/>
  <c r="N136" i="16" s="1"/>
  <c r="R136" i="16" s="1"/>
  <c r="F136" i="16"/>
  <c r="V136" i="16" s="1"/>
  <c r="S135" i="16"/>
  <c r="M135" i="16"/>
  <c r="F135" i="16"/>
  <c r="H135" i="16" s="1"/>
  <c r="W135" i="16" s="1"/>
  <c r="X135" i="16" s="1"/>
  <c r="S134" i="16"/>
  <c r="M134" i="16"/>
  <c r="F134" i="16"/>
  <c r="S133" i="16"/>
  <c r="M133" i="16"/>
  <c r="F133" i="16"/>
  <c r="H133" i="16" s="1"/>
  <c r="W133" i="16" s="1"/>
  <c r="X133" i="16" s="1"/>
  <c r="S132" i="16"/>
  <c r="M132" i="16"/>
  <c r="F132" i="16"/>
  <c r="S131" i="16"/>
  <c r="M131" i="16"/>
  <c r="F131" i="16"/>
  <c r="H131" i="16" s="1"/>
  <c r="W131" i="16" s="1"/>
  <c r="X131" i="16" s="1"/>
  <c r="S130" i="16"/>
  <c r="M130" i="16"/>
  <c r="F130" i="16"/>
  <c r="S129" i="16"/>
  <c r="M129" i="16"/>
  <c r="F129" i="16"/>
  <c r="V129" i="16" s="1"/>
  <c r="S128" i="16"/>
  <c r="M128" i="16"/>
  <c r="F128" i="16"/>
  <c r="S127" i="16"/>
  <c r="M127" i="16"/>
  <c r="F127" i="16"/>
  <c r="S126" i="16"/>
  <c r="M126" i="16"/>
  <c r="F126" i="16"/>
  <c r="V126" i="16" s="1"/>
  <c r="S125" i="16"/>
  <c r="M125" i="16"/>
  <c r="F125" i="16"/>
  <c r="S124" i="16"/>
  <c r="M124" i="16"/>
  <c r="F124" i="16"/>
  <c r="S123" i="16"/>
  <c r="M123" i="16"/>
  <c r="F123" i="16"/>
  <c r="V123" i="16" s="1"/>
  <c r="S122" i="16"/>
  <c r="M122" i="16"/>
  <c r="F122" i="16"/>
  <c r="S121" i="16"/>
  <c r="M121" i="16"/>
  <c r="F121" i="16"/>
  <c r="H121" i="16" s="1"/>
  <c r="W121" i="16" s="1"/>
  <c r="X121" i="16" s="1"/>
  <c r="S120" i="16"/>
  <c r="M120" i="16"/>
  <c r="F120" i="16"/>
  <c r="S119" i="16"/>
  <c r="M119" i="16"/>
  <c r="N119" i="16" s="1"/>
  <c r="U119" i="16" s="1"/>
  <c r="F119" i="16"/>
  <c r="S118" i="16"/>
  <c r="M118" i="16"/>
  <c r="F118" i="16"/>
  <c r="H118" i="16" s="1"/>
  <c r="W118" i="16" s="1"/>
  <c r="X118" i="16" s="1"/>
  <c r="S117" i="16"/>
  <c r="M117" i="16"/>
  <c r="F117" i="16"/>
  <c r="S116" i="16"/>
  <c r="M116" i="16"/>
  <c r="F116" i="16"/>
  <c r="M115" i="16"/>
  <c r="S115" i="16"/>
  <c r="S114" i="16"/>
  <c r="M114" i="16"/>
  <c r="F114" i="16"/>
  <c r="N114" i="16" s="1"/>
  <c r="S113" i="16"/>
  <c r="M113" i="16"/>
  <c r="F113" i="16"/>
  <c r="H113" i="16" s="1"/>
  <c r="W113" i="16" s="1"/>
  <c r="X113" i="16" s="1"/>
  <c r="S112" i="16"/>
  <c r="M112" i="16"/>
  <c r="F112" i="16"/>
  <c r="S111" i="16"/>
  <c r="M111" i="16"/>
  <c r="N111" i="16" s="1"/>
  <c r="R111" i="16" s="1"/>
  <c r="F111" i="16"/>
  <c r="V111" i="16" s="1"/>
  <c r="S110" i="16"/>
  <c r="M110" i="16"/>
  <c r="F110" i="16"/>
  <c r="N110" i="16" s="1"/>
  <c r="T110" i="16" s="1"/>
  <c r="S109" i="16"/>
  <c r="M109" i="16"/>
  <c r="F109" i="16"/>
  <c r="V109" i="16" s="1"/>
  <c r="S108" i="16"/>
  <c r="M108" i="16"/>
  <c r="F108" i="16"/>
  <c r="S107" i="16"/>
  <c r="M107" i="16"/>
  <c r="F107" i="16"/>
  <c r="S106" i="16"/>
  <c r="M106" i="16"/>
  <c r="F106" i="16"/>
  <c r="H106" i="16" s="1"/>
  <c r="W106" i="16" s="1"/>
  <c r="X106" i="16" s="1"/>
  <c r="S105" i="16"/>
  <c r="M105" i="16"/>
  <c r="F105" i="16"/>
  <c r="S104" i="16"/>
  <c r="M104" i="16"/>
  <c r="F104" i="16"/>
  <c r="V104" i="16" s="1"/>
  <c r="M103" i="16"/>
  <c r="S103" i="16"/>
  <c r="S102" i="16"/>
  <c r="M102" i="16"/>
  <c r="F102" i="16"/>
  <c r="S101" i="16"/>
  <c r="M101" i="16"/>
  <c r="F101" i="16"/>
  <c r="S100" i="16"/>
  <c r="M100" i="16"/>
  <c r="F100" i="16"/>
  <c r="S99" i="16"/>
  <c r="M99" i="16"/>
  <c r="F99" i="16"/>
  <c r="N99" i="16" s="1"/>
  <c r="S98" i="16"/>
  <c r="M98" i="16"/>
  <c r="F98" i="16"/>
  <c r="V98" i="16" s="1"/>
  <c r="S97" i="16"/>
  <c r="M97" i="16"/>
  <c r="F97" i="16"/>
  <c r="H97" i="16" s="1"/>
  <c r="W97" i="16" s="1"/>
  <c r="X97" i="16" s="1"/>
  <c r="S96" i="16"/>
  <c r="M96" i="16"/>
  <c r="F96" i="16"/>
  <c r="H96" i="16" s="1"/>
  <c r="W96" i="16" s="1"/>
  <c r="X96" i="16" s="1"/>
  <c r="S95" i="16"/>
  <c r="M95" i="16"/>
  <c r="F95" i="16"/>
  <c r="H95" i="16" s="1"/>
  <c r="W95" i="16" s="1"/>
  <c r="X95" i="16" s="1"/>
  <c r="S94" i="16"/>
  <c r="M94" i="16"/>
  <c r="F94" i="16"/>
  <c r="S93" i="16"/>
  <c r="M93" i="16"/>
  <c r="F93" i="16"/>
  <c r="H93" i="16" s="1"/>
  <c r="W93" i="16" s="1"/>
  <c r="X93" i="16" s="1"/>
  <c r="S92" i="16"/>
  <c r="M92" i="16"/>
  <c r="F92" i="16"/>
  <c r="H92" i="16" s="1"/>
  <c r="W92" i="16" s="1"/>
  <c r="X92" i="16" s="1"/>
  <c r="S91" i="16"/>
  <c r="M91" i="16"/>
  <c r="F91" i="16"/>
  <c r="H91" i="16" s="1"/>
  <c r="W91" i="16" s="1"/>
  <c r="X91" i="16" s="1"/>
  <c r="S90" i="16"/>
  <c r="M90" i="16"/>
  <c r="F90" i="16"/>
  <c r="V90" i="16" s="1"/>
  <c r="S89" i="16"/>
  <c r="T89" i="16" s="1"/>
  <c r="M89" i="16"/>
  <c r="N89" i="16" s="1"/>
  <c r="U89" i="16" s="1"/>
  <c r="F89" i="16"/>
  <c r="S88" i="16"/>
  <c r="M88" i="16"/>
  <c r="N88" i="16" s="1"/>
  <c r="F88" i="16"/>
  <c r="H88" i="16" s="1"/>
  <c r="W88" i="16" s="1"/>
  <c r="X88" i="16" s="1"/>
  <c r="S87" i="16"/>
  <c r="M87" i="16"/>
  <c r="F87" i="16"/>
  <c r="H87" i="16" s="1"/>
  <c r="W87" i="16" s="1"/>
  <c r="X87" i="16" s="1"/>
  <c r="S86" i="16"/>
  <c r="M86" i="16"/>
  <c r="F86" i="16"/>
  <c r="S85" i="16"/>
  <c r="M85" i="16"/>
  <c r="F85" i="16"/>
  <c r="S84" i="16"/>
  <c r="M84" i="16"/>
  <c r="N84" i="16" s="1"/>
  <c r="F84" i="16"/>
  <c r="S83" i="16"/>
  <c r="M83" i="16"/>
  <c r="F83" i="16"/>
  <c r="S82" i="16"/>
  <c r="M82" i="16"/>
  <c r="F82" i="16"/>
  <c r="N82" i="16" s="1"/>
  <c r="S81" i="16"/>
  <c r="M81" i="16"/>
  <c r="F81" i="16"/>
  <c r="S80" i="16"/>
  <c r="M80" i="16"/>
  <c r="F80" i="16"/>
  <c r="S79" i="16"/>
  <c r="M79" i="16"/>
  <c r="F79" i="16"/>
  <c r="V79" i="16" s="1"/>
  <c r="S78" i="16"/>
  <c r="M78" i="16"/>
  <c r="F78" i="16"/>
  <c r="N78" i="16" s="1"/>
  <c r="S77" i="16"/>
  <c r="M77" i="16"/>
  <c r="F77" i="16"/>
  <c r="S76" i="16"/>
  <c r="M76" i="16"/>
  <c r="F76" i="16"/>
  <c r="V76" i="16" s="1"/>
  <c r="S75" i="16"/>
  <c r="M75" i="16"/>
  <c r="F75" i="16"/>
  <c r="V75" i="16" s="1"/>
  <c r="S74" i="16"/>
  <c r="M74" i="16"/>
  <c r="F74" i="16"/>
  <c r="H74" i="16" s="1"/>
  <c r="W74" i="16" s="1"/>
  <c r="X74" i="16" s="1"/>
  <c r="S73" i="16"/>
  <c r="M73" i="16"/>
  <c r="F73" i="16"/>
  <c r="V73" i="16" s="1"/>
  <c r="S72" i="16"/>
  <c r="M72" i="16"/>
  <c r="F72" i="16"/>
  <c r="V72" i="16" s="1"/>
  <c r="S71" i="16"/>
  <c r="M71" i="16"/>
  <c r="N71" i="16" s="1"/>
  <c r="F71" i="16"/>
  <c r="S70" i="16"/>
  <c r="M70" i="16"/>
  <c r="F70" i="16"/>
  <c r="N70" i="16" s="1"/>
  <c r="T70" i="16" s="1"/>
  <c r="S69" i="16"/>
  <c r="M69" i="16"/>
  <c r="F69" i="16"/>
  <c r="S68" i="16"/>
  <c r="M68" i="16"/>
  <c r="F68" i="16"/>
  <c r="S67" i="16"/>
  <c r="M67" i="16"/>
  <c r="F67" i="16"/>
  <c r="S66" i="16"/>
  <c r="M66" i="16"/>
  <c r="F66" i="16"/>
  <c r="S65" i="16"/>
  <c r="M65" i="16"/>
  <c r="F65" i="16"/>
  <c r="S64" i="16"/>
  <c r="M64" i="16"/>
  <c r="N64" i="16" s="1"/>
  <c r="F64" i="16"/>
  <c r="H64" i="16" s="1"/>
  <c r="W64" i="16" s="1"/>
  <c r="S63" i="16"/>
  <c r="M63" i="16"/>
  <c r="F63" i="16"/>
  <c r="V63" i="16" s="1"/>
  <c r="S62" i="16"/>
  <c r="M62" i="16"/>
  <c r="F62" i="16"/>
  <c r="H62" i="16" s="1"/>
  <c r="W62" i="16" s="1"/>
  <c r="X62" i="16" s="1"/>
  <c r="S61" i="16"/>
  <c r="M61" i="16"/>
  <c r="F61" i="16"/>
  <c r="S60" i="16"/>
  <c r="M60" i="16"/>
  <c r="F60" i="16"/>
  <c r="S59" i="16"/>
  <c r="M59" i="16"/>
  <c r="F59" i="16"/>
  <c r="H59" i="16" s="1"/>
  <c r="W59" i="16" s="1"/>
  <c r="X59" i="16" s="1"/>
  <c r="S58" i="16"/>
  <c r="M58" i="16"/>
  <c r="F58" i="16"/>
  <c r="V58" i="16" s="1"/>
  <c r="S57" i="16"/>
  <c r="M57" i="16"/>
  <c r="F57" i="16"/>
  <c r="H57" i="16" s="1"/>
  <c r="W57" i="16" s="1"/>
  <c r="X57" i="16" s="1"/>
  <c r="M56" i="16"/>
  <c r="S55" i="16"/>
  <c r="M55" i="16"/>
  <c r="F55" i="16"/>
  <c r="S54" i="16"/>
  <c r="M54" i="16"/>
  <c r="F54" i="16"/>
  <c r="S53" i="16"/>
  <c r="M53" i="16"/>
  <c r="F53" i="16"/>
  <c r="V53" i="16" s="1"/>
  <c r="S52" i="16"/>
  <c r="M52" i="16"/>
  <c r="F52" i="16"/>
  <c r="S51" i="16"/>
  <c r="M51" i="16"/>
  <c r="F51" i="16"/>
  <c r="S50" i="16"/>
  <c r="M50" i="16"/>
  <c r="F50" i="16"/>
  <c r="S49" i="16"/>
  <c r="M49" i="16"/>
  <c r="F49" i="16"/>
  <c r="S48" i="16"/>
  <c r="M48" i="16"/>
  <c r="F48" i="16"/>
  <c r="H48" i="16" s="1"/>
  <c r="W48" i="16" s="1"/>
  <c r="X48" i="16" s="1"/>
  <c r="S47" i="16"/>
  <c r="M47" i="16"/>
  <c r="F47" i="16"/>
  <c r="S46" i="16"/>
  <c r="M46" i="16"/>
  <c r="F46" i="16"/>
  <c r="H46" i="16" s="1"/>
  <c r="W46" i="16" s="1"/>
  <c r="X46" i="16" s="1"/>
  <c r="S45" i="16"/>
  <c r="M45" i="16"/>
  <c r="F45" i="16"/>
  <c r="M44" i="16"/>
  <c r="S43" i="16"/>
  <c r="M43" i="16"/>
  <c r="N43" i="16" s="1"/>
  <c r="R43" i="16" s="1"/>
  <c r="F43" i="16"/>
  <c r="S42" i="16"/>
  <c r="M42" i="16"/>
  <c r="F42" i="16"/>
  <c r="V42" i="16" s="1"/>
  <c r="S41" i="16"/>
  <c r="M41" i="16"/>
  <c r="F41" i="16"/>
  <c r="H41" i="16" s="1"/>
  <c r="W41" i="16" s="1"/>
  <c r="X41" i="16" s="1"/>
  <c r="S40" i="16"/>
  <c r="M40" i="16"/>
  <c r="N40" i="16" s="1"/>
  <c r="F40" i="16"/>
  <c r="V40" i="16" s="1"/>
  <c r="M39" i="16"/>
  <c r="S38" i="16"/>
  <c r="M38" i="16"/>
  <c r="F38" i="16"/>
  <c r="S37" i="16"/>
  <c r="M37" i="16"/>
  <c r="N37" i="16" s="1"/>
  <c r="R37" i="16" s="1"/>
  <c r="F37" i="16"/>
  <c r="S36" i="16"/>
  <c r="M36" i="16"/>
  <c r="F36" i="16"/>
  <c r="S35" i="16"/>
  <c r="M35" i="16"/>
  <c r="F35" i="16"/>
  <c r="S34" i="16"/>
  <c r="M34" i="16"/>
  <c r="F34" i="16"/>
  <c r="S33" i="16"/>
  <c r="M33" i="16"/>
  <c r="F33" i="16"/>
  <c r="H33" i="16" s="1"/>
  <c r="W33" i="16" s="1"/>
  <c r="X33" i="16" s="1"/>
  <c r="S32" i="16"/>
  <c r="M32" i="16"/>
  <c r="F32" i="16"/>
  <c r="S31" i="16"/>
  <c r="M31" i="16"/>
  <c r="F31" i="16"/>
  <c r="H31" i="16" s="1"/>
  <c r="W31" i="16" s="1"/>
  <c r="X31" i="16" s="1"/>
  <c r="S30" i="16"/>
  <c r="M30" i="16"/>
  <c r="F30" i="16"/>
  <c r="S29" i="16"/>
  <c r="M29" i="16"/>
  <c r="F29" i="16"/>
  <c r="V29" i="16" s="1"/>
  <c r="S28" i="16"/>
  <c r="M28" i="16"/>
  <c r="F28" i="16"/>
  <c r="H28" i="16" s="1"/>
  <c r="W28" i="16" s="1"/>
  <c r="X28" i="16" s="1"/>
  <c r="S27" i="16"/>
  <c r="M27" i="16"/>
  <c r="F27" i="16"/>
  <c r="S26" i="16"/>
  <c r="M26" i="16"/>
  <c r="F26" i="16"/>
  <c r="S25" i="16"/>
  <c r="M25" i="16"/>
  <c r="F25" i="16"/>
  <c r="H25" i="16" s="1"/>
  <c r="W25" i="16" s="1"/>
  <c r="X25" i="16" s="1"/>
  <c r="M24" i="16"/>
  <c r="S23" i="16"/>
  <c r="M23" i="16"/>
  <c r="F23" i="16"/>
  <c r="S22" i="16"/>
  <c r="M22" i="16"/>
  <c r="F22" i="16"/>
  <c r="H22" i="16" s="1"/>
  <c r="W22" i="16" s="1"/>
  <c r="X22" i="16" s="1"/>
  <c r="S21" i="16"/>
  <c r="M21" i="16"/>
  <c r="F21" i="16"/>
  <c r="H21" i="16" s="1"/>
  <c r="W21" i="16" s="1"/>
  <c r="X21" i="16" s="1"/>
  <c r="S20" i="16"/>
  <c r="M20" i="16"/>
  <c r="F20" i="16"/>
  <c r="S19" i="16"/>
  <c r="M19" i="16"/>
  <c r="F19" i="16"/>
  <c r="S18" i="16"/>
  <c r="M18" i="16"/>
  <c r="F18" i="16"/>
  <c r="S17" i="16"/>
  <c r="M17" i="16"/>
  <c r="F17" i="16"/>
  <c r="H17" i="16" s="1"/>
  <c r="W17" i="16" s="1"/>
  <c r="X17" i="16" s="1"/>
  <c r="S16" i="16"/>
  <c r="M16" i="16"/>
  <c r="F16" i="16"/>
  <c r="S15" i="16"/>
  <c r="M15" i="16"/>
  <c r="N15" i="16" s="1"/>
  <c r="U15" i="16" s="1"/>
  <c r="F15" i="16"/>
  <c r="S14" i="16"/>
  <c r="M14" i="16"/>
  <c r="F14" i="16"/>
  <c r="H14" i="16" s="1"/>
  <c r="W14" i="16" s="1"/>
  <c r="X14" i="16" s="1"/>
  <c r="S13" i="16"/>
  <c r="M13" i="16"/>
  <c r="F13" i="16"/>
  <c r="H13" i="16" s="1"/>
  <c r="W13" i="16" s="1"/>
  <c r="X13" i="16" s="1"/>
  <c r="S12" i="16"/>
  <c r="M12" i="16"/>
  <c r="F12" i="16"/>
  <c r="S11" i="16"/>
  <c r="M11" i="16"/>
  <c r="F11" i="16"/>
  <c r="H11" i="16" s="1"/>
  <c r="W11" i="16" s="1"/>
  <c r="X11" i="16" s="1"/>
  <c r="S10" i="16"/>
  <c r="M10" i="16"/>
  <c r="F10" i="16"/>
  <c r="S9" i="16"/>
  <c r="M9" i="16"/>
  <c r="F9" i="16"/>
  <c r="H9" i="16" s="1"/>
  <c r="W9" i="16" s="1"/>
  <c r="X9" i="16" s="1"/>
  <c r="S8" i="16"/>
  <c r="M8" i="16"/>
  <c r="F8" i="16"/>
  <c r="S7" i="16"/>
  <c r="M7" i="16"/>
  <c r="F7" i="16"/>
  <c r="H7" i="16" s="1"/>
  <c r="W7" i="16" s="1"/>
  <c r="X7" i="16" s="1"/>
  <c r="S6" i="16"/>
  <c r="M6" i="16"/>
  <c r="F6" i="16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M5" i="16"/>
  <c r="F5" i="16"/>
  <c r="V5" i="16" s="1"/>
  <c r="G537" i="15"/>
  <c r="E13" i="3" s="1"/>
  <c r="E537" i="15"/>
  <c r="C13" i="3" s="1"/>
  <c r="D537" i="15"/>
  <c r="B13" i="3" s="1"/>
  <c r="W536" i="15"/>
  <c r="X536" i="15" s="1"/>
  <c r="V536" i="15"/>
  <c r="U536" i="15"/>
  <c r="S536" i="15"/>
  <c r="T536" i="15" s="1"/>
  <c r="S447" i="15"/>
  <c r="S446" i="15"/>
  <c r="S445" i="15"/>
  <c r="S444" i="15"/>
  <c r="S443" i="15"/>
  <c r="S442" i="15"/>
  <c r="S441" i="15"/>
  <c r="S440" i="15"/>
  <c r="S439" i="15"/>
  <c r="S438" i="15"/>
  <c r="S437" i="15"/>
  <c r="S436" i="15"/>
  <c r="S435" i="15"/>
  <c r="S434" i="15"/>
  <c r="S433" i="15"/>
  <c r="S432" i="15"/>
  <c r="S431" i="15"/>
  <c r="S430" i="15"/>
  <c r="S429" i="15"/>
  <c r="S428" i="15"/>
  <c r="S427" i="15"/>
  <c r="S426" i="15"/>
  <c r="S425" i="15"/>
  <c r="S424" i="15"/>
  <c r="S423" i="15"/>
  <c r="S422" i="15"/>
  <c r="S421" i="15"/>
  <c r="S420" i="15"/>
  <c r="S419" i="15"/>
  <c r="S418" i="15"/>
  <c r="S417" i="15"/>
  <c r="S416" i="15"/>
  <c r="S415" i="15"/>
  <c r="S414" i="15"/>
  <c r="S413" i="15"/>
  <c r="S412" i="15"/>
  <c r="S411" i="15"/>
  <c r="S410" i="15"/>
  <c r="S409" i="15"/>
  <c r="S408" i="15"/>
  <c r="S407" i="15"/>
  <c r="S406" i="15"/>
  <c r="S405" i="15"/>
  <c r="S404" i="15"/>
  <c r="S403" i="15"/>
  <c r="S402" i="15"/>
  <c r="S401" i="15"/>
  <c r="S400" i="15"/>
  <c r="S399" i="15"/>
  <c r="S398" i="15"/>
  <c r="S397" i="15"/>
  <c r="S396" i="15"/>
  <c r="S395" i="15"/>
  <c r="S394" i="15"/>
  <c r="S393" i="15"/>
  <c r="S392" i="15"/>
  <c r="S391" i="15"/>
  <c r="S390" i="15"/>
  <c r="S389" i="15"/>
  <c r="S388" i="15"/>
  <c r="S387" i="15"/>
  <c r="S386" i="15"/>
  <c r="S385" i="15"/>
  <c r="S384" i="15"/>
  <c r="S383" i="15"/>
  <c r="S382" i="15"/>
  <c r="S381" i="15"/>
  <c r="S380" i="15"/>
  <c r="S379" i="15"/>
  <c r="S378" i="15"/>
  <c r="S377" i="15"/>
  <c r="S376" i="15"/>
  <c r="S375" i="15"/>
  <c r="S374" i="15"/>
  <c r="S373" i="15"/>
  <c r="S372" i="15"/>
  <c r="S371" i="15"/>
  <c r="S370" i="15"/>
  <c r="S369" i="15"/>
  <c r="S368" i="15"/>
  <c r="S367" i="15"/>
  <c r="S366" i="15"/>
  <c r="S365" i="15"/>
  <c r="S364" i="15"/>
  <c r="S363" i="15"/>
  <c r="S362" i="15"/>
  <c r="S361" i="15"/>
  <c r="S360" i="15"/>
  <c r="S359" i="15"/>
  <c r="S358" i="15"/>
  <c r="S357" i="15"/>
  <c r="S356" i="15"/>
  <c r="S355" i="15"/>
  <c r="S354" i="15"/>
  <c r="S353" i="15"/>
  <c r="S352" i="15"/>
  <c r="S351" i="15"/>
  <c r="S350" i="15"/>
  <c r="S349" i="15"/>
  <c r="S348" i="15"/>
  <c r="S347" i="15"/>
  <c r="S346" i="15"/>
  <c r="S345" i="15"/>
  <c r="S344" i="15"/>
  <c r="S343" i="15"/>
  <c r="S342" i="15"/>
  <c r="T342" i="15" s="1"/>
  <c r="S341" i="15"/>
  <c r="S340" i="15"/>
  <c r="S339" i="15"/>
  <c r="S338" i="15"/>
  <c r="S337" i="15"/>
  <c r="S336" i="15"/>
  <c r="T336" i="15" s="1"/>
  <c r="S335" i="15"/>
  <c r="T335" i="15" s="1"/>
  <c r="S334" i="15"/>
  <c r="S333" i="15"/>
  <c r="S332" i="15"/>
  <c r="S331" i="15"/>
  <c r="S330" i="15"/>
  <c r="S329" i="15"/>
  <c r="S328" i="15"/>
  <c r="S327" i="15"/>
  <c r="S326" i="15"/>
  <c r="S325" i="15"/>
  <c r="S324" i="15"/>
  <c r="S323" i="15"/>
  <c r="T323" i="15" s="1"/>
  <c r="S322" i="15"/>
  <c r="S321" i="15"/>
  <c r="S320" i="15"/>
  <c r="S319" i="15"/>
  <c r="S318" i="15"/>
  <c r="S317" i="15"/>
  <c r="S316" i="15"/>
  <c r="S315" i="15"/>
  <c r="S314" i="15"/>
  <c r="S313" i="15"/>
  <c r="T313" i="15" s="1"/>
  <c r="S312" i="15"/>
  <c r="S311" i="15"/>
  <c r="S310" i="15"/>
  <c r="S309" i="15"/>
  <c r="S308" i="15"/>
  <c r="S307" i="15"/>
  <c r="S306" i="15"/>
  <c r="S305" i="15"/>
  <c r="S304" i="15"/>
  <c r="S303" i="15"/>
  <c r="S302" i="15"/>
  <c r="S301" i="15"/>
  <c r="S300" i="15"/>
  <c r="S299" i="15"/>
  <c r="S298" i="15"/>
  <c r="S297" i="15"/>
  <c r="S296" i="15"/>
  <c r="S295" i="15"/>
  <c r="S294" i="15"/>
  <c r="S293" i="15"/>
  <c r="S292" i="15"/>
  <c r="S291" i="15"/>
  <c r="S290" i="15"/>
  <c r="S289" i="15"/>
  <c r="S288" i="15"/>
  <c r="S287" i="15"/>
  <c r="S286" i="15"/>
  <c r="S285" i="15"/>
  <c r="S284" i="15"/>
  <c r="S283" i="15"/>
  <c r="S282" i="15"/>
  <c r="S281" i="15"/>
  <c r="S280" i="15"/>
  <c r="S279" i="15"/>
  <c r="S278" i="15"/>
  <c r="S277" i="15"/>
  <c r="S276" i="15"/>
  <c r="S275" i="15"/>
  <c r="S274" i="15"/>
  <c r="S273" i="15"/>
  <c r="S272" i="15"/>
  <c r="S271" i="15"/>
  <c r="S270" i="15"/>
  <c r="S269" i="15"/>
  <c r="S268" i="15"/>
  <c r="S267" i="15"/>
  <c r="S266" i="15"/>
  <c r="S265" i="15"/>
  <c r="S264" i="15"/>
  <c r="S263" i="15"/>
  <c r="S262" i="15"/>
  <c r="S261" i="15"/>
  <c r="S260" i="15"/>
  <c r="S259" i="15"/>
  <c r="S258" i="15"/>
  <c r="S257" i="15"/>
  <c r="S256" i="15"/>
  <c r="S255" i="15"/>
  <c r="S254" i="15"/>
  <c r="S253" i="15"/>
  <c r="S252" i="15"/>
  <c r="S251" i="15"/>
  <c r="S250" i="15"/>
  <c r="S249" i="15"/>
  <c r="S248" i="15"/>
  <c r="S247" i="15"/>
  <c r="S246" i="15"/>
  <c r="S245" i="15"/>
  <c r="S244" i="15"/>
  <c r="S243" i="15"/>
  <c r="S242" i="15"/>
  <c r="S241" i="15"/>
  <c r="S240" i="15"/>
  <c r="S239" i="15"/>
  <c r="S238" i="15"/>
  <c r="S237" i="15"/>
  <c r="S236" i="15"/>
  <c r="S235" i="15"/>
  <c r="S234" i="15"/>
  <c r="S233" i="15"/>
  <c r="S232" i="15"/>
  <c r="S231" i="15"/>
  <c r="S230" i="15"/>
  <c r="S229" i="15"/>
  <c r="S228" i="15"/>
  <c r="S227" i="15"/>
  <c r="S226" i="15"/>
  <c r="S225" i="15"/>
  <c r="S224" i="15"/>
  <c r="S223" i="15"/>
  <c r="S222" i="15"/>
  <c r="S221" i="15"/>
  <c r="S220" i="15"/>
  <c r="S219" i="15"/>
  <c r="S218" i="15"/>
  <c r="S217" i="15"/>
  <c r="S216" i="15"/>
  <c r="S215" i="15"/>
  <c r="S214" i="15"/>
  <c r="S213" i="15"/>
  <c r="S212" i="15"/>
  <c r="M212" i="15"/>
  <c r="S211" i="15"/>
  <c r="S210" i="15"/>
  <c r="S209" i="15"/>
  <c r="S208" i="15"/>
  <c r="S207" i="15"/>
  <c r="S206" i="15"/>
  <c r="S205" i="15"/>
  <c r="S204" i="15"/>
  <c r="S203" i="15"/>
  <c r="S202" i="15"/>
  <c r="S201" i="15"/>
  <c r="S200" i="15"/>
  <c r="S199" i="15"/>
  <c r="W198" i="15"/>
  <c r="X198" i="15" s="1"/>
  <c r="S198" i="15"/>
  <c r="S197" i="15"/>
  <c r="S196" i="15"/>
  <c r="S195" i="15"/>
  <c r="S194" i="15"/>
  <c r="R194" i="15"/>
  <c r="S193" i="15"/>
  <c r="S192" i="15"/>
  <c r="M192" i="15"/>
  <c r="S191" i="15"/>
  <c r="M191" i="15"/>
  <c r="S190" i="15"/>
  <c r="M190" i="15"/>
  <c r="S189" i="15"/>
  <c r="M189" i="15"/>
  <c r="S188" i="15"/>
  <c r="M188" i="15"/>
  <c r="S187" i="15"/>
  <c r="M187" i="15"/>
  <c r="N187" i="15" s="1"/>
  <c r="R187" i="15" s="1"/>
  <c r="S186" i="15"/>
  <c r="M186" i="15"/>
  <c r="S185" i="15"/>
  <c r="M185" i="15"/>
  <c r="S184" i="15"/>
  <c r="M184" i="15"/>
  <c r="S183" i="15"/>
  <c r="M183" i="15"/>
  <c r="S182" i="15"/>
  <c r="M182" i="15"/>
  <c r="S181" i="15"/>
  <c r="M181" i="15"/>
  <c r="S180" i="15"/>
  <c r="M180" i="15"/>
  <c r="S179" i="15"/>
  <c r="M179" i="15"/>
  <c r="N179" i="15" s="1"/>
  <c r="R179" i="15" s="1"/>
  <c r="S178" i="15"/>
  <c r="M178" i="15"/>
  <c r="N178" i="15" s="1"/>
  <c r="R178" i="15" s="1"/>
  <c r="S177" i="15"/>
  <c r="M177" i="15"/>
  <c r="S176" i="15"/>
  <c r="M176" i="15"/>
  <c r="S175" i="15"/>
  <c r="M175" i="15"/>
  <c r="S174" i="15"/>
  <c r="M174" i="15"/>
  <c r="N174" i="15" s="1"/>
  <c r="S173" i="15"/>
  <c r="M173" i="15"/>
  <c r="S172" i="15"/>
  <c r="M172" i="15"/>
  <c r="S171" i="15"/>
  <c r="M171" i="15"/>
  <c r="N171" i="15" s="1"/>
  <c r="S170" i="15"/>
  <c r="M170" i="15"/>
  <c r="N170" i="15" s="1"/>
  <c r="S169" i="15"/>
  <c r="M169" i="15"/>
  <c r="S168" i="15"/>
  <c r="M168" i="15"/>
  <c r="S167" i="15"/>
  <c r="M167" i="15"/>
  <c r="S166" i="15"/>
  <c r="M166" i="15"/>
  <c r="N166" i="15" s="1"/>
  <c r="S165" i="15"/>
  <c r="M165" i="15"/>
  <c r="S164" i="15"/>
  <c r="M164" i="15"/>
  <c r="S163" i="15"/>
  <c r="M163" i="15"/>
  <c r="N163" i="15" s="1"/>
  <c r="R163" i="15" s="1"/>
  <c r="S162" i="15"/>
  <c r="M162" i="15"/>
  <c r="S161" i="15"/>
  <c r="M161" i="15"/>
  <c r="S160" i="15"/>
  <c r="M160" i="15"/>
  <c r="S159" i="15"/>
  <c r="M159" i="15"/>
  <c r="S158" i="15"/>
  <c r="M158" i="15"/>
  <c r="S157" i="15"/>
  <c r="M157" i="15"/>
  <c r="S156" i="15"/>
  <c r="M156" i="15"/>
  <c r="N156" i="15" s="1"/>
  <c r="S155" i="15"/>
  <c r="M155" i="15"/>
  <c r="N155" i="15" s="1"/>
  <c r="U155" i="15" s="1"/>
  <c r="S154" i="15"/>
  <c r="M154" i="15"/>
  <c r="S153" i="15"/>
  <c r="M153" i="15"/>
  <c r="S152" i="15"/>
  <c r="M152" i="15"/>
  <c r="S151" i="15"/>
  <c r="M151" i="15"/>
  <c r="S150" i="15"/>
  <c r="M150" i="15"/>
  <c r="S149" i="15"/>
  <c r="M149" i="15"/>
  <c r="S148" i="15"/>
  <c r="M148" i="15"/>
  <c r="S147" i="15"/>
  <c r="M147" i="15"/>
  <c r="N147" i="15" s="1"/>
  <c r="S146" i="15"/>
  <c r="M146" i="15"/>
  <c r="S145" i="15"/>
  <c r="M145" i="15"/>
  <c r="S144" i="15"/>
  <c r="M144" i="15"/>
  <c r="S143" i="15"/>
  <c r="M143" i="15"/>
  <c r="N143" i="15" s="1"/>
  <c r="S142" i="15"/>
  <c r="M142" i="15"/>
  <c r="S141" i="15"/>
  <c r="M141" i="15"/>
  <c r="S140" i="15"/>
  <c r="M140" i="15"/>
  <c r="S139" i="15"/>
  <c r="M139" i="15"/>
  <c r="N139" i="15" s="1"/>
  <c r="R139" i="15" s="1"/>
  <c r="S138" i="15"/>
  <c r="M138" i="15"/>
  <c r="S137" i="15"/>
  <c r="M137" i="15"/>
  <c r="W136" i="15"/>
  <c r="X136" i="15" s="1"/>
  <c r="S136" i="15"/>
  <c r="S135" i="15"/>
  <c r="M135" i="15"/>
  <c r="N135" i="15" s="1"/>
  <c r="R135" i="15" s="1"/>
  <c r="W134" i="15"/>
  <c r="X134" i="15" s="1"/>
  <c r="S134" i="15"/>
  <c r="S133" i="15"/>
  <c r="M133" i="15"/>
  <c r="S132" i="15"/>
  <c r="M132" i="15"/>
  <c r="S131" i="15"/>
  <c r="M131" i="15"/>
  <c r="N131" i="15" s="1"/>
  <c r="S130" i="15"/>
  <c r="M130" i="15"/>
  <c r="S129" i="15"/>
  <c r="M129" i="15"/>
  <c r="S128" i="15"/>
  <c r="T128" i="15" s="1"/>
  <c r="W128" i="15"/>
  <c r="X128" i="15" s="1"/>
  <c r="S127" i="15"/>
  <c r="T127" i="15" s="1"/>
  <c r="S126" i="15"/>
  <c r="M126" i="15"/>
  <c r="N126" i="15" s="1"/>
  <c r="S125" i="15"/>
  <c r="M125" i="15"/>
  <c r="S124" i="15"/>
  <c r="M124" i="15"/>
  <c r="S123" i="15"/>
  <c r="M123" i="15"/>
  <c r="S122" i="15"/>
  <c r="M122" i="15"/>
  <c r="N122" i="15" s="1"/>
  <c r="W121" i="15"/>
  <c r="X121" i="15" s="1"/>
  <c r="V121" i="15"/>
  <c r="S121" i="15"/>
  <c r="T121" i="15" s="1"/>
  <c r="R121" i="15"/>
  <c r="M121" i="15"/>
  <c r="S120" i="15"/>
  <c r="M120" i="15"/>
  <c r="S119" i="15"/>
  <c r="M119" i="15"/>
  <c r="S118" i="15"/>
  <c r="M118" i="15"/>
  <c r="N118" i="15" s="1"/>
  <c r="U118" i="15" s="1"/>
  <c r="S117" i="15"/>
  <c r="M117" i="15"/>
  <c r="S116" i="15"/>
  <c r="M116" i="15"/>
  <c r="S115" i="15"/>
  <c r="M115" i="15"/>
  <c r="W114" i="15"/>
  <c r="X114" i="15" s="1"/>
  <c r="S114" i="15"/>
  <c r="S113" i="15"/>
  <c r="M113" i="15"/>
  <c r="S112" i="15"/>
  <c r="M112" i="15"/>
  <c r="W111" i="15"/>
  <c r="X111" i="15" s="1"/>
  <c r="S111" i="15"/>
  <c r="S110" i="15"/>
  <c r="M110" i="15"/>
  <c r="N110" i="15" s="1"/>
  <c r="S109" i="15"/>
  <c r="M109" i="15"/>
  <c r="S108" i="15"/>
  <c r="M108" i="15"/>
  <c r="S107" i="15"/>
  <c r="M107" i="15"/>
  <c r="N107" i="15" s="1"/>
  <c r="U107" i="15" s="1"/>
  <c r="S106" i="15"/>
  <c r="M106" i="15"/>
  <c r="S105" i="15"/>
  <c r="M105" i="15"/>
  <c r="S104" i="15"/>
  <c r="M104" i="15"/>
  <c r="S103" i="15"/>
  <c r="M103" i="15"/>
  <c r="S102" i="15"/>
  <c r="M102" i="15"/>
  <c r="S101" i="15"/>
  <c r="M101" i="15"/>
  <c r="S100" i="15"/>
  <c r="M100" i="15"/>
  <c r="S99" i="15"/>
  <c r="M99" i="15"/>
  <c r="S98" i="15"/>
  <c r="M98" i="15"/>
  <c r="S97" i="15"/>
  <c r="M97" i="15"/>
  <c r="S96" i="15"/>
  <c r="M96" i="15"/>
  <c r="S95" i="15"/>
  <c r="M95" i="15"/>
  <c r="S94" i="15"/>
  <c r="M94" i="15"/>
  <c r="S93" i="15"/>
  <c r="M93" i="15"/>
  <c r="S92" i="15"/>
  <c r="M92" i="15"/>
  <c r="S91" i="15"/>
  <c r="M91" i="15"/>
  <c r="S90" i="15"/>
  <c r="M90" i="15"/>
  <c r="S89" i="15"/>
  <c r="M89" i="15"/>
  <c r="S88" i="15"/>
  <c r="M88" i="15"/>
  <c r="S87" i="15"/>
  <c r="T87" i="15" s="1"/>
  <c r="S86" i="15"/>
  <c r="M86" i="15"/>
  <c r="S85" i="15"/>
  <c r="M85" i="15"/>
  <c r="S84" i="15"/>
  <c r="M84" i="15"/>
  <c r="S83" i="15"/>
  <c r="M83" i="15"/>
  <c r="N83" i="15" s="1"/>
  <c r="W82" i="15"/>
  <c r="X82" i="15" s="1"/>
  <c r="S82" i="15"/>
  <c r="M82" i="15"/>
  <c r="S81" i="15"/>
  <c r="M81" i="15"/>
  <c r="S80" i="15"/>
  <c r="M80" i="15"/>
  <c r="S79" i="15"/>
  <c r="M79" i="15"/>
  <c r="S78" i="15"/>
  <c r="M78" i="15"/>
  <c r="S77" i="15"/>
  <c r="M77" i="15"/>
  <c r="S76" i="15"/>
  <c r="M76" i="15"/>
  <c r="S75" i="15"/>
  <c r="M75" i="15"/>
  <c r="S74" i="15"/>
  <c r="M74" i="15"/>
  <c r="S73" i="15"/>
  <c r="M73" i="15"/>
  <c r="S72" i="15"/>
  <c r="M72" i="15"/>
  <c r="S71" i="15"/>
  <c r="M71" i="15"/>
  <c r="S70" i="15"/>
  <c r="M70" i="15"/>
  <c r="S69" i="15"/>
  <c r="M69" i="15"/>
  <c r="S68" i="15"/>
  <c r="M68" i="15"/>
  <c r="S67" i="15"/>
  <c r="M67" i="15"/>
  <c r="S66" i="15"/>
  <c r="M66" i="15"/>
  <c r="S65" i="15"/>
  <c r="M65" i="15"/>
  <c r="S64" i="15"/>
  <c r="M64" i="15"/>
  <c r="S63" i="15"/>
  <c r="M63" i="15"/>
  <c r="S62" i="15"/>
  <c r="M62" i="15"/>
  <c r="S61" i="15"/>
  <c r="M61" i="15"/>
  <c r="S60" i="15"/>
  <c r="M60" i="15"/>
  <c r="S59" i="15"/>
  <c r="M59" i="15"/>
  <c r="S58" i="15"/>
  <c r="M58" i="15"/>
  <c r="S57" i="15"/>
  <c r="M57" i="15"/>
  <c r="S56" i="15"/>
  <c r="M56" i="15"/>
  <c r="S55" i="15"/>
  <c r="M55" i="15"/>
  <c r="S54" i="15"/>
  <c r="M54" i="15"/>
  <c r="W53" i="15"/>
  <c r="X53" i="15" s="1"/>
  <c r="S53" i="15"/>
  <c r="W52" i="15"/>
  <c r="X52" i="15" s="1"/>
  <c r="V52" i="15"/>
  <c r="S52" i="15"/>
  <c r="T52" i="15" s="1"/>
  <c r="R52" i="15"/>
  <c r="M52" i="15"/>
  <c r="S51" i="15"/>
  <c r="M51" i="15"/>
  <c r="N51" i="15" s="1"/>
  <c r="S50" i="15"/>
  <c r="M50" i="15"/>
  <c r="N50" i="15" s="1"/>
  <c r="S49" i="15"/>
  <c r="M49" i="15"/>
  <c r="N49" i="15" s="1"/>
  <c r="R49" i="15" s="1"/>
  <c r="S48" i="15"/>
  <c r="M48" i="15"/>
  <c r="S47" i="15"/>
  <c r="M47" i="15"/>
  <c r="N47" i="15" s="1"/>
  <c r="S46" i="15"/>
  <c r="M46" i="15"/>
  <c r="S45" i="15"/>
  <c r="M45" i="15"/>
  <c r="N45" i="15" s="1"/>
  <c r="S44" i="15"/>
  <c r="M44" i="15"/>
  <c r="S43" i="15"/>
  <c r="M43" i="15"/>
  <c r="N43" i="15" s="1"/>
  <c r="R43" i="15" s="1"/>
  <c r="S42" i="15"/>
  <c r="M42" i="15"/>
  <c r="W41" i="15"/>
  <c r="X41" i="15" s="1"/>
  <c r="V41" i="15"/>
  <c r="S41" i="15"/>
  <c r="T41" i="15" s="1"/>
  <c r="R41" i="15"/>
  <c r="M41" i="15"/>
  <c r="W40" i="15"/>
  <c r="X40" i="15" s="1"/>
  <c r="S40" i="15"/>
  <c r="S39" i="15"/>
  <c r="M39" i="15"/>
  <c r="S38" i="15"/>
  <c r="M38" i="15"/>
  <c r="S37" i="15"/>
  <c r="M37" i="15"/>
  <c r="S36" i="15"/>
  <c r="M36" i="15"/>
  <c r="S35" i="15"/>
  <c r="M35" i="15"/>
  <c r="S34" i="15"/>
  <c r="M34" i="15"/>
  <c r="N34" i="15" s="1"/>
  <c r="R34" i="15" s="1"/>
  <c r="S33" i="15"/>
  <c r="M33" i="15"/>
  <c r="S32" i="15"/>
  <c r="M32" i="15"/>
  <c r="S31" i="15"/>
  <c r="T31" i="15" s="1"/>
  <c r="S30" i="15"/>
  <c r="M30" i="15"/>
  <c r="N30" i="15" s="1"/>
  <c r="U30" i="15" s="1"/>
  <c r="S29" i="15"/>
  <c r="M29" i="15"/>
  <c r="S28" i="15"/>
  <c r="M28" i="15"/>
  <c r="N28" i="15" s="1"/>
  <c r="S27" i="15"/>
  <c r="M27" i="15"/>
  <c r="S26" i="15"/>
  <c r="M26" i="15"/>
  <c r="N26" i="15" s="1"/>
  <c r="S25" i="15"/>
  <c r="M25" i="15"/>
  <c r="S24" i="15"/>
  <c r="M24" i="15"/>
  <c r="N24" i="15" s="1"/>
  <c r="S23" i="15"/>
  <c r="M23" i="15"/>
  <c r="S22" i="15"/>
  <c r="M22" i="15"/>
  <c r="S21" i="15"/>
  <c r="M21" i="15"/>
  <c r="W20" i="15"/>
  <c r="X20" i="15" s="1"/>
  <c r="S20" i="15"/>
  <c r="T20" i="15" s="1"/>
  <c r="S19" i="15"/>
  <c r="M19" i="15"/>
  <c r="S18" i="15"/>
  <c r="M18" i="15"/>
  <c r="S17" i="15"/>
  <c r="M17" i="15"/>
  <c r="S16" i="15"/>
  <c r="M16" i="15"/>
  <c r="N16" i="15" s="1"/>
  <c r="U16" i="15" s="1"/>
  <c r="S15" i="15"/>
  <c r="M15" i="15"/>
  <c r="S14" i="15"/>
  <c r="M14" i="15"/>
  <c r="N14" i="15" s="1"/>
  <c r="S13" i="15"/>
  <c r="M13" i="15"/>
  <c r="S12" i="15"/>
  <c r="M12" i="15"/>
  <c r="N12" i="15" s="1"/>
  <c r="U12" i="15" s="1"/>
  <c r="S11" i="15"/>
  <c r="M11" i="15"/>
  <c r="S10" i="15"/>
  <c r="M10" i="15"/>
  <c r="N10" i="15" s="1"/>
  <c r="S9" i="15"/>
  <c r="M9" i="15"/>
  <c r="S8" i="15"/>
  <c r="M8" i="15"/>
  <c r="N8" i="15" s="1"/>
  <c r="U8" i="15" s="1"/>
  <c r="W7" i="15"/>
  <c r="X7" i="15" s="1"/>
  <c r="S7" i="15"/>
  <c r="T7" i="15" s="1"/>
  <c r="S6" i="15"/>
  <c r="M6" i="15"/>
  <c r="N6" i="15" s="1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77" i="15" s="1"/>
  <c r="A378" i="15" s="1"/>
  <c r="A379" i="15" s="1"/>
  <c r="A380" i="15" s="1"/>
  <c r="A381" i="15" s="1"/>
  <c r="A382" i="15" s="1"/>
  <c r="A383" i="15" s="1"/>
  <c r="A384" i="15" s="1"/>
  <c r="A385" i="15" s="1"/>
  <c r="A386" i="15" s="1"/>
  <c r="A387" i="15" s="1"/>
  <c r="A388" i="15" s="1"/>
  <c r="A389" i="15" s="1"/>
  <c r="A390" i="15" s="1"/>
  <c r="A391" i="15" s="1"/>
  <c r="A392" i="15" s="1"/>
  <c r="A393" i="15" s="1"/>
  <c r="A394" i="15" s="1"/>
  <c r="A395" i="15" s="1"/>
  <c r="A396" i="15" s="1"/>
  <c r="A397" i="15" s="1"/>
  <c r="A398" i="15" s="1"/>
  <c r="A399" i="15" s="1"/>
  <c r="A400" i="15" s="1"/>
  <c r="A401" i="15" s="1"/>
  <c r="A402" i="15" s="1"/>
  <c r="A403" i="15" s="1"/>
  <c r="A404" i="15" s="1"/>
  <c r="A405" i="15" s="1"/>
  <c r="A406" i="15" s="1"/>
  <c r="A407" i="15" s="1"/>
  <c r="A408" i="15" s="1"/>
  <c r="A409" i="15" s="1"/>
  <c r="A410" i="15" s="1"/>
  <c r="A411" i="15" s="1"/>
  <c r="A412" i="15" s="1"/>
  <c r="A413" i="15" s="1"/>
  <c r="A414" i="15" s="1"/>
  <c r="A415" i="15" s="1"/>
  <c r="A416" i="15" s="1"/>
  <c r="A417" i="15" s="1"/>
  <c r="A418" i="15" s="1"/>
  <c r="A419" i="15" s="1"/>
  <c r="A420" i="15" s="1"/>
  <c r="A421" i="15" s="1"/>
  <c r="A422" i="15" s="1"/>
  <c r="A423" i="15" s="1"/>
  <c r="A424" i="15" s="1"/>
  <c r="A425" i="15" s="1"/>
  <c r="A426" i="15" s="1"/>
  <c r="A427" i="15" s="1"/>
  <c r="A428" i="15" s="1"/>
  <c r="A429" i="15" s="1"/>
  <c r="A430" i="15" s="1"/>
  <c r="A431" i="15" s="1"/>
  <c r="A432" i="15" s="1"/>
  <c r="A433" i="15" s="1"/>
  <c r="A434" i="15" s="1"/>
  <c r="A435" i="15" s="1"/>
  <c r="A436" i="15" s="1"/>
  <c r="A437" i="15" s="1"/>
  <c r="A438" i="15" s="1"/>
  <c r="A439" i="15" s="1"/>
  <c r="A440" i="15" s="1"/>
  <c r="A441" i="15" s="1"/>
  <c r="A442" i="15" s="1"/>
  <c r="A443" i="15" s="1"/>
  <c r="A444" i="15" s="1"/>
  <c r="A445" i="15" s="1"/>
  <c r="A446" i="15" s="1"/>
  <c r="A447" i="15" s="1"/>
  <c r="A448" i="15" s="1"/>
  <c r="A449" i="15" s="1"/>
  <c r="A450" i="15" s="1"/>
  <c r="A451" i="15" s="1"/>
  <c r="A452" i="15" s="1"/>
  <c r="A453" i="15" s="1"/>
  <c r="A454" i="15" s="1"/>
  <c r="A455" i="15" s="1"/>
  <c r="A456" i="15" s="1"/>
  <c r="A457" i="15" s="1"/>
  <c r="A458" i="15" s="1"/>
  <c r="A459" i="15" s="1"/>
  <c r="A460" i="15" s="1"/>
  <c r="A461" i="15" s="1"/>
  <c r="A462" i="15" s="1"/>
  <c r="A463" i="15" s="1"/>
  <c r="A464" i="15" s="1"/>
  <c r="A465" i="15" s="1"/>
  <c r="A466" i="15" s="1"/>
  <c r="A467" i="15" s="1"/>
  <c r="A468" i="15" s="1"/>
  <c r="A469" i="15" s="1"/>
  <c r="A470" i="15" s="1"/>
  <c r="A471" i="15" s="1"/>
  <c r="A472" i="15" s="1"/>
  <c r="A473" i="15" s="1"/>
  <c r="A474" i="15" s="1"/>
  <c r="A475" i="15" s="1"/>
  <c r="A476" i="15" s="1"/>
  <c r="A477" i="15" s="1"/>
  <c r="A478" i="15" s="1"/>
  <c r="A479" i="15" s="1"/>
  <c r="A480" i="15" s="1"/>
  <c r="A481" i="15" s="1"/>
  <c r="A482" i="15" s="1"/>
  <c r="A483" i="15" s="1"/>
  <c r="A484" i="15" s="1"/>
  <c r="A485" i="15" s="1"/>
  <c r="A486" i="15" s="1"/>
  <c r="A487" i="15" s="1"/>
  <c r="A488" i="15" s="1"/>
  <c r="A489" i="15" s="1"/>
  <c r="A490" i="15" s="1"/>
  <c r="A491" i="15" s="1"/>
  <c r="A492" i="15" s="1"/>
  <c r="A493" i="15" s="1"/>
  <c r="A494" i="15" s="1"/>
  <c r="A495" i="15" s="1"/>
  <c r="A496" i="15" s="1"/>
  <c r="A497" i="15" s="1"/>
  <c r="A498" i="15" s="1"/>
  <c r="A499" i="15" s="1"/>
  <c r="A500" i="15" s="1"/>
  <c r="A501" i="15" s="1"/>
  <c r="A502" i="15" s="1"/>
  <c r="A503" i="15" s="1"/>
  <c r="A504" i="15" s="1"/>
  <c r="A505" i="15" s="1"/>
  <c r="A506" i="15" s="1"/>
  <c r="A507" i="15" s="1"/>
  <c r="A508" i="15" s="1"/>
  <c r="A509" i="15" s="1"/>
  <c r="A510" i="15" s="1"/>
  <c r="A511" i="15" s="1"/>
  <c r="A512" i="15" s="1"/>
  <c r="A513" i="15" s="1"/>
  <c r="A514" i="15" s="1"/>
  <c r="A515" i="15" s="1"/>
  <c r="A516" i="15" s="1"/>
  <c r="A517" i="15" s="1"/>
  <c r="A518" i="15" s="1"/>
  <c r="A519" i="15" s="1"/>
  <c r="A520" i="15" s="1"/>
  <c r="A521" i="15" s="1"/>
  <c r="A522" i="15" s="1"/>
  <c r="A523" i="15" s="1"/>
  <c r="A524" i="15" s="1"/>
  <c r="A525" i="15" s="1"/>
  <c r="A526" i="15" s="1"/>
  <c r="A527" i="15" s="1"/>
  <c r="A528" i="15" s="1"/>
  <c r="A529" i="15" s="1"/>
  <c r="A530" i="15" s="1"/>
  <c r="S5" i="15"/>
  <c r="M5" i="15"/>
  <c r="N5" i="15" s="1"/>
  <c r="U5" i="15" s="1"/>
  <c r="G201" i="14"/>
  <c r="E29" i="3" s="1"/>
  <c r="E201" i="14"/>
  <c r="C29" i="3" s="1"/>
  <c r="W200" i="14"/>
  <c r="S199" i="14"/>
  <c r="F199" i="14"/>
  <c r="H199" i="14" s="1"/>
  <c r="S198" i="14"/>
  <c r="F198" i="14"/>
  <c r="V198" i="14" s="1"/>
  <c r="H198" i="14"/>
  <c r="S197" i="14"/>
  <c r="F197" i="14"/>
  <c r="S196" i="14"/>
  <c r="F196" i="14"/>
  <c r="V196" i="14" s="1"/>
  <c r="S195" i="14"/>
  <c r="F195" i="14"/>
  <c r="H195" i="14" s="1"/>
  <c r="S194" i="14"/>
  <c r="F194" i="14"/>
  <c r="H194" i="14" s="1"/>
  <c r="W194" i="14" s="1"/>
  <c r="S193" i="14"/>
  <c r="F193" i="14"/>
  <c r="S192" i="14"/>
  <c r="F192" i="14"/>
  <c r="S191" i="14"/>
  <c r="F191" i="14"/>
  <c r="S190" i="14"/>
  <c r="F190" i="14"/>
  <c r="H190" i="14"/>
  <c r="S189" i="14"/>
  <c r="F189" i="14"/>
  <c r="H189" i="14" s="1"/>
  <c r="W189" i="14" s="1"/>
  <c r="S188" i="14"/>
  <c r="F188" i="14"/>
  <c r="S187" i="14"/>
  <c r="F187" i="14"/>
  <c r="H187" i="14" s="1"/>
  <c r="S186" i="14"/>
  <c r="F186" i="14"/>
  <c r="H186" i="14"/>
  <c r="S185" i="14"/>
  <c r="F185" i="14"/>
  <c r="S184" i="14"/>
  <c r="F184" i="14"/>
  <c r="H184" i="14" s="1"/>
  <c r="S183" i="14"/>
  <c r="F183" i="14"/>
  <c r="S182" i="14"/>
  <c r="F182" i="14"/>
  <c r="H182" i="14"/>
  <c r="W182" i="14" s="1"/>
  <c r="S181" i="14"/>
  <c r="F181" i="14"/>
  <c r="H181" i="14" s="1"/>
  <c r="S180" i="14"/>
  <c r="F180" i="14"/>
  <c r="S179" i="14"/>
  <c r="F179" i="14"/>
  <c r="S178" i="14"/>
  <c r="F178" i="14"/>
  <c r="S177" i="14"/>
  <c r="F177" i="14"/>
  <c r="S176" i="14"/>
  <c r="F176" i="14"/>
  <c r="S175" i="14"/>
  <c r="F175" i="14"/>
  <c r="S174" i="14"/>
  <c r="F174" i="14"/>
  <c r="S173" i="14"/>
  <c r="F173" i="14"/>
  <c r="S172" i="14"/>
  <c r="F172" i="14"/>
  <c r="S171" i="14"/>
  <c r="F171" i="14"/>
  <c r="S170" i="14"/>
  <c r="F170" i="14"/>
  <c r="S169" i="14"/>
  <c r="F169" i="14"/>
  <c r="S168" i="14"/>
  <c r="F168" i="14"/>
  <c r="H168" i="14" s="1"/>
  <c r="S167" i="14"/>
  <c r="F167" i="14"/>
  <c r="V167" i="14"/>
  <c r="S166" i="14"/>
  <c r="F166" i="14"/>
  <c r="S165" i="14"/>
  <c r="F165" i="14"/>
  <c r="H165" i="14" s="1"/>
  <c r="W165" i="14" s="1"/>
  <c r="S164" i="14"/>
  <c r="F164" i="14"/>
  <c r="H164" i="14" s="1"/>
  <c r="W164" i="14" s="1"/>
  <c r="S163" i="14"/>
  <c r="F163" i="14"/>
  <c r="V163" i="14" s="1"/>
  <c r="S162" i="14"/>
  <c r="F162" i="14"/>
  <c r="S161" i="14"/>
  <c r="F161" i="14"/>
  <c r="S160" i="14"/>
  <c r="F160" i="14"/>
  <c r="S159" i="14"/>
  <c r="F159" i="14"/>
  <c r="S158" i="14"/>
  <c r="F158" i="14"/>
  <c r="S157" i="14"/>
  <c r="F157" i="14"/>
  <c r="S156" i="14"/>
  <c r="F156" i="14"/>
  <c r="S155" i="14"/>
  <c r="F155" i="14"/>
  <c r="V155" i="14" s="1"/>
  <c r="S154" i="14"/>
  <c r="F154" i="14"/>
  <c r="S153" i="14"/>
  <c r="F153" i="14"/>
  <c r="S152" i="14"/>
  <c r="F152" i="14"/>
  <c r="S151" i="14"/>
  <c r="F151" i="14"/>
  <c r="S150" i="14"/>
  <c r="F150" i="14"/>
  <c r="S149" i="14"/>
  <c r="F149" i="14"/>
  <c r="S148" i="14"/>
  <c r="F148" i="14"/>
  <c r="S147" i="14"/>
  <c r="F147" i="14"/>
  <c r="S146" i="14"/>
  <c r="F146" i="14"/>
  <c r="S145" i="14"/>
  <c r="F145" i="14"/>
  <c r="H145" i="14" s="1"/>
  <c r="S144" i="14"/>
  <c r="F144" i="14"/>
  <c r="S143" i="14"/>
  <c r="F143" i="14"/>
  <c r="S142" i="14"/>
  <c r="F142" i="14"/>
  <c r="H142" i="14" s="1"/>
  <c r="S141" i="14"/>
  <c r="F141" i="14"/>
  <c r="V141" i="14" s="1"/>
  <c r="H141" i="14"/>
  <c r="S140" i="14"/>
  <c r="F140" i="14"/>
  <c r="S139" i="14"/>
  <c r="F139" i="14"/>
  <c r="S138" i="14"/>
  <c r="F138" i="14"/>
  <c r="V138" i="14" s="1"/>
  <c r="S137" i="14"/>
  <c r="F137" i="14"/>
  <c r="S136" i="14"/>
  <c r="F136" i="14"/>
  <c r="H136" i="14" s="1"/>
  <c r="S135" i="14"/>
  <c r="F135" i="14"/>
  <c r="S134" i="14"/>
  <c r="F134" i="14"/>
  <c r="S133" i="14"/>
  <c r="F133" i="14"/>
  <c r="S132" i="14"/>
  <c r="M132" i="14"/>
  <c r="F132" i="14"/>
  <c r="S131" i="14"/>
  <c r="M131" i="14"/>
  <c r="F131" i="14"/>
  <c r="S130" i="14"/>
  <c r="F130" i="14"/>
  <c r="V130" i="14" s="1"/>
  <c r="S129" i="14"/>
  <c r="F129" i="14"/>
  <c r="S128" i="14"/>
  <c r="F128" i="14"/>
  <c r="V128" i="14" s="1"/>
  <c r="S127" i="14"/>
  <c r="F127" i="14"/>
  <c r="S126" i="14"/>
  <c r="F126" i="14"/>
  <c r="V126" i="14" s="1"/>
  <c r="S125" i="14"/>
  <c r="F125" i="14"/>
  <c r="H125" i="14" s="1"/>
  <c r="L125" i="14" s="1"/>
  <c r="S124" i="14"/>
  <c r="F124" i="14"/>
  <c r="V124" i="14" s="1"/>
  <c r="S123" i="14"/>
  <c r="F123" i="14"/>
  <c r="S122" i="14"/>
  <c r="F122" i="14"/>
  <c r="S121" i="14"/>
  <c r="F121" i="14"/>
  <c r="S120" i="14"/>
  <c r="F120" i="14"/>
  <c r="S119" i="14"/>
  <c r="F119" i="14"/>
  <c r="S118" i="14"/>
  <c r="F118" i="14"/>
  <c r="V118" i="14"/>
  <c r="S117" i="14"/>
  <c r="F117" i="14"/>
  <c r="S116" i="14"/>
  <c r="M116" i="14"/>
  <c r="F116" i="14"/>
  <c r="S115" i="14"/>
  <c r="M115" i="14"/>
  <c r="F115" i="14"/>
  <c r="S114" i="14"/>
  <c r="M114" i="14"/>
  <c r="F114" i="14"/>
  <c r="V114" i="14" s="1"/>
  <c r="S113" i="14"/>
  <c r="M113" i="14"/>
  <c r="F113" i="14"/>
  <c r="H113" i="14" s="1"/>
  <c r="W113" i="14"/>
  <c r="X113" i="14" s="1"/>
  <c r="S112" i="14"/>
  <c r="M112" i="14"/>
  <c r="F112" i="14"/>
  <c r="S111" i="14"/>
  <c r="M111" i="14"/>
  <c r="F111" i="14"/>
  <c r="S110" i="14"/>
  <c r="M110" i="14"/>
  <c r="F110" i="14"/>
  <c r="N110" i="14" s="1"/>
  <c r="U110" i="14" s="1"/>
  <c r="S109" i="14"/>
  <c r="M109" i="14"/>
  <c r="F109" i="14"/>
  <c r="H109" i="14"/>
  <c r="W109" i="14" s="1"/>
  <c r="X109" i="14" s="1"/>
  <c r="S108" i="14"/>
  <c r="M108" i="14"/>
  <c r="F108" i="14"/>
  <c r="S107" i="14"/>
  <c r="M107" i="14"/>
  <c r="F107" i="14"/>
  <c r="S106" i="14"/>
  <c r="M106" i="14"/>
  <c r="F106" i="14"/>
  <c r="S105" i="14"/>
  <c r="M105" i="14"/>
  <c r="F105" i="14"/>
  <c r="H105" i="14" s="1"/>
  <c r="W105" i="14" s="1"/>
  <c r="X105" i="14" s="1"/>
  <c r="S104" i="14"/>
  <c r="M104" i="14"/>
  <c r="F104" i="14"/>
  <c r="S103" i="14"/>
  <c r="M103" i="14"/>
  <c r="F103" i="14"/>
  <c r="S102" i="14"/>
  <c r="M102" i="14"/>
  <c r="F102" i="14"/>
  <c r="H102" i="14" s="1"/>
  <c r="W102" i="14" s="1"/>
  <c r="X102" i="14" s="1"/>
  <c r="S101" i="14"/>
  <c r="M101" i="14"/>
  <c r="F101" i="14"/>
  <c r="H101" i="14" s="1"/>
  <c r="W101" i="14" s="1"/>
  <c r="X101" i="14" s="1"/>
  <c r="S100" i="14"/>
  <c r="M100" i="14"/>
  <c r="F100" i="14"/>
  <c r="H100" i="14" s="1"/>
  <c r="W100" i="14" s="1"/>
  <c r="X100" i="14" s="1"/>
  <c r="S99" i="14"/>
  <c r="M99" i="14"/>
  <c r="F99" i="14"/>
  <c r="S98" i="14"/>
  <c r="M98" i="14"/>
  <c r="F98" i="14"/>
  <c r="V98" i="14"/>
  <c r="S97" i="14"/>
  <c r="M97" i="14"/>
  <c r="F97" i="14"/>
  <c r="S96" i="14"/>
  <c r="M96" i="14"/>
  <c r="F96" i="14"/>
  <c r="S95" i="14"/>
  <c r="M95" i="14"/>
  <c r="F95" i="14"/>
  <c r="S94" i="14"/>
  <c r="M94" i="14"/>
  <c r="F94" i="14"/>
  <c r="V94" i="14" s="1"/>
  <c r="S93" i="14"/>
  <c r="M93" i="14"/>
  <c r="F93" i="14"/>
  <c r="S92" i="14"/>
  <c r="M92" i="14"/>
  <c r="F92" i="14"/>
  <c r="S91" i="14"/>
  <c r="M91" i="14"/>
  <c r="F91" i="14"/>
  <c r="S90" i="14"/>
  <c r="M90" i="14"/>
  <c r="F90" i="14"/>
  <c r="V90" i="14"/>
  <c r="S89" i="14"/>
  <c r="M89" i="14"/>
  <c r="F89" i="14"/>
  <c r="H89" i="14"/>
  <c r="W89" i="14" s="1"/>
  <c r="S88" i="14"/>
  <c r="M88" i="14"/>
  <c r="F88" i="14"/>
  <c r="S87" i="14"/>
  <c r="M87" i="14"/>
  <c r="F87" i="14"/>
  <c r="H87" i="14" s="1"/>
  <c r="W87" i="14" s="1"/>
  <c r="X87" i="14" s="1"/>
  <c r="S86" i="14"/>
  <c r="M86" i="14"/>
  <c r="F86" i="14"/>
  <c r="V86" i="14" s="1"/>
  <c r="S85" i="14"/>
  <c r="M85" i="14"/>
  <c r="F85" i="14"/>
  <c r="S84" i="14"/>
  <c r="M84" i="14"/>
  <c r="F84" i="14"/>
  <c r="S83" i="14"/>
  <c r="M83" i="14"/>
  <c r="F83" i="14"/>
  <c r="S82" i="14"/>
  <c r="M82" i="14"/>
  <c r="F82" i="14"/>
  <c r="S81" i="14"/>
  <c r="M81" i="14"/>
  <c r="F81" i="14"/>
  <c r="S80" i="14"/>
  <c r="M80" i="14"/>
  <c r="F80" i="14"/>
  <c r="S79" i="14"/>
  <c r="M79" i="14"/>
  <c r="F79" i="14"/>
  <c r="S78" i="14"/>
  <c r="M78" i="14"/>
  <c r="F78" i="14"/>
  <c r="S77" i="14"/>
  <c r="M77" i="14"/>
  <c r="F77" i="14"/>
  <c r="S76" i="14"/>
  <c r="M76" i="14"/>
  <c r="F76" i="14"/>
  <c r="S75" i="14"/>
  <c r="M75" i="14"/>
  <c r="F75" i="14"/>
  <c r="S74" i="14"/>
  <c r="M74" i="14"/>
  <c r="F74" i="14"/>
  <c r="V74" i="14" s="1"/>
  <c r="S73" i="14"/>
  <c r="M73" i="14"/>
  <c r="F73" i="14"/>
  <c r="S72" i="14"/>
  <c r="M72" i="14"/>
  <c r="F72" i="14"/>
  <c r="H72" i="14" s="1"/>
  <c r="W72" i="14"/>
  <c r="X72" i="14" s="1"/>
  <c r="S71" i="14"/>
  <c r="M71" i="14"/>
  <c r="F71" i="14"/>
  <c r="H71" i="14" s="1"/>
  <c r="W71" i="14"/>
  <c r="X71" i="14" s="1"/>
  <c r="S70" i="14"/>
  <c r="M70" i="14"/>
  <c r="F70" i="14"/>
  <c r="H70" i="14" s="1"/>
  <c r="W70" i="14"/>
  <c r="X70" i="14" s="1"/>
  <c r="S69" i="14"/>
  <c r="M69" i="14"/>
  <c r="F69" i="14"/>
  <c r="H69" i="14" s="1"/>
  <c r="W69" i="14"/>
  <c r="X69" i="14" s="1"/>
  <c r="S68" i="14"/>
  <c r="M68" i="14"/>
  <c r="F68" i="14"/>
  <c r="H68" i="14" s="1"/>
  <c r="W68" i="14"/>
  <c r="X68" i="14" s="1"/>
  <c r="S67" i="14"/>
  <c r="M67" i="14"/>
  <c r="F67" i="14"/>
  <c r="H67" i="14" s="1"/>
  <c r="W67" i="14"/>
  <c r="X67" i="14" s="1"/>
  <c r="S66" i="14"/>
  <c r="M66" i="14"/>
  <c r="F66" i="14"/>
  <c r="S65" i="14"/>
  <c r="M65" i="14"/>
  <c r="F65" i="14"/>
  <c r="N65" i="14"/>
  <c r="S64" i="14"/>
  <c r="P64" i="14"/>
  <c r="M64" i="14"/>
  <c r="N64" i="14" s="1"/>
  <c r="F64" i="14"/>
  <c r="S63" i="14"/>
  <c r="P63" i="14"/>
  <c r="M63" i="14"/>
  <c r="F63" i="14"/>
  <c r="S62" i="14"/>
  <c r="M62" i="14"/>
  <c r="F62" i="14"/>
  <c r="N62" i="14" s="1"/>
  <c r="R62" i="14" s="1"/>
  <c r="V62" i="14"/>
  <c r="S61" i="14"/>
  <c r="M61" i="14"/>
  <c r="F61" i="14"/>
  <c r="V61" i="14"/>
  <c r="S60" i="14"/>
  <c r="M60" i="14"/>
  <c r="F60" i="14"/>
  <c r="S59" i="14"/>
  <c r="M59" i="14"/>
  <c r="F59" i="14"/>
  <c r="S58" i="14"/>
  <c r="M58" i="14"/>
  <c r="N58" i="14" s="1"/>
  <c r="F58" i="14"/>
  <c r="S57" i="14"/>
  <c r="M57" i="14"/>
  <c r="F57" i="14"/>
  <c r="N57" i="14" s="1"/>
  <c r="S56" i="14"/>
  <c r="M56" i="14"/>
  <c r="N56" i="14" s="1"/>
  <c r="F56" i="14"/>
  <c r="S55" i="14"/>
  <c r="M55" i="14"/>
  <c r="N55" i="14"/>
  <c r="R55" i="14" s="1"/>
  <c r="F55" i="14"/>
  <c r="H55" i="14" s="1"/>
  <c r="W55" i="14" s="1"/>
  <c r="X55" i="14" s="1"/>
  <c r="S54" i="14"/>
  <c r="M54" i="14"/>
  <c r="F54" i="14"/>
  <c r="S53" i="14"/>
  <c r="M53" i="14"/>
  <c r="F53" i="14"/>
  <c r="S52" i="14"/>
  <c r="M52" i="14"/>
  <c r="F52" i="14"/>
  <c r="N52" i="14" s="1"/>
  <c r="S51" i="14"/>
  <c r="M51" i="14"/>
  <c r="F51" i="14"/>
  <c r="H51" i="14"/>
  <c r="W51" i="14" s="1"/>
  <c r="X51" i="14" s="1"/>
  <c r="S50" i="14"/>
  <c r="M50" i="14"/>
  <c r="F50" i="14"/>
  <c r="S49" i="14"/>
  <c r="M49" i="14"/>
  <c r="F49" i="14"/>
  <c r="V49" i="14" s="1"/>
  <c r="N49" i="14"/>
  <c r="S48" i="14"/>
  <c r="M48" i="14"/>
  <c r="F48" i="14"/>
  <c r="S47" i="14"/>
  <c r="M47" i="14"/>
  <c r="F47" i="14"/>
  <c r="S46" i="14"/>
  <c r="M46" i="14"/>
  <c r="F46" i="14"/>
  <c r="V46" i="14"/>
  <c r="S45" i="14"/>
  <c r="M45" i="14"/>
  <c r="F45" i="14"/>
  <c r="S44" i="14"/>
  <c r="M44" i="14"/>
  <c r="F44" i="14"/>
  <c r="S43" i="14"/>
  <c r="M43" i="14"/>
  <c r="F43" i="14"/>
  <c r="N43" i="14" s="1"/>
  <c r="R43" i="14" s="1"/>
  <c r="H43" i="14"/>
  <c r="W43" i="14" s="1"/>
  <c r="X43" i="14" s="1"/>
  <c r="S42" i="14"/>
  <c r="M42" i="14"/>
  <c r="F42" i="14"/>
  <c r="V42" i="14"/>
  <c r="S41" i="14"/>
  <c r="M41" i="14"/>
  <c r="F41" i="14"/>
  <c r="H41" i="14"/>
  <c r="W41" i="14" s="1"/>
  <c r="X41" i="14" s="1"/>
  <c r="S40" i="14"/>
  <c r="M40" i="14"/>
  <c r="F40" i="14"/>
  <c r="S39" i="14"/>
  <c r="M39" i="14"/>
  <c r="F39" i="14"/>
  <c r="S38" i="14"/>
  <c r="M38" i="14"/>
  <c r="F38" i="14"/>
  <c r="S37" i="14"/>
  <c r="M37" i="14"/>
  <c r="F37" i="14"/>
  <c r="S36" i="14"/>
  <c r="M36" i="14"/>
  <c r="F36" i="14"/>
  <c r="H36" i="14" s="1"/>
  <c r="W36" i="14" s="1"/>
  <c r="X36" i="14" s="1"/>
  <c r="S35" i="14"/>
  <c r="M35" i="14"/>
  <c r="F35" i="14"/>
  <c r="S34" i="14"/>
  <c r="M34" i="14"/>
  <c r="F34" i="14"/>
  <c r="S33" i="14"/>
  <c r="M33" i="14"/>
  <c r="F33" i="14"/>
  <c r="V32" i="14"/>
  <c r="S32" i="14"/>
  <c r="M32" i="14"/>
  <c r="N32" i="14" s="1"/>
  <c r="H32" i="14"/>
  <c r="W32" i="14" s="1"/>
  <c r="X32" i="14" s="1"/>
  <c r="S31" i="14"/>
  <c r="M31" i="14"/>
  <c r="F31" i="14"/>
  <c r="H31" i="14"/>
  <c r="W31" i="14" s="1"/>
  <c r="X31" i="14"/>
  <c r="S30" i="14"/>
  <c r="M30" i="14"/>
  <c r="F30" i="14"/>
  <c r="S29" i="14"/>
  <c r="M29" i="14"/>
  <c r="F29" i="14"/>
  <c r="M28" i="14"/>
  <c r="D201" i="14"/>
  <c r="B29" i="3" s="1"/>
  <c r="D29" i="3" s="1"/>
  <c r="S27" i="14"/>
  <c r="M27" i="14"/>
  <c r="F27" i="14"/>
  <c r="S26" i="14"/>
  <c r="M26" i="14"/>
  <c r="F26" i="14"/>
  <c r="V26" i="14" s="1"/>
  <c r="S25" i="14"/>
  <c r="M25" i="14"/>
  <c r="F25" i="14"/>
  <c r="H25" i="14" s="1"/>
  <c r="W25" i="14" s="1"/>
  <c r="X25" i="14" s="1"/>
  <c r="S24" i="14"/>
  <c r="M24" i="14"/>
  <c r="F24" i="14"/>
  <c r="S23" i="14"/>
  <c r="M23" i="14"/>
  <c r="F23" i="14"/>
  <c r="S22" i="14"/>
  <c r="M22" i="14"/>
  <c r="F22" i="14"/>
  <c r="V22" i="14" s="1"/>
  <c r="H22" i="14"/>
  <c r="W22" i="14" s="1"/>
  <c r="X22" i="14" s="1"/>
  <c r="S21" i="14"/>
  <c r="M21" i="14"/>
  <c r="F21" i="14"/>
  <c r="H21" i="14" s="1"/>
  <c r="W21" i="14" s="1"/>
  <c r="X21" i="14" s="1"/>
  <c r="S20" i="14"/>
  <c r="M20" i="14"/>
  <c r="F20" i="14"/>
  <c r="H20" i="14"/>
  <c r="W20" i="14" s="1"/>
  <c r="X20" i="14" s="1"/>
  <c r="S19" i="14"/>
  <c r="M19" i="14"/>
  <c r="F19" i="14"/>
  <c r="S18" i="14"/>
  <c r="M18" i="14"/>
  <c r="F18" i="14"/>
  <c r="V18" i="14" s="1"/>
  <c r="S17" i="14"/>
  <c r="M17" i="14"/>
  <c r="F17" i="14"/>
  <c r="H17" i="14" s="1"/>
  <c r="W17" i="14" s="1"/>
  <c r="X17" i="14" s="1"/>
  <c r="S16" i="14"/>
  <c r="M16" i="14"/>
  <c r="F16" i="14"/>
  <c r="H16" i="14"/>
  <c r="W16" i="14" s="1"/>
  <c r="X16" i="14" s="1"/>
  <c r="S15" i="14"/>
  <c r="M15" i="14"/>
  <c r="F15" i="14"/>
  <c r="V15" i="14" s="1"/>
  <c r="S14" i="14"/>
  <c r="M14" i="14"/>
  <c r="F14" i="14"/>
  <c r="S13" i="14"/>
  <c r="M13" i="14"/>
  <c r="F13" i="14"/>
  <c r="S12" i="14"/>
  <c r="M12" i="14"/>
  <c r="F12" i="14"/>
  <c r="N12" i="14" s="1"/>
  <c r="S11" i="14"/>
  <c r="M11" i="14"/>
  <c r="F11" i="14"/>
  <c r="H11" i="14" s="1"/>
  <c r="W11" i="14" s="1"/>
  <c r="X11" i="14" s="1"/>
  <c r="S10" i="14"/>
  <c r="M10" i="14"/>
  <c r="F10" i="14"/>
  <c r="S9" i="14"/>
  <c r="M9" i="14"/>
  <c r="F9" i="14"/>
  <c r="S8" i="14"/>
  <c r="M8" i="14"/>
  <c r="F8" i="14"/>
  <c r="V8" i="14" s="1"/>
  <c r="S7" i="14"/>
  <c r="M7" i="14"/>
  <c r="F7" i="14"/>
  <c r="S6" i="14"/>
  <c r="M6" i="14"/>
  <c r="F6" i="14"/>
  <c r="H6" i="14" s="1"/>
  <c r="W6" i="14" s="1"/>
  <c r="X6" i="14" s="1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S5" i="14"/>
  <c r="M5" i="14"/>
  <c r="F5" i="14"/>
  <c r="H5" i="14" s="1"/>
  <c r="W5" i="14" s="1"/>
  <c r="X5" i="14" s="1"/>
  <c r="G447" i="13"/>
  <c r="E12" i="3" s="1"/>
  <c r="E447" i="13"/>
  <c r="C12" i="3" s="1"/>
  <c r="D447" i="13"/>
  <c r="B12" i="3" s="1"/>
  <c r="F386" i="13"/>
  <c r="V386" i="13"/>
  <c r="F385" i="13"/>
  <c r="H385" i="13" s="1"/>
  <c r="L385" i="13" s="1"/>
  <c r="M385" i="13" s="1"/>
  <c r="N385" i="13" s="1"/>
  <c r="T385" i="13" s="1"/>
  <c r="F384" i="13"/>
  <c r="F383" i="13"/>
  <c r="H383" i="13" s="1"/>
  <c r="F382" i="13"/>
  <c r="F381" i="13"/>
  <c r="V381" i="13" s="1"/>
  <c r="F380" i="13"/>
  <c r="F379" i="13"/>
  <c r="S379" i="13" s="1"/>
  <c r="F378" i="13"/>
  <c r="S378" i="13" s="1"/>
  <c r="F377" i="13"/>
  <c r="F376" i="13"/>
  <c r="F375" i="13"/>
  <c r="F374" i="13"/>
  <c r="F373" i="13"/>
  <c r="F372" i="13"/>
  <c r="V372" i="13" s="1"/>
  <c r="F371" i="13"/>
  <c r="H371" i="13" s="1"/>
  <c r="L371" i="13" s="1"/>
  <c r="F370" i="13"/>
  <c r="S370" i="13"/>
  <c r="F369" i="13"/>
  <c r="F368" i="13"/>
  <c r="S368" i="13" s="1"/>
  <c r="F367" i="13"/>
  <c r="F366" i="13"/>
  <c r="F365" i="13"/>
  <c r="F364" i="13"/>
  <c r="F363" i="13"/>
  <c r="H363" i="13" s="1"/>
  <c r="F362" i="13"/>
  <c r="V362" i="13"/>
  <c r="F361" i="13"/>
  <c r="F360" i="13"/>
  <c r="F359" i="13"/>
  <c r="F358" i="13"/>
  <c r="F357" i="13"/>
  <c r="F356" i="13"/>
  <c r="V356" i="13" s="1"/>
  <c r="F355" i="13"/>
  <c r="V355" i="13" s="1"/>
  <c r="W355" i="13" s="1"/>
  <c r="F354" i="13"/>
  <c r="F353" i="13"/>
  <c r="F352" i="13"/>
  <c r="F351" i="13"/>
  <c r="V351" i="13" s="1"/>
  <c r="F350" i="13"/>
  <c r="F349" i="13"/>
  <c r="F348" i="13"/>
  <c r="F347" i="13"/>
  <c r="V347" i="13" s="1"/>
  <c r="F346" i="13"/>
  <c r="F345" i="13"/>
  <c r="F344" i="13"/>
  <c r="F343" i="13"/>
  <c r="S343" i="13" s="1"/>
  <c r="F342" i="13"/>
  <c r="F341" i="13"/>
  <c r="F340" i="13"/>
  <c r="F339" i="13"/>
  <c r="F338" i="13"/>
  <c r="F337" i="13"/>
  <c r="F336" i="13"/>
  <c r="V336" i="13"/>
  <c r="F335" i="13"/>
  <c r="F334" i="13"/>
  <c r="H334" i="13" s="1"/>
  <c r="L334" i="13"/>
  <c r="Y334" i="13" s="1"/>
  <c r="W334" i="13"/>
  <c r="F333" i="13"/>
  <c r="V333" i="13" s="1"/>
  <c r="F332" i="13"/>
  <c r="F331" i="13"/>
  <c r="F330" i="13"/>
  <c r="F329" i="13"/>
  <c r="F328" i="13"/>
  <c r="F327" i="13"/>
  <c r="F326" i="13"/>
  <c r="A326" i="13"/>
  <c r="A327" i="13"/>
  <c r="A328" i="13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F325" i="13"/>
  <c r="F324" i="13"/>
  <c r="S324" i="13"/>
  <c r="T324" i="13"/>
  <c r="F323" i="13"/>
  <c r="H323" i="13" s="1"/>
  <c r="W323" i="13" s="1"/>
  <c r="F322" i="13"/>
  <c r="S322" i="13" s="1"/>
  <c r="F321" i="13"/>
  <c r="F320" i="13"/>
  <c r="F319" i="13"/>
  <c r="F318" i="13"/>
  <c r="F317" i="13"/>
  <c r="F316" i="13"/>
  <c r="V316" i="13"/>
  <c r="F315" i="13"/>
  <c r="H315" i="13"/>
  <c r="W315" i="13" s="1"/>
  <c r="F314" i="13"/>
  <c r="H314" i="13" s="1"/>
  <c r="W314" i="13" s="1"/>
  <c r="F313" i="13"/>
  <c r="S313" i="13" s="1"/>
  <c r="F312" i="13"/>
  <c r="F311" i="13"/>
  <c r="F310" i="13"/>
  <c r="F309" i="13"/>
  <c r="F308" i="13"/>
  <c r="F307" i="13"/>
  <c r="F306" i="13"/>
  <c r="F305" i="13"/>
  <c r="F304" i="13"/>
  <c r="F303" i="13"/>
  <c r="S303" i="13" s="1"/>
  <c r="F302" i="13"/>
  <c r="V302" i="13" s="1"/>
  <c r="F301" i="13"/>
  <c r="F300" i="13"/>
  <c r="F299" i="13"/>
  <c r="S299" i="13"/>
  <c r="F298" i="13"/>
  <c r="F297" i="13"/>
  <c r="F296" i="13"/>
  <c r="F295" i="13"/>
  <c r="F294" i="13"/>
  <c r="F293" i="13"/>
  <c r="F292" i="13"/>
  <c r="V292" i="13" s="1"/>
  <c r="F291" i="13"/>
  <c r="F290" i="13"/>
  <c r="S289" i="13"/>
  <c r="F289" i="13"/>
  <c r="S288" i="13"/>
  <c r="F288" i="13"/>
  <c r="V288" i="13"/>
  <c r="S287" i="13"/>
  <c r="F287" i="13"/>
  <c r="S286" i="13"/>
  <c r="F286" i="13"/>
  <c r="S285" i="13"/>
  <c r="F285" i="13"/>
  <c r="S284" i="13"/>
  <c r="F284" i="13"/>
  <c r="V284" i="13" s="1"/>
  <c r="S283" i="13"/>
  <c r="F283" i="13"/>
  <c r="S282" i="13"/>
  <c r="F282" i="13"/>
  <c r="S281" i="13"/>
  <c r="F281" i="13"/>
  <c r="V281" i="13"/>
  <c r="S280" i="13"/>
  <c r="F280" i="13"/>
  <c r="V280" i="13" s="1"/>
  <c r="S279" i="13"/>
  <c r="F279" i="13"/>
  <c r="S278" i="13"/>
  <c r="F278" i="13"/>
  <c r="S277" i="13"/>
  <c r="F277" i="13"/>
  <c r="S276" i="13"/>
  <c r="F276" i="13"/>
  <c r="L276" i="13" s="1"/>
  <c r="H276" i="13"/>
  <c r="S275" i="13"/>
  <c r="F275" i="13"/>
  <c r="S274" i="13"/>
  <c r="F274" i="13"/>
  <c r="V274" i="13" s="1"/>
  <c r="S273" i="13"/>
  <c r="F273" i="13"/>
  <c r="V273" i="13"/>
  <c r="S272" i="13"/>
  <c r="F272" i="13"/>
  <c r="V272" i="13"/>
  <c r="S271" i="13"/>
  <c r="F271" i="13"/>
  <c r="S270" i="13"/>
  <c r="F270" i="13"/>
  <c r="S269" i="13"/>
  <c r="F269" i="13"/>
  <c r="H269" i="13"/>
  <c r="S268" i="13"/>
  <c r="F268" i="13"/>
  <c r="V268" i="13" s="1"/>
  <c r="S267" i="13"/>
  <c r="F267" i="13"/>
  <c r="H267" i="13" s="1"/>
  <c r="L267" i="13" s="1"/>
  <c r="S266" i="13"/>
  <c r="F266" i="13"/>
  <c r="S265" i="13"/>
  <c r="F265" i="13"/>
  <c r="S264" i="13"/>
  <c r="F264" i="13"/>
  <c r="S263" i="13"/>
  <c r="F263" i="13"/>
  <c r="S262" i="13"/>
  <c r="F262" i="13"/>
  <c r="H262" i="13"/>
  <c r="S261" i="13"/>
  <c r="F261" i="13"/>
  <c r="V261" i="13"/>
  <c r="S260" i="13"/>
  <c r="F260" i="13"/>
  <c r="S259" i="13"/>
  <c r="F259" i="13"/>
  <c r="V259" i="13"/>
  <c r="S258" i="13"/>
  <c r="F258" i="13"/>
  <c r="H258" i="13" s="1"/>
  <c r="S257" i="13"/>
  <c r="F257" i="13"/>
  <c r="H257" i="13"/>
  <c r="S256" i="13"/>
  <c r="F256" i="13"/>
  <c r="V256" i="13"/>
  <c r="S255" i="13"/>
  <c r="F255" i="13"/>
  <c r="S254" i="13"/>
  <c r="F254" i="13"/>
  <c r="S253" i="13"/>
  <c r="F253" i="13"/>
  <c r="S252" i="13"/>
  <c r="F252" i="13"/>
  <c r="S251" i="13"/>
  <c r="F251" i="13"/>
  <c r="V251" i="13" s="1"/>
  <c r="S250" i="13"/>
  <c r="F250" i="13"/>
  <c r="S249" i="13"/>
  <c r="F249" i="13"/>
  <c r="V249" i="13"/>
  <c r="S248" i="13"/>
  <c r="F248" i="13"/>
  <c r="V248" i="13"/>
  <c r="S247" i="13"/>
  <c r="F247" i="13"/>
  <c r="S246" i="13"/>
  <c r="F246" i="13"/>
  <c r="H246" i="13" s="1"/>
  <c r="S245" i="13"/>
  <c r="F245" i="13"/>
  <c r="V245" i="13" s="1"/>
  <c r="S244" i="13"/>
  <c r="F244" i="13"/>
  <c r="V244" i="13" s="1"/>
  <c r="S243" i="13"/>
  <c r="F243" i="13"/>
  <c r="S242" i="13"/>
  <c r="F242" i="13"/>
  <c r="V242" i="13" s="1"/>
  <c r="S241" i="13"/>
  <c r="F241" i="13"/>
  <c r="S240" i="13"/>
  <c r="F240" i="13"/>
  <c r="S239" i="13"/>
  <c r="F239" i="13"/>
  <c r="H239" i="13" s="1"/>
  <c r="S238" i="13"/>
  <c r="F238" i="13"/>
  <c r="V238" i="13" s="1"/>
  <c r="S237" i="13"/>
  <c r="F237" i="13"/>
  <c r="H237" i="13" s="1"/>
  <c r="W237" i="13" s="1"/>
  <c r="S236" i="13"/>
  <c r="F236" i="13"/>
  <c r="S235" i="13"/>
  <c r="F235" i="13"/>
  <c r="V235" i="13"/>
  <c r="S234" i="13"/>
  <c r="F234" i="13"/>
  <c r="V234" i="13" s="1"/>
  <c r="S233" i="13"/>
  <c r="F233" i="13"/>
  <c r="S232" i="13"/>
  <c r="F232" i="13"/>
  <c r="H232" i="13"/>
  <c r="S231" i="13"/>
  <c r="F231" i="13"/>
  <c r="S230" i="13"/>
  <c r="F230" i="13"/>
  <c r="S229" i="13"/>
  <c r="F229" i="13"/>
  <c r="H229" i="13" s="1"/>
  <c r="S228" i="13"/>
  <c r="F228" i="13"/>
  <c r="S227" i="13"/>
  <c r="F227" i="13"/>
  <c r="S226" i="13"/>
  <c r="F226" i="13"/>
  <c r="S225" i="13"/>
  <c r="F225" i="13"/>
  <c r="H225" i="13" s="1"/>
  <c r="S224" i="13"/>
  <c r="F224" i="13"/>
  <c r="S223" i="13"/>
  <c r="F223" i="13"/>
  <c r="S222" i="13"/>
  <c r="F222" i="13"/>
  <c r="S221" i="13"/>
  <c r="F221" i="13"/>
  <c r="V221" i="13" s="1"/>
  <c r="S220" i="13"/>
  <c r="F220" i="13"/>
  <c r="S219" i="13"/>
  <c r="F219" i="13"/>
  <c r="V219" i="13"/>
  <c r="S218" i="13"/>
  <c r="F218" i="13"/>
  <c r="S217" i="13"/>
  <c r="F217" i="13"/>
  <c r="V217" i="13" s="1"/>
  <c r="S216" i="13"/>
  <c r="F216" i="13"/>
  <c r="H216" i="13" s="1"/>
  <c r="S215" i="13"/>
  <c r="F215" i="13"/>
  <c r="S214" i="13"/>
  <c r="F214" i="13"/>
  <c r="V214" i="13"/>
  <c r="S213" i="13"/>
  <c r="F213" i="13"/>
  <c r="S212" i="13"/>
  <c r="F212" i="13"/>
  <c r="H212" i="13" s="1"/>
  <c r="S211" i="13"/>
  <c r="F211" i="13"/>
  <c r="V211" i="13"/>
  <c r="S210" i="13"/>
  <c r="F210" i="13"/>
  <c r="V210" i="13" s="1"/>
  <c r="S209" i="13"/>
  <c r="F209" i="13"/>
  <c r="H209" i="13"/>
  <c r="S208" i="13"/>
  <c r="F208" i="13"/>
  <c r="S207" i="13"/>
  <c r="F207" i="13"/>
  <c r="S206" i="13"/>
  <c r="F206" i="13"/>
  <c r="S205" i="13"/>
  <c r="F205" i="13"/>
  <c r="V205" i="13" s="1"/>
  <c r="S204" i="13"/>
  <c r="F204" i="13"/>
  <c r="S203" i="13"/>
  <c r="F203" i="13"/>
  <c r="S202" i="13"/>
  <c r="F202" i="13"/>
  <c r="S201" i="13"/>
  <c r="F201" i="13"/>
  <c r="S200" i="13"/>
  <c r="F200" i="13"/>
  <c r="H200" i="13"/>
  <c r="S199" i="13"/>
  <c r="F199" i="13"/>
  <c r="S198" i="13"/>
  <c r="F198" i="13"/>
  <c r="S197" i="13"/>
  <c r="F197" i="13"/>
  <c r="H197" i="13"/>
  <c r="W197" i="13" s="1"/>
  <c r="S196" i="13"/>
  <c r="F196" i="13"/>
  <c r="V196" i="13"/>
  <c r="S195" i="13"/>
  <c r="F195" i="13"/>
  <c r="S194" i="13"/>
  <c r="F194" i="13"/>
  <c r="H194" i="13"/>
  <c r="S193" i="13"/>
  <c r="F193" i="13"/>
  <c r="S192" i="13"/>
  <c r="F192" i="13"/>
  <c r="S191" i="13"/>
  <c r="F191" i="13"/>
  <c r="V191" i="13" s="1"/>
  <c r="S190" i="13"/>
  <c r="F190" i="13"/>
  <c r="S189" i="13"/>
  <c r="F189" i="13"/>
  <c r="S188" i="13"/>
  <c r="F188" i="13"/>
  <c r="V188" i="13"/>
  <c r="S187" i="13"/>
  <c r="F187" i="13"/>
  <c r="V187" i="13" s="1"/>
  <c r="S186" i="13"/>
  <c r="F186" i="13"/>
  <c r="H186" i="13" s="1"/>
  <c r="S185" i="13"/>
  <c r="F185" i="13"/>
  <c r="S184" i="13"/>
  <c r="F184" i="13"/>
  <c r="S183" i="13"/>
  <c r="F183" i="13"/>
  <c r="S182" i="13"/>
  <c r="F182" i="13"/>
  <c r="H182" i="13" s="1"/>
  <c r="S181" i="13"/>
  <c r="F181" i="13"/>
  <c r="S180" i="13"/>
  <c r="F180" i="13"/>
  <c r="S179" i="13"/>
  <c r="F179" i="13"/>
  <c r="S178" i="13"/>
  <c r="F178" i="13"/>
  <c r="S177" i="13"/>
  <c r="F177" i="13"/>
  <c r="W176" i="13"/>
  <c r="X176" i="13"/>
  <c r="S176" i="13"/>
  <c r="F176" i="13"/>
  <c r="S175" i="13"/>
  <c r="F175" i="13"/>
  <c r="S174" i="13"/>
  <c r="F174" i="13"/>
  <c r="S173" i="13"/>
  <c r="F173" i="13"/>
  <c r="W172" i="13"/>
  <c r="X172" i="13" s="1"/>
  <c r="V172" i="13"/>
  <c r="S172" i="13"/>
  <c r="N172" i="13"/>
  <c r="U172" i="13" s="1"/>
  <c r="S171" i="13"/>
  <c r="F171" i="13"/>
  <c r="H171" i="13"/>
  <c r="S170" i="13"/>
  <c r="F170" i="13"/>
  <c r="H170" i="13"/>
  <c r="W170" i="13" s="1"/>
  <c r="X170" i="13" s="1"/>
  <c r="W169" i="13"/>
  <c r="X169" i="13"/>
  <c r="S169" i="13"/>
  <c r="M169" i="13"/>
  <c r="F169" i="13"/>
  <c r="S168" i="13"/>
  <c r="F168" i="13"/>
  <c r="S167" i="13"/>
  <c r="F167" i="13"/>
  <c r="S166" i="13"/>
  <c r="F166" i="13"/>
  <c r="S165" i="13"/>
  <c r="F165" i="13"/>
  <c r="S164" i="13"/>
  <c r="F164" i="13"/>
  <c r="S163" i="13"/>
  <c r="F163" i="13"/>
  <c r="S162" i="13"/>
  <c r="F162" i="13"/>
  <c r="S161" i="13"/>
  <c r="M161" i="13"/>
  <c r="F161" i="13"/>
  <c r="S160" i="13"/>
  <c r="M160" i="13"/>
  <c r="F160" i="13"/>
  <c r="H160" i="13" s="1"/>
  <c r="W160" i="13" s="1"/>
  <c r="X160" i="13" s="1"/>
  <c r="S159" i="13"/>
  <c r="M159" i="13"/>
  <c r="F159" i="13"/>
  <c r="S158" i="13"/>
  <c r="M158" i="13"/>
  <c r="F158" i="13"/>
  <c r="S157" i="13"/>
  <c r="M157" i="13"/>
  <c r="F157" i="13"/>
  <c r="S156" i="13"/>
  <c r="M156" i="13"/>
  <c r="F156" i="13"/>
  <c r="H156" i="13" s="1"/>
  <c r="W156" i="13" s="1"/>
  <c r="X156" i="13" s="1"/>
  <c r="S155" i="13"/>
  <c r="M155" i="13"/>
  <c r="F155" i="13"/>
  <c r="S154" i="13"/>
  <c r="M154" i="13"/>
  <c r="F154" i="13"/>
  <c r="S153" i="13"/>
  <c r="M153" i="13"/>
  <c r="F153" i="13"/>
  <c r="S152" i="13"/>
  <c r="M152" i="13"/>
  <c r="F152" i="13"/>
  <c r="S151" i="13"/>
  <c r="M151" i="13"/>
  <c r="F151" i="13"/>
  <c r="S150" i="13"/>
  <c r="M150" i="13"/>
  <c r="F150" i="13"/>
  <c r="S149" i="13"/>
  <c r="M149" i="13"/>
  <c r="F149" i="13"/>
  <c r="S148" i="13"/>
  <c r="F148" i="13"/>
  <c r="S147" i="13"/>
  <c r="M147" i="13"/>
  <c r="F147" i="13"/>
  <c r="V147" i="13"/>
  <c r="S146" i="13"/>
  <c r="M146" i="13"/>
  <c r="F146" i="13"/>
  <c r="S145" i="13"/>
  <c r="M145" i="13"/>
  <c r="F145" i="13"/>
  <c r="H145" i="13" s="1"/>
  <c r="W145" i="13" s="1"/>
  <c r="X145" i="13" s="1"/>
  <c r="S144" i="13"/>
  <c r="M144" i="13"/>
  <c r="F144" i="13"/>
  <c r="H144" i="13"/>
  <c r="W144" i="13"/>
  <c r="X144" i="13" s="1"/>
  <c r="S143" i="13"/>
  <c r="M143" i="13"/>
  <c r="F143" i="13"/>
  <c r="N143" i="13" s="1"/>
  <c r="S142" i="13"/>
  <c r="M142" i="13"/>
  <c r="N142" i="13"/>
  <c r="R142" i="13" s="1"/>
  <c r="F142" i="13"/>
  <c r="S141" i="13"/>
  <c r="M141" i="13"/>
  <c r="F141" i="13"/>
  <c r="S140" i="13"/>
  <c r="M140" i="13"/>
  <c r="N140" i="13"/>
  <c r="F140" i="13"/>
  <c r="S139" i="13"/>
  <c r="M139" i="13"/>
  <c r="F139" i="13"/>
  <c r="S138" i="13"/>
  <c r="M138" i="13"/>
  <c r="F138" i="13"/>
  <c r="S137" i="13"/>
  <c r="M137" i="13"/>
  <c r="F137" i="13"/>
  <c r="N137" i="13" s="1"/>
  <c r="S136" i="13"/>
  <c r="M136" i="13"/>
  <c r="F136" i="13"/>
  <c r="S135" i="13"/>
  <c r="M135" i="13"/>
  <c r="F135" i="13"/>
  <c r="S134" i="13"/>
  <c r="M134" i="13"/>
  <c r="F134" i="13"/>
  <c r="S133" i="13"/>
  <c r="M133" i="13"/>
  <c r="F133" i="13"/>
  <c r="S132" i="13"/>
  <c r="M132" i="13"/>
  <c r="F132" i="13"/>
  <c r="N132" i="13" s="1"/>
  <c r="S131" i="13"/>
  <c r="M131" i="13"/>
  <c r="F131" i="13"/>
  <c r="H131" i="13" s="1"/>
  <c r="W131" i="13" s="1"/>
  <c r="X131" i="13" s="1"/>
  <c r="V131" i="13"/>
  <c r="S130" i="13"/>
  <c r="M130" i="13"/>
  <c r="F130" i="13"/>
  <c r="H130" i="13"/>
  <c r="W130" i="13" s="1"/>
  <c r="X130" i="13" s="1"/>
  <c r="S129" i="13"/>
  <c r="M129" i="13"/>
  <c r="F129" i="13"/>
  <c r="S128" i="13"/>
  <c r="M128" i="13"/>
  <c r="F128" i="13"/>
  <c r="S127" i="13"/>
  <c r="M127" i="13"/>
  <c r="F127" i="13"/>
  <c r="S126" i="13"/>
  <c r="M126" i="13"/>
  <c r="F126" i="13"/>
  <c r="S125" i="13"/>
  <c r="M125" i="13"/>
  <c r="F125" i="13"/>
  <c r="H125" i="13"/>
  <c r="W125" i="13"/>
  <c r="X125" i="13" s="1"/>
  <c r="S124" i="13"/>
  <c r="M124" i="13"/>
  <c r="F124" i="13"/>
  <c r="S123" i="13"/>
  <c r="M123" i="13"/>
  <c r="F123" i="13"/>
  <c r="V123" i="13"/>
  <c r="S122" i="13"/>
  <c r="M122" i="13"/>
  <c r="F122" i="13"/>
  <c r="N122" i="13"/>
  <c r="T122" i="13" s="1"/>
  <c r="S121" i="13"/>
  <c r="M121" i="13"/>
  <c r="F121" i="13"/>
  <c r="S120" i="13"/>
  <c r="M120" i="13"/>
  <c r="F120" i="13"/>
  <c r="S119" i="13"/>
  <c r="M119" i="13"/>
  <c r="F119" i="13"/>
  <c r="S118" i="13"/>
  <c r="M118" i="13"/>
  <c r="F118" i="13"/>
  <c r="S117" i="13"/>
  <c r="M117" i="13"/>
  <c r="F117" i="13"/>
  <c r="H117" i="13" s="1"/>
  <c r="W117" i="13" s="1"/>
  <c r="X117" i="13" s="1"/>
  <c r="S116" i="13"/>
  <c r="M116" i="13"/>
  <c r="F116" i="13"/>
  <c r="S115" i="13"/>
  <c r="M115" i="13"/>
  <c r="F115" i="13"/>
  <c r="S114" i="13"/>
  <c r="M114" i="13"/>
  <c r="F114" i="13"/>
  <c r="V114" i="13" s="1"/>
  <c r="S113" i="13"/>
  <c r="M113" i="13"/>
  <c r="F113" i="13"/>
  <c r="N113" i="13" s="1"/>
  <c r="S112" i="13"/>
  <c r="M112" i="13"/>
  <c r="F112" i="13"/>
  <c r="H112" i="13" s="1"/>
  <c r="W112" i="13" s="1"/>
  <c r="X112" i="13" s="1"/>
  <c r="S111" i="13"/>
  <c r="M111" i="13"/>
  <c r="F111" i="13"/>
  <c r="S110" i="13"/>
  <c r="M110" i="13"/>
  <c r="F110" i="13"/>
  <c r="V110" i="13"/>
  <c r="S109" i="13"/>
  <c r="M109" i="13"/>
  <c r="F109" i="13"/>
  <c r="S108" i="13"/>
  <c r="M108" i="13"/>
  <c r="F108" i="13"/>
  <c r="S107" i="13"/>
  <c r="M107" i="13"/>
  <c r="F107" i="13"/>
  <c r="V107" i="13"/>
  <c r="S106" i="13"/>
  <c r="M106" i="13"/>
  <c r="F106" i="13"/>
  <c r="V106" i="13" s="1"/>
  <c r="S105" i="13"/>
  <c r="M105" i="13"/>
  <c r="F105" i="13"/>
  <c r="S104" i="13"/>
  <c r="M104" i="13"/>
  <c r="F104" i="13"/>
  <c r="N104" i="13" s="1"/>
  <c r="S103" i="13"/>
  <c r="M103" i="13"/>
  <c r="F103" i="13"/>
  <c r="S102" i="13"/>
  <c r="M102" i="13"/>
  <c r="F102" i="13"/>
  <c r="S101" i="13"/>
  <c r="M101" i="13"/>
  <c r="F101" i="13"/>
  <c r="V101" i="13" s="1"/>
  <c r="S100" i="13"/>
  <c r="M100" i="13"/>
  <c r="F100" i="13"/>
  <c r="S99" i="13"/>
  <c r="M99" i="13"/>
  <c r="F99" i="13"/>
  <c r="N99" i="13" s="1"/>
  <c r="S98" i="13"/>
  <c r="M98" i="13"/>
  <c r="F98" i="13"/>
  <c r="H98" i="13"/>
  <c r="W98" i="13" s="1"/>
  <c r="X98" i="13" s="1"/>
  <c r="S97" i="13"/>
  <c r="M97" i="13"/>
  <c r="F97" i="13"/>
  <c r="S96" i="13"/>
  <c r="M96" i="13"/>
  <c r="F96" i="13"/>
  <c r="N96" i="13" s="1"/>
  <c r="S95" i="13"/>
  <c r="M95" i="13"/>
  <c r="F95" i="13"/>
  <c r="S94" i="13"/>
  <c r="M94" i="13"/>
  <c r="F94" i="13"/>
  <c r="H94" i="13" s="1"/>
  <c r="W94" i="13" s="1"/>
  <c r="X94" i="13" s="1"/>
  <c r="S93" i="13"/>
  <c r="M93" i="13"/>
  <c r="F93" i="13"/>
  <c r="S92" i="13"/>
  <c r="M92" i="13"/>
  <c r="F92" i="13"/>
  <c r="V92" i="13"/>
  <c r="S91" i="13"/>
  <c r="M91" i="13"/>
  <c r="F91" i="13"/>
  <c r="S90" i="13"/>
  <c r="M90" i="13"/>
  <c r="F90" i="13"/>
  <c r="S89" i="13"/>
  <c r="M89" i="13"/>
  <c r="F89" i="13"/>
  <c r="S88" i="13"/>
  <c r="M88" i="13"/>
  <c r="F88" i="13"/>
  <c r="S87" i="13"/>
  <c r="M87" i="13"/>
  <c r="F87" i="13"/>
  <c r="H87" i="13" s="1"/>
  <c r="W87" i="13" s="1"/>
  <c r="X87" i="13" s="1"/>
  <c r="S86" i="13"/>
  <c r="M86" i="13"/>
  <c r="F86" i="13"/>
  <c r="V86" i="13" s="1"/>
  <c r="S85" i="13"/>
  <c r="M85" i="13"/>
  <c r="F85" i="13"/>
  <c r="S84" i="13"/>
  <c r="M84" i="13"/>
  <c r="F84" i="13"/>
  <c r="N84" i="13" s="1"/>
  <c r="R84" i="13" s="1"/>
  <c r="S83" i="13"/>
  <c r="M83" i="13"/>
  <c r="F83" i="13"/>
  <c r="S82" i="13"/>
  <c r="M82" i="13"/>
  <c r="F82" i="13"/>
  <c r="S81" i="13"/>
  <c r="M81" i="13"/>
  <c r="F81" i="13"/>
  <c r="S80" i="13"/>
  <c r="F80" i="13"/>
  <c r="S79" i="13"/>
  <c r="F79" i="13"/>
  <c r="V79" i="13" s="1"/>
  <c r="S78" i="13"/>
  <c r="F78" i="13"/>
  <c r="V78" i="13"/>
  <c r="S77" i="13"/>
  <c r="F77" i="13"/>
  <c r="S76" i="13"/>
  <c r="F76" i="13"/>
  <c r="S75" i="13"/>
  <c r="F75" i="13"/>
  <c r="S74" i="13"/>
  <c r="F74" i="13"/>
  <c r="S73" i="13"/>
  <c r="F73" i="13"/>
  <c r="S72" i="13"/>
  <c r="F72" i="13"/>
  <c r="V72" i="13" s="1"/>
  <c r="S71" i="13"/>
  <c r="F71" i="13"/>
  <c r="S70" i="13"/>
  <c r="F70" i="13"/>
  <c r="S69" i="13"/>
  <c r="F69" i="13"/>
  <c r="S68" i="13"/>
  <c r="F68" i="13"/>
  <c r="S67" i="13"/>
  <c r="F67" i="13"/>
  <c r="S66" i="13"/>
  <c r="F66" i="13"/>
  <c r="V66" i="13"/>
  <c r="S65" i="13"/>
  <c r="F65" i="13"/>
  <c r="V65" i="13" s="1"/>
  <c r="S64" i="13"/>
  <c r="F64" i="13"/>
  <c r="S63" i="13"/>
  <c r="F63" i="13"/>
  <c r="H63" i="13"/>
  <c r="W63" i="13" s="1"/>
  <c r="S62" i="13"/>
  <c r="F62" i="13"/>
  <c r="V62" i="13"/>
  <c r="S61" i="13"/>
  <c r="F61" i="13"/>
  <c r="S60" i="13"/>
  <c r="F60" i="13"/>
  <c r="V60" i="13" s="1"/>
  <c r="S59" i="13"/>
  <c r="F59" i="13"/>
  <c r="H59" i="13" s="1"/>
  <c r="W59" i="13" s="1"/>
  <c r="S58" i="13"/>
  <c r="F58" i="13"/>
  <c r="S57" i="13"/>
  <c r="F57" i="13"/>
  <c r="V57" i="13" s="1"/>
  <c r="S56" i="13"/>
  <c r="F56" i="13"/>
  <c r="H56" i="13" s="1"/>
  <c r="S55" i="13"/>
  <c r="F55" i="13"/>
  <c r="H55" i="13" s="1"/>
  <c r="S54" i="13"/>
  <c r="F54" i="13"/>
  <c r="V54" i="13"/>
  <c r="S53" i="13"/>
  <c r="F53" i="13"/>
  <c r="H53" i="13" s="1"/>
  <c r="L53" i="13" s="1"/>
  <c r="S52" i="13"/>
  <c r="F52" i="13"/>
  <c r="S51" i="13"/>
  <c r="F51" i="13"/>
  <c r="V51" i="13" s="1"/>
  <c r="S50" i="13"/>
  <c r="F50" i="13"/>
  <c r="V50" i="13" s="1"/>
  <c r="S49" i="13"/>
  <c r="F49" i="13"/>
  <c r="H49" i="13" s="1"/>
  <c r="L49" i="13" s="1"/>
  <c r="M49" i="13" s="1"/>
  <c r="N49" i="13" s="1"/>
  <c r="U49" i="13" s="1"/>
  <c r="S48" i="13"/>
  <c r="M48" i="13"/>
  <c r="F48" i="13"/>
  <c r="S47" i="13"/>
  <c r="M47" i="13"/>
  <c r="F47" i="13"/>
  <c r="S46" i="13"/>
  <c r="M46" i="13"/>
  <c r="F46" i="13"/>
  <c r="S45" i="13"/>
  <c r="M45" i="13"/>
  <c r="F45" i="13"/>
  <c r="S44" i="13"/>
  <c r="M44" i="13"/>
  <c r="F44" i="13"/>
  <c r="W43" i="13"/>
  <c r="X43" i="13"/>
  <c r="S43" i="13"/>
  <c r="F43" i="13"/>
  <c r="S42" i="13"/>
  <c r="M42" i="13"/>
  <c r="F42" i="13"/>
  <c r="S41" i="13"/>
  <c r="M41" i="13"/>
  <c r="F41" i="13"/>
  <c r="V41" i="13"/>
  <c r="W40" i="13"/>
  <c r="X40" i="13" s="1"/>
  <c r="S40" i="13"/>
  <c r="F40" i="13"/>
  <c r="V40" i="13" s="1"/>
  <c r="S39" i="13"/>
  <c r="M39" i="13"/>
  <c r="F39" i="13"/>
  <c r="S38" i="13"/>
  <c r="M38" i="13"/>
  <c r="F38" i="13"/>
  <c r="V38" i="13" s="1"/>
  <c r="S37" i="13"/>
  <c r="M37" i="13"/>
  <c r="F37" i="13"/>
  <c r="S36" i="13"/>
  <c r="M36" i="13"/>
  <c r="F36" i="13"/>
  <c r="V36" i="13" s="1"/>
  <c r="W35" i="13"/>
  <c r="X35" i="13" s="1"/>
  <c r="S35" i="13"/>
  <c r="F35" i="13"/>
  <c r="N35" i="13" s="1"/>
  <c r="S34" i="13"/>
  <c r="M34" i="13"/>
  <c r="F34" i="13"/>
  <c r="S33" i="13"/>
  <c r="M33" i="13"/>
  <c r="F33" i="13"/>
  <c r="S32" i="13"/>
  <c r="M32" i="13"/>
  <c r="F32" i="13"/>
  <c r="V32" i="13" s="1"/>
  <c r="S31" i="13"/>
  <c r="M31" i="13"/>
  <c r="F31" i="13"/>
  <c r="S30" i="13"/>
  <c r="M30" i="13"/>
  <c r="F30" i="13"/>
  <c r="S29" i="13"/>
  <c r="M29" i="13"/>
  <c r="F29" i="13"/>
  <c r="H29" i="13"/>
  <c r="W29" i="13" s="1"/>
  <c r="X29" i="13" s="1"/>
  <c r="S28" i="13"/>
  <c r="M28" i="13"/>
  <c r="F28" i="13"/>
  <c r="V28" i="13"/>
  <c r="S27" i="13"/>
  <c r="M27" i="13"/>
  <c r="F27" i="13"/>
  <c r="H27" i="13" s="1"/>
  <c r="W27" i="13" s="1"/>
  <c r="X27" i="13" s="1"/>
  <c r="S26" i="13"/>
  <c r="M26" i="13"/>
  <c r="F26" i="13"/>
  <c r="H26" i="13" s="1"/>
  <c r="W26" i="13" s="1"/>
  <c r="X26" i="13" s="1"/>
  <c r="S25" i="13"/>
  <c r="M25" i="13"/>
  <c r="F25" i="13"/>
  <c r="S24" i="13"/>
  <c r="M24" i="13"/>
  <c r="F24" i="13"/>
  <c r="S23" i="13"/>
  <c r="M23" i="13"/>
  <c r="F23" i="13"/>
  <c r="H23" i="13" s="1"/>
  <c r="W23" i="13" s="1"/>
  <c r="X23" i="13" s="1"/>
  <c r="S22" i="13"/>
  <c r="M22" i="13"/>
  <c r="F22" i="13"/>
  <c r="S21" i="13"/>
  <c r="M21" i="13"/>
  <c r="F21" i="13"/>
  <c r="V21" i="13"/>
  <c r="S20" i="13"/>
  <c r="M20" i="13"/>
  <c r="F20" i="13"/>
  <c r="S19" i="13"/>
  <c r="M19" i="13"/>
  <c r="F19" i="13"/>
  <c r="H19" i="13" s="1"/>
  <c r="W19" i="13" s="1"/>
  <c r="X19" i="13" s="1"/>
  <c r="S18" i="13"/>
  <c r="M18" i="13"/>
  <c r="F18" i="13"/>
  <c r="S17" i="13"/>
  <c r="M17" i="13"/>
  <c r="F17" i="13"/>
  <c r="S16" i="13"/>
  <c r="M16" i="13"/>
  <c r="F16" i="13"/>
  <c r="V16" i="13" s="1"/>
  <c r="S15" i="13"/>
  <c r="M15" i="13"/>
  <c r="F15" i="13"/>
  <c r="H15" i="13"/>
  <c r="W15" i="13" s="1"/>
  <c r="X15" i="13" s="1"/>
  <c r="S14" i="13"/>
  <c r="M14" i="13"/>
  <c r="F14" i="13"/>
  <c r="S13" i="13"/>
  <c r="M13" i="13"/>
  <c r="F13" i="13"/>
  <c r="V13" i="13" s="1"/>
  <c r="S12" i="13"/>
  <c r="M12" i="13"/>
  <c r="F12" i="13"/>
  <c r="H12" i="13" s="1"/>
  <c r="W12" i="13" s="1"/>
  <c r="X12" i="13" s="1"/>
  <c r="S11" i="13"/>
  <c r="M11" i="13"/>
  <c r="N11" i="13" s="1"/>
  <c r="F11" i="13"/>
  <c r="H11" i="13" s="1"/>
  <c r="W11" i="13" s="1"/>
  <c r="X11" i="13" s="1"/>
  <c r="S10" i="13"/>
  <c r="M10" i="13"/>
  <c r="F10" i="13"/>
  <c r="S9" i="13"/>
  <c r="M9" i="13"/>
  <c r="F9" i="13"/>
  <c r="S8" i="13"/>
  <c r="T8" i="13" s="1"/>
  <c r="F8" i="13"/>
  <c r="S7" i="13"/>
  <c r="M7" i="13"/>
  <c r="F7" i="13"/>
  <c r="H7" i="13" s="1"/>
  <c r="W7" i="13" s="1"/>
  <c r="X7" i="13" s="1"/>
  <c r="S6" i="13"/>
  <c r="M6" i="13"/>
  <c r="F6" i="13"/>
  <c r="V6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S5" i="13"/>
  <c r="M5" i="13"/>
  <c r="F5" i="13"/>
  <c r="N5" i="13" s="1"/>
  <c r="U5" i="13" s="1"/>
  <c r="V10" i="12"/>
  <c r="G10" i="12"/>
  <c r="E28" i="3" s="1"/>
  <c r="E10" i="12"/>
  <c r="C28" i="3" s="1"/>
  <c r="F9" i="12"/>
  <c r="W8" i="12"/>
  <c r="F8" i="12"/>
  <c r="U8" i="12" s="1"/>
  <c r="D7" i="12"/>
  <c r="D6" i="12"/>
  <c r="D10" i="12" s="1"/>
  <c r="B28" i="3" s="1"/>
  <c r="D28" i="3" s="1"/>
  <c r="F21" i="11"/>
  <c r="G18" i="11"/>
  <c r="E11" i="3" s="1"/>
  <c r="E18" i="11"/>
  <c r="C11" i="3" s="1"/>
  <c r="D18" i="11"/>
  <c r="B11" i="3" s="1"/>
  <c r="W16" i="11"/>
  <c r="X16" i="11" s="1"/>
  <c r="U16" i="11"/>
  <c r="F16" i="11"/>
  <c r="S16" i="11" s="1"/>
  <c r="T16" i="11" s="1"/>
  <c r="U15" i="11"/>
  <c r="F15" i="11"/>
  <c r="W14" i="11"/>
  <c r="X14" i="11" s="1"/>
  <c r="U14" i="11"/>
  <c r="F14" i="11"/>
  <c r="S14" i="11"/>
  <c r="T14" i="11" s="1"/>
  <c r="W13" i="11"/>
  <c r="X13" i="11" s="1"/>
  <c r="U13" i="11"/>
  <c r="F13" i="11"/>
  <c r="S13" i="11" s="1"/>
  <c r="T13" i="11" s="1"/>
  <c r="W11" i="11"/>
  <c r="X11" i="11" s="1"/>
  <c r="S11" i="11"/>
  <c r="F11" i="11"/>
  <c r="N11" i="11"/>
  <c r="T11" i="11" s="1"/>
  <c r="X10" i="11"/>
  <c r="F10" i="11"/>
  <c r="W9" i="11"/>
  <c r="X9" i="11" s="1"/>
  <c r="R9" i="11"/>
  <c r="F9" i="11"/>
  <c r="W8" i="11"/>
  <c r="X8" i="11" s="1"/>
  <c r="V8" i="11"/>
  <c r="R8" i="11"/>
  <c r="S8" i="11"/>
  <c r="T8" i="11" s="1"/>
  <c r="W7" i="11"/>
  <c r="X7" i="11" s="1"/>
  <c r="V7" i="11"/>
  <c r="R7" i="11"/>
  <c r="S7" i="11"/>
  <c r="T7" i="11" s="1"/>
  <c r="S6" i="11"/>
  <c r="M6" i="11"/>
  <c r="M18" i="11"/>
  <c r="F6" i="11"/>
  <c r="H6" i="11" s="1"/>
  <c r="A6" i="11"/>
  <c r="A7" i="11"/>
  <c r="A8" i="11" s="1"/>
  <c r="A9" i="11" s="1"/>
  <c r="A10" i="11" s="1"/>
  <c r="A11" i="11" s="1"/>
  <c r="A12" i="11" s="1"/>
  <c r="A13" i="11" s="1"/>
  <c r="A14" i="11" s="1"/>
  <c r="W5" i="11"/>
  <c r="X5" i="11" s="1"/>
  <c r="V5" i="11"/>
  <c r="S5" i="11"/>
  <c r="T5" i="11" s="1"/>
  <c r="R5" i="11"/>
  <c r="F361" i="10"/>
  <c r="H361" i="10" s="1"/>
  <c r="F360" i="10"/>
  <c r="F359" i="10"/>
  <c r="F358" i="10"/>
  <c r="H358" i="10" s="1"/>
  <c r="F357" i="10"/>
  <c r="F356" i="10"/>
  <c r="V356" i="10" s="1"/>
  <c r="F355" i="10"/>
  <c r="F354" i="10"/>
  <c r="F353" i="10"/>
  <c r="H353" i="10" s="1"/>
  <c r="F352" i="10"/>
  <c r="H352" i="10" s="1"/>
  <c r="L352" i="10" s="1"/>
  <c r="M352" i="10" s="1"/>
  <c r="N352" i="10" s="1"/>
  <c r="F351" i="10"/>
  <c r="H351" i="10" s="1"/>
  <c r="F350" i="10"/>
  <c r="V350" i="10" s="1"/>
  <c r="F349" i="10"/>
  <c r="S349" i="10" s="1"/>
  <c r="F348" i="10"/>
  <c r="H348" i="10" s="1"/>
  <c r="L348" i="10" s="1"/>
  <c r="M348" i="10" s="1"/>
  <c r="F347" i="10"/>
  <c r="F346" i="10"/>
  <c r="H346" i="10" s="1"/>
  <c r="F345" i="10"/>
  <c r="F344" i="10"/>
  <c r="S344" i="10" s="1"/>
  <c r="F343" i="10"/>
  <c r="F342" i="10"/>
  <c r="F341" i="10"/>
  <c r="V341" i="10" s="1"/>
  <c r="F340" i="10"/>
  <c r="H340" i="10" s="1"/>
  <c r="F339" i="10"/>
  <c r="F338" i="10"/>
  <c r="S338" i="10" s="1"/>
  <c r="F337" i="10"/>
  <c r="F336" i="10"/>
  <c r="S336" i="10" s="1"/>
  <c r="F335" i="10"/>
  <c r="S335" i="10" s="1"/>
  <c r="F334" i="10"/>
  <c r="S334" i="10" s="1"/>
  <c r="F333" i="10"/>
  <c r="H333" i="10" s="1"/>
  <c r="L333" i="10" s="1"/>
  <c r="M333" i="10" s="1"/>
  <c r="N333" i="10" s="1"/>
  <c r="F332" i="10"/>
  <c r="F331" i="10"/>
  <c r="S331" i="10" s="1"/>
  <c r="F330" i="10"/>
  <c r="F329" i="10"/>
  <c r="F328" i="10"/>
  <c r="S328" i="10" s="1"/>
  <c r="F327" i="10"/>
  <c r="F326" i="10"/>
  <c r="F325" i="10"/>
  <c r="F324" i="10"/>
  <c r="F323" i="10"/>
  <c r="F322" i="10"/>
  <c r="H322" i="10" s="1"/>
  <c r="F321" i="10"/>
  <c r="S321" i="10" s="1"/>
  <c r="F320" i="10"/>
  <c r="S320" i="10" s="1"/>
  <c r="F319" i="10"/>
  <c r="H319" i="10" s="1"/>
  <c r="F318" i="10"/>
  <c r="F317" i="10"/>
  <c r="V317" i="10" s="1"/>
  <c r="F316" i="10"/>
  <c r="F315" i="10"/>
  <c r="V315" i="10" s="1"/>
  <c r="F314" i="10"/>
  <c r="F313" i="10"/>
  <c r="F312" i="10"/>
  <c r="S312" i="10" s="1"/>
  <c r="F311" i="10"/>
  <c r="V311" i="10" s="1"/>
  <c r="F310" i="10"/>
  <c r="V310" i="10" s="1"/>
  <c r="F309" i="10"/>
  <c r="F308" i="10"/>
  <c r="F307" i="10"/>
  <c r="F306" i="10"/>
  <c r="F305" i="10"/>
  <c r="H305" i="10" s="1"/>
  <c r="L305" i="10" s="1"/>
  <c r="M305" i="10" s="1"/>
  <c r="N305" i="10" s="1"/>
  <c r="F304" i="10"/>
  <c r="V304" i="10" s="1"/>
  <c r="S303" i="10"/>
  <c r="F303" i="10"/>
  <c r="H303" i="10" s="1"/>
  <c r="S302" i="10"/>
  <c r="F302" i="10"/>
  <c r="V302" i="10" s="1"/>
  <c r="S301" i="10"/>
  <c r="F301" i="10"/>
  <c r="V301" i="10" s="1"/>
  <c r="S300" i="10"/>
  <c r="F300" i="10"/>
  <c r="V300" i="10" s="1"/>
  <c r="S299" i="10"/>
  <c r="F299" i="10"/>
  <c r="V299" i="10" s="1"/>
  <c r="S298" i="10"/>
  <c r="F298" i="10"/>
  <c r="V298" i="10" s="1"/>
  <c r="S297" i="10"/>
  <c r="F297" i="10"/>
  <c r="S296" i="10"/>
  <c r="F296" i="10"/>
  <c r="S295" i="10"/>
  <c r="F295" i="10"/>
  <c r="S294" i="10"/>
  <c r="F294" i="10"/>
  <c r="S293" i="10"/>
  <c r="F293" i="10"/>
  <c r="S292" i="10"/>
  <c r="F292" i="10"/>
  <c r="H292" i="10" s="1"/>
  <c r="S291" i="10"/>
  <c r="F291" i="10"/>
  <c r="V291" i="10" s="1"/>
  <c r="S290" i="10"/>
  <c r="F290" i="10"/>
  <c r="H290" i="10" s="1"/>
  <c r="W290" i="10" s="1"/>
  <c r="S289" i="10"/>
  <c r="F289" i="10"/>
  <c r="S288" i="10"/>
  <c r="F288" i="10"/>
  <c r="V288" i="10" s="1"/>
  <c r="S287" i="10"/>
  <c r="F287" i="10"/>
  <c r="L287" i="10" s="1"/>
  <c r="S286" i="10"/>
  <c r="F286" i="10"/>
  <c r="H286" i="10" s="1"/>
  <c r="W286" i="10" s="1"/>
  <c r="S285" i="10"/>
  <c r="F285" i="10"/>
  <c r="S284" i="10"/>
  <c r="F284" i="10"/>
  <c r="H284" i="10" s="1"/>
  <c r="W284" i="10" s="1"/>
  <c r="S283" i="10"/>
  <c r="F283" i="10"/>
  <c r="S282" i="10"/>
  <c r="F282" i="10"/>
  <c r="V282" i="10" s="1"/>
  <c r="S281" i="10"/>
  <c r="F281" i="10"/>
  <c r="H281" i="10" s="1"/>
  <c r="W281" i="10" s="1"/>
  <c r="S280" i="10"/>
  <c r="F280" i="10"/>
  <c r="S279" i="10"/>
  <c r="F279" i="10"/>
  <c r="V279" i="10" s="1"/>
  <c r="S278" i="10"/>
  <c r="F278" i="10"/>
  <c r="V278" i="10" s="1"/>
  <c r="S277" i="10"/>
  <c r="F277" i="10"/>
  <c r="S276" i="10"/>
  <c r="F276" i="10"/>
  <c r="H276" i="10" s="1"/>
  <c r="W276" i="10" s="1"/>
  <c r="S275" i="10"/>
  <c r="F275" i="10"/>
  <c r="S274" i="10"/>
  <c r="F274" i="10"/>
  <c r="H274" i="10" s="1"/>
  <c r="W274" i="10" s="1"/>
  <c r="S273" i="10"/>
  <c r="F273" i="10"/>
  <c r="S272" i="10"/>
  <c r="F272" i="10"/>
  <c r="V272" i="10" s="1"/>
  <c r="S271" i="10"/>
  <c r="F271" i="10"/>
  <c r="S270" i="10"/>
  <c r="F270" i="10"/>
  <c r="V270" i="10" s="1"/>
  <c r="S269" i="10"/>
  <c r="F269" i="10"/>
  <c r="V269" i="10" s="1"/>
  <c r="S268" i="10"/>
  <c r="F268" i="10"/>
  <c r="V268" i="10" s="1"/>
  <c r="S267" i="10"/>
  <c r="F267" i="10"/>
  <c r="S266" i="10"/>
  <c r="F266" i="10"/>
  <c r="S265" i="10"/>
  <c r="F265" i="10"/>
  <c r="S264" i="10"/>
  <c r="F264" i="10"/>
  <c r="V264" i="10" s="1"/>
  <c r="S263" i="10"/>
  <c r="F263" i="10"/>
  <c r="H263" i="10" s="1"/>
  <c r="S262" i="10"/>
  <c r="F262" i="10"/>
  <c r="V262" i="10" s="1"/>
  <c r="W261" i="10"/>
  <c r="Y261" i="10" s="1"/>
  <c r="U261" i="10"/>
  <c r="S261" i="10"/>
  <c r="T261" i="10" s="1"/>
  <c r="F261" i="10"/>
  <c r="V261" i="10" s="1"/>
  <c r="S260" i="10"/>
  <c r="F260" i="10"/>
  <c r="S259" i="10"/>
  <c r="F259" i="10"/>
  <c r="V259" i="10" s="1"/>
  <c r="S258" i="10"/>
  <c r="F258" i="10"/>
  <c r="S257" i="10"/>
  <c r="F257" i="10"/>
  <c r="V257" i="10" s="1"/>
  <c r="S256" i="10"/>
  <c r="F256" i="10"/>
  <c r="S255" i="10"/>
  <c r="F255" i="10"/>
  <c r="V255" i="10" s="1"/>
  <c r="S254" i="10"/>
  <c r="F254" i="10"/>
  <c r="S253" i="10"/>
  <c r="F253" i="10"/>
  <c r="S252" i="10"/>
  <c r="F252" i="10"/>
  <c r="V252" i="10" s="1"/>
  <c r="S251" i="10"/>
  <c r="F251" i="10"/>
  <c r="H251" i="10" s="1"/>
  <c r="W251" i="10" s="1"/>
  <c r="S250" i="10"/>
  <c r="F250" i="10"/>
  <c r="V250" i="10" s="1"/>
  <c r="S249" i="10"/>
  <c r="F249" i="10"/>
  <c r="V249" i="10" s="1"/>
  <c r="S248" i="10"/>
  <c r="F248" i="10"/>
  <c r="S247" i="10"/>
  <c r="F247" i="10"/>
  <c r="V247" i="10" s="1"/>
  <c r="S246" i="10"/>
  <c r="F246" i="10"/>
  <c r="S245" i="10"/>
  <c r="F245" i="10"/>
  <c r="V245" i="10" s="1"/>
  <c r="S244" i="10"/>
  <c r="F244" i="10"/>
  <c r="S243" i="10"/>
  <c r="F243" i="10"/>
  <c r="S242" i="10"/>
  <c r="F242" i="10"/>
  <c r="S241" i="10"/>
  <c r="T241" i="10" s="1"/>
  <c r="F241" i="10"/>
  <c r="V241" i="10" s="1"/>
  <c r="S240" i="10"/>
  <c r="T240" i="10" s="1"/>
  <c r="F240" i="10"/>
  <c r="V240" i="10" s="1"/>
  <c r="W239" i="10"/>
  <c r="U239" i="10"/>
  <c r="S239" i="10"/>
  <c r="T239" i="10" s="1"/>
  <c r="M239" i="10"/>
  <c r="F239" i="10"/>
  <c r="V239" i="10" s="1"/>
  <c r="S238" i="10"/>
  <c r="F238" i="10"/>
  <c r="S237" i="10"/>
  <c r="F237" i="10"/>
  <c r="S236" i="10"/>
  <c r="F236" i="10"/>
  <c r="S235" i="10"/>
  <c r="F235" i="10"/>
  <c r="S234" i="10"/>
  <c r="F234" i="10"/>
  <c r="S233" i="10"/>
  <c r="F233" i="10"/>
  <c r="V233" i="10" s="1"/>
  <c r="S232" i="10"/>
  <c r="F232" i="10"/>
  <c r="S231" i="10"/>
  <c r="F231" i="10"/>
  <c r="Y230" i="10"/>
  <c r="X230" i="10"/>
  <c r="F230" i="10"/>
  <c r="S229" i="10"/>
  <c r="F229" i="10"/>
  <c r="H229" i="10" s="1"/>
  <c r="L229" i="10" s="1"/>
  <c r="S228" i="10"/>
  <c r="F228" i="10"/>
  <c r="V228" i="10" s="1"/>
  <c r="S227" i="10"/>
  <c r="F227" i="10"/>
  <c r="H227" i="10" s="1"/>
  <c r="S226" i="10"/>
  <c r="F226" i="10"/>
  <c r="H226" i="10" s="1"/>
  <c r="W226" i="10" s="1"/>
  <c r="S225" i="10"/>
  <c r="F225" i="10"/>
  <c r="H225" i="10" s="1"/>
  <c r="W225" i="10" s="1"/>
  <c r="W224" i="10"/>
  <c r="X224" i="10" s="1"/>
  <c r="U224" i="10"/>
  <c r="S224" i="10"/>
  <c r="T224" i="10" s="1"/>
  <c r="M224" i="10"/>
  <c r="F224" i="10"/>
  <c r="V224" i="10" s="1"/>
  <c r="S223" i="10"/>
  <c r="F223" i="10"/>
  <c r="V223" i="10" s="1"/>
  <c r="S222" i="10"/>
  <c r="F222" i="10"/>
  <c r="S221" i="10"/>
  <c r="F221" i="10"/>
  <c r="S220" i="10"/>
  <c r="F220" i="10"/>
  <c r="H220" i="10" s="1"/>
  <c r="W220" i="10" s="1"/>
  <c r="S219" i="10"/>
  <c r="F219" i="10"/>
  <c r="V219" i="10" s="1"/>
  <c r="S218" i="10"/>
  <c r="F218" i="10"/>
  <c r="S217" i="10"/>
  <c r="F217" i="10"/>
  <c r="S216" i="10"/>
  <c r="F216" i="10"/>
  <c r="S215" i="10"/>
  <c r="F215" i="10"/>
  <c r="H215" i="10" s="1"/>
  <c r="S214" i="10"/>
  <c r="F214" i="10"/>
  <c r="S213" i="10"/>
  <c r="F213" i="10"/>
  <c r="V213" i="10" s="1"/>
  <c r="S212" i="10"/>
  <c r="F212" i="10"/>
  <c r="S211" i="10"/>
  <c r="F211" i="10"/>
  <c r="S210" i="10"/>
  <c r="F210" i="10"/>
  <c r="W209" i="10"/>
  <c r="X209" i="10" s="1"/>
  <c r="V209" i="10"/>
  <c r="S209" i="10"/>
  <c r="T209" i="10" s="1"/>
  <c r="S208" i="10"/>
  <c r="F208" i="10"/>
  <c r="S207" i="10"/>
  <c r="F207" i="10"/>
  <c r="H207" i="10" s="1"/>
  <c r="W207" i="10" s="1"/>
  <c r="S206" i="10"/>
  <c r="F206" i="10"/>
  <c r="W205" i="10"/>
  <c r="X205" i="10" s="1"/>
  <c r="S205" i="10"/>
  <c r="S204" i="10"/>
  <c r="F204" i="10"/>
  <c r="S203" i="10"/>
  <c r="F203" i="10"/>
  <c r="S202" i="10"/>
  <c r="F202" i="10"/>
  <c r="S201" i="10"/>
  <c r="F201" i="10"/>
  <c r="V201" i="10" s="1"/>
  <c r="S200" i="10"/>
  <c r="F200" i="10"/>
  <c r="S199" i="10"/>
  <c r="F199" i="10"/>
  <c r="S198" i="10"/>
  <c r="F198" i="10"/>
  <c r="H198" i="10" s="1"/>
  <c r="W197" i="10"/>
  <c r="U197" i="10"/>
  <c r="S197" i="10"/>
  <c r="T197" i="10" s="1"/>
  <c r="F197" i="10"/>
  <c r="L197" i="10" s="1"/>
  <c r="S196" i="10"/>
  <c r="F196" i="10"/>
  <c r="V196" i="10" s="1"/>
  <c r="S195" i="10"/>
  <c r="F195" i="10"/>
  <c r="V195" i="10" s="1"/>
  <c r="S194" i="10"/>
  <c r="F194" i="10"/>
  <c r="S193" i="10"/>
  <c r="F193" i="10"/>
  <c r="S192" i="10"/>
  <c r="F192" i="10"/>
  <c r="S191" i="10"/>
  <c r="F191" i="10"/>
  <c r="S190" i="10"/>
  <c r="F190" i="10"/>
  <c r="W189" i="10"/>
  <c r="X189" i="10" s="1"/>
  <c r="M189" i="10"/>
  <c r="F189" i="10"/>
  <c r="S188" i="10"/>
  <c r="F188" i="10"/>
  <c r="S187" i="10"/>
  <c r="F187" i="10"/>
  <c r="V187" i="10" s="1"/>
  <c r="S186" i="10"/>
  <c r="F186" i="10"/>
  <c r="S185" i="10"/>
  <c r="F185" i="10"/>
  <c r="H185" i="10" s="1"/>
  <c r="W185" i="10" s="1"/>
  <c r="S184" i="10"/>
  <c r="F184" i="10"/>
  <c r="S183" i="10"/>
  <c r="F183" i="10"/>
  <c r="H183" i="10" s="1"/>
  <c r="W183" i="10" s="1"/>
  <c r="S182" i="10"/>
  <c r="F182" i="10"/>
  <c r="S181" i="10"/>
  <c r="F181" i="10"/>
  <c r="S180" i="10"/>
  <c r="F180" i="10"/>
  <c r="H180" i="10" s="1"/>
  <c r="S179" i="10"/>
  <c r="F179" i="10"/>
  <c r="W178" i="10"/>
  <c r="X178" i="10" s="1"/>
  <c r="M178" i="10"/>
  <c r="F178" i="10"/>
  <c r="S177" i="10"/>
  <c r="F177" i="10"/>
  <c r="H177" i="10" s="1"/>
  <c r="W177" i="10" s="1"/>
  <c r="S176" i="10"/>
  <c r="F176" i="10"/>
  <c r="S175" i="10"/>
  <c r="F175" i="10"/>
  <c r="V175" i="10" s="1"/>
  <c r="S174" i="10"/>
  <c r="F174" i="10"/>
  <c r="S173" i="10"/>
  <c r="F173" i="10"/>
  <c r="S172" i="10"/>
  <c r="F172" i="10"/>
  <c r="S171" i="10"/>
  <c r="F171" i="10"/>
  <c r="S170" i="10"/>
  <c r="F170" i="10"/>
  <c r="S169" i="10"/>
  <c r="F169" i="10"/>
  <c r="H169" i="10" s="1"/>
  <c r="L169" i="10" s="1"/>
  <c r="S168" i="10"/>
  <c r="F168" i="10"/>
  <c r="V168" i="10" s="1"/>
  <c r="S167" i="10"/>
  <c r="F167" i="10"/>
  <c r="M166" i="10"/>
  <c r="F166" i="10"/>
  <c r="H166" i="10" s="1"/>
  <c r="W166" i="10" s="1"/>
  <c r="X166" i="10" s="1"/>
  <c r="S165" i="10"/>
  <c r="F165" i="10"/>
  <c r="S164" i="10"/>
  <c r="M164" i="10"/>
  <c r="F164" i="10"/>
  <c r="S163" i="10"/>
  <c r="M163" i="10"/>
  <c r="F163" i="10"/>
  <c r="S162" i="10"/>
  <c r="M162" i="10"/>
  <c r="F162" i="10"/>
  <c r="S161" i="10"/>
  <c r="M161" i="10"/>
  <c r="F161" i="10"/>
  <c r="N161" i="10" s="1"/>
  <c r="U161" i="10" s="1"/>
  <c r="S160" i="10"/>
  <c r="M160" i="10"/>
  <c r="F160" i="10"/>
  <c r="V160" i="10" s="1"/>
  <c r="S159" i="10"/>
  <c r="M159" i="10"/>
  <c r="F159" i="10"/>
  <c r="V159" i="10" s="1"/>
  <c r="S158" i="10"/>
  <c r="M158" i="10"/>
  <c r="F158" i="10"/>
  <c r="S157" i="10"/>
  <c r="M157" i="10"/>
  <c r="F157" i="10"/>
  <c r="S156" i="10"/>
  <c r="M156" i="10"/>
  <c r="N156" i="10" s="1"/>
  <c r="F156" i="10"/>
  <c r="S155" i="10"/>
  <c r="M155" i="10"/>
  <c r="F155" i="10"/>
  <c r="H155" i="10" s="1"/>
  <c r="W155" i="10" s="1"/>
  <c r="X155" i="10" s="1"/>
  <c r="S154" i="10"/>
  <c r="M154" i="10"/>
  <c r="F154" i="10"/>
  <c r="H154" i="10" s="1"/>
  <c r="W154" i="10" s="1"/>
  <c r="X154" i="10" s="1"/>
  <c r="S153" i="10"/>
  <c r="M153" i="10"/>
  <c r="F153" i="10"/>
  <c r="M152" i="10"/>
  <c r="S152" i="10"/>
  <c r="S151" i="10"/>
  <c r="M151" i="10"/>
  <c r="F151" i="10"/>
  <c r="S150" i="10"/>
  <c r="M150" i="10"/>
  <c r="F150" i="10"/>
  <c r="H150" i="10" s="1"/>
  <c r="W150" i="10" s="1"/>
  <c r="X150" i="10" s="1"/>
  <c r="S149" i="10"/>
  <c r="M149" i="10"/>
  <c r="F149" i="10"/>
  <c r="M148" i="10"/>
  <c r="S148" i="10"/>
  <c r="M147" i="10"/>
  <c r="S147" i="10"/>
  <c r="M146" i="10"/>
  <c r="S146" i="10"/>
  <c r="M145" i="10"/>
  <c r="S145" i="10"/>
  <c r="S144" i="10"/>
  <c r="M144" i="10"/>
  <c r="F144" i="10"/>
  <c r="N144" i="10" s="1"/>
  <c r="S143" i="10"/>
  <c r="M143" i="10"/>
  <c r="F143" i="10"/>
  <c r="V143" i="10" s="1"/>
  <c r="M142" i="10"/>
  <c r="S142" i="10"/>
  <c r="S141" i="10"/>
  <c r="M141" i="10"/>
  <c r="F141" i="10"/>
  <c r="H141" i="10" s="1"/>
  <c r="W141" i="10" s="1"/>
  <c r="X141" i="10" s="1"/>
  <c r="M140" i="10"/>
  <c r="S140" i="10"/>
  <c r="S139" i="10"/>
  <c r="M139" i="10"/>
  <c r="F139" i="10"/>
  <c r="S138" i="10"/>
  <c r="M138" i="10"/>
  <c r="F138" i="10"/>
  <c r="V138" i="10" s="1"/>
  <c r="M137" i="10"/>
  <c r="S137" i="10"/>
  <c r="S136" i="10"/>
  <c r="M136" i="10"/>
  <c r="F136" i="10"/>
  <c r="S135" i="10"/>
  <c r="M135" i="10"/>
  <c r="F135" i="10"/>
  <c r="X134" i="10"/>
  <c r="S134" i="10"/>
  <c r="M134" i="10"/>
  <c r="F134" i="10"/>
  <c r="S133" i="10"/>
  <c r="M133" i="10"/>
  <c r="F133" i="10"/>
  <c r="V133" i="10" s="1"/>
  <c r="S132" i="10"/>
  <c r="M132" i="10"/>
  <c r="F132" i="10"/>
  <c r="S131" i="10"/>
  <c r="M131" i="10"/>
  <c r="F131" i="10"/>
  <c r="V131" i="10" s="1"/>
  <c r="S130" i="10"/>
  <c r="M130" i="10"/>
  <c r="F130" i="10"/>
  <c r="V130" i="10" s="1"/>
  <c r="M129" i="10"/>
  <c r="S129" i="10"/>
  <c r="S128" i="10"/>
  <c r="M128" i="10"/>
  <c r="F128" i="10"/>
  <c r="S127" i="10"/>
  <c r="M127" i="10"/>
  <c r="F127" i="10"/>
  <c r="H127" i="10" s="1"/>
  <c r="W127" i="10" s="1"/>
  <c r="X127" i="10" s="1"/>
  <c r="S126" i="10"/>
  <c r="M126" i="10"/>
  <c r="F126" i="10"/>
  <c r="H126" i="10" s="1"/>
  <c r="W126" i="10" s="1"/>
  <c r="X126" i="10" s="1"/>
  <c r="S125" i="10"/>
  <c r="M125" i="10"/>
  <c r="F125" i="10"/>
  <c r="V125" i="10" s="1"/>
  <c r="M124" i="10"/>
  <c r="S124" i="10"/>
  <c r="S123" i="10"/>
  <c r="M123" i="10"/>
  <c r="F123" i="10"/>
  <c r="S122" i="10"/>
  <c r="M122" i="10"/>
  <c r="F122" i="10"/>
  <c r="S121" i="10"/>
  <c r="M121" i="10"/>
  <c r="F121" i="10"/>
  <c r="M120" i="10"/>
  <c r="F120" i="10"/>
  <c r="V120" i="10" s="1"/>
  <c r="S119" i="10"/>
  <c r="M119" i="10"/>
  <c r="F119" i="10"/>
  <c r="S118" i="10"/>
  <c r="M118" i="10"/>
  <c r="F118" i="10"/>
  <c r="V118" i="10" s="1"/>
  <c r="M117" i="10"/>
  <c r="F117" i="10"/>
  <c r="M116" i="10"/>
  <c r="F116" i="10"/>
  <c r="V116" i="10" s="1"/>
  <c r="S115" i="10"/>
  <c r="M115" i="10"/>
  <c r="F115" i="10"/>
  <c r="S114" i="10"/>
  <c r="M114" i="10"/>
  <c r="F114" i="10"/>
  <c r="S113" i="10"/>
  <c r="M113" i="10"/>
  <c r="F113" i="10"/>
  <c r="W112" i="10"/>
  <c r="X112" i="10" s="1"/>
  <c r="U112" i="10"/>
  <c r="S112" i="10"/>
  <c r="T112" i="10" s="1"/>
  <c r="R112" i="10"/>
  <c r="F112" i="10"/>
  <c r="V112" i="10" s="1"/>
  <c r="S111" i="10"/>
  <c r="M111" i="10"/>
  <c r="F111" i="10"/>
  <c r="W110" i="10"/>
  <c r="X110" i="10" s="1"/>
  <c r="U110" i="10"/>
  <c r="S110" i="10"/>
  <c r="T110" i="10" s="1"/>
  <c r="R110" i="10"/>
  <c r="F110" i="10"/>
  <c r="V110" i="10" s="1"/>
  <c r="S109" i="10"/>
  <c r="M109" i="10"/>
  <c r="F109" i="10"/>
  <c r="S108" i="10"/>
  <c r="M108" i="10"/>
  <c r="F108" i="10"/>
  <c r="S107" i="10"/>
  <c r="M107" i="10"/>
  <c r="F107" i="10"/>
  <c r="S106" i="10"/>
  <c r="M106" i="10"/>
  <c r="F106" i="10"/>
  <c r="H106" i="10" s="1"/>
  <c r="W106" i="10" s="1"/>
  <c r="X106" i="10" s="1"/>
  <c r="S105" i="10"/>
  <c r="M105" i="10"/>
  <c r="F105" i="10"/>
  <c r="M104" i="10"/>
  <c r="M103" i="10"/>
  <c r="M102" i="10"/>
  <c r="M101" i="10"/>
  <c r="S100" i="10"/>
  <c r="T100" i="10" s="1"/>
  <c r="F100" i="10"/>
  <c r="V100" i="10" s="1"/>
  <c r="S99" i="10"/>
  <c r="M99" i="10"/>
  <c r="F99" i="10"/>
  <c r="M98" i="10"/>
  <c r="M97" i="10"/>
  <c r="S96" i="10"/>
  <c r="M96" i="10"/>
  <c r="F96" i="10"/>
  <c r="V96" i="10" s="1"/>
  <c r="S95" i="10"/>
  <c r="M95" i="10"/>
  <c r="F95" i="10"/>
  <c r="S94" i="10"/>
  <c r="M94" i="10"/>
  <c r="F94" i="10"/>
  <c r="S93" i="10"/>
  <c r="M93" i="10"/>
  <c r="N93" i="10" s="1"/>
  <c r="U93" i="10" s="1"/>
  <c r="F93" i="10"/>
  <c r="S92" i="10"/>
  <c r="M92" i="10"/>
  <c r="F92" i="10"/>
  <c r="S91" i="10"/>
  <c r="M91" i="10"/>
  <c r="F91" i="10"/>
  <c r="S90" i="10"/>
  <c r="M90" i="10"/>
  <c r="F90" i="10"/>
  <c r="H90" i="10" s="1"/>
  <c r="W90" i="10" s="1"/>
  <c r="X90" i="10" s="1"/>
  <c r="S89" i="10"/>
  <c r="M89" i="10"/>
  <c r="F89" i="10"/>
  <c r="V89" i="10" s="1"/>
  <c r="S88" i="10"/>
  <c r="M88" i="10"/>
  <c r="F88" i="10"/>
  <c r="H88" i="10" s="1"/>
  <c r="W88" i="10" s="1"/>
  <c r="X88" i="10" s="1"/>
  <c r="S87" i="10"/>
  <c r="M87" i="10"/>
  <c r="F87" i="10"/>
  <c r="V87" i="10" s="1"/>
  <c r="S86" i="10"/>
  <c r="M86" i="10"/>
  <c r="F86" i="10"/>
  <c r="V86" i="10" s="1"/>
  <c r="M85" i="10"/>
  <c r="S84" i="10"/>
  <c r="M84" i="10"/>
  <c r="F84" i="10"/>
  <c r="H84" i="10" s="1"/>
  <c r="W84" i="10" s="1"/>
  <c r="X84" i="10" s="1"/>
  <c r="M83" i="10"/>
  <c r="S82" i="10"/>
  <c r="M82" i="10"/>
  <c r="F82" i="10"/>
  <c r="H82" i="10" s="1"/>
  <c r="W82" i="10" s="1"/>
  <c r="X82" i="10" s="1"/>
  <c r="S81" i="10"/>
  <c r="M81" i="10"/>
  <c r="F81" i="10"/>
  <c r="M80" i="10"/>
  <c r="S79" i="10"/>
  <c r="M79" i="10"/>
  <c r="F79" i="10"/>
  <c r="S78" i="10"/>
  <c r="M78" i="10"/>
  <c r="F78" i="10"/>
  <c r="S77" i="10"/>
  <c r="M77" i="10"/>
  <c r="F77" i="10"/>
  <c r="M76" i="10"/>
  <c r="M75" i="10"/>
  <c r="M74" i="10"/>
  <c r="S73" i="10"/>
  <c r="M73" i="10"/>
  <c r="F73" i="10"/>
  <c r="S72" i="10"/>
  <c r="M72" i="10"/>
  <c r="F72" i="10"/>
  <c r="S71" i="10"/>
  <c r="M71" i="10"/>
  <c r="F71" i="10"/>
  <c r="S70" i="10"/>
  <c r="M70" i="10"/>
  <c r="F70" i="10"/>
  <c r="S69" i="10"/>
  <c r="M69" i="10"/>
  <c r="F69" i="10"/>
  <c r="S68" i="10"/>
  <c r="M68" i="10"/>
  <c r="F68" i="10"/>
  <c r="S67" i="10"/>
  <c r="M67" i="10"/>
  <c r="F67" i="10"/>
  <c r="V67" i="10" s="1"/>
  <c r="W66" i="10"/>
  <c r="X66" i="10" s="1"/>
  <c r="U66" i="10"/>
  <c r="S66" i="10"/>
  <c r="T66" i="10" s="1"/>
  <c r="R66" i="10"/>
  <c r="F66" i="10"/>
  <c r="V66" i="10" s="1"/>
  <c r="S65" i="10"/>
  <c r="M65" i="10"/>
  <c r="F65" i="10"/>
  <c r="W64" i="10"/>
  <c r="X64" i="10" s="1"/>
  <c r="S64" i="10"/>
  <c r="F64" i="10"/>
  <c r="V64" i="10" s="1"/>
  <c r="S63" i="10"/>
  <c r="M63" i="10"/>
  <c r="F63" i="10"/>
  <c r="S62" i="10"/>
  <c r="M62" i="10"/>
  <c r="F62" i="10"/>
  <c r="W61" i="10"/>
  <c r="X61" i="10" s="1"/>
  <c r="V61" i="10"/>
  <c r="U61" i="10"/>
  <c r="S61" i="10"/>
  <c r="T61" i="10" s="1"/>
  <c r="R61" i="10"/>
  <c r="S60" i="10"/>
  <c r="M60" i="10"/>
  <c r="F60" i="10"/>
  <c r="S59" i="10"/>
  <c r="M59" i="10"/>
  <c r="F59" i="10"/>
  <c r="V59" i="10" s="1"/>
  <c r="S58" i="10"/>
  <c r="M58" i="10"/>
  <c r="F58" i="10"/>
  <c r="S57" i="10"/>
  <c r="M57" i="10"/>
  <c r="F57" i="10"/>
  <c r="V57" i="10" s="1"/>
  <c r="W56" i="10"/>
  <c r="X56" i="10" s="1"/>
  <c r="S56" i="10"/>
  <c r="M56" i="10"/>
  <c r="N56" i="10" s="1"/>
  <c r="F56" i="10"/>
  <c r="S55" i="10"/>
  <c r="M55" i="10"/>
  <c r="F55" i="10"/>
  <c r="V55" i="10" s="1"/>
  <c r="S54" i="10"/>
  <c r="M54" i="10"/>
  <c r="F54" i="10"/>
  <c r="S53" i="10"/>
  <c r="M53" i="10"/>
  <c r="F53" i="10"/>
  <c r="S52" i="10"/>
  <c r="M52" i="10"/>
  <c r="F52" i="10"/>
  <c r="S51" i="10"/>
  <c r="S50" i="10"/>
  <c r="S49" i="10"/>
  <c r="F49" i="10"/>
  <c r="H49" i="10" s="1"/>
  <c r="W49" i="10" s="1"/>
  <c r="S48" i="10"/>
  <c r="F48" i="10"/>
  <c r="V48" i="10" s="1"/>
  <c r="S47" i="10"/>
  <c r="S46" i="10"/>
  <c r="F46" i="10"/>
  <c r="V46" i="10" s="1"/>
  <c r="S45" i="10"/>
  <c r="F45" i="10"/>
  <c r="N45" i="10" s="1"/>
  <c r="T45" i="10" s="1"/>
  <c r="S44" i="10"/>
  <c r="F44" i="10"/>
  <c r="N44" i="10" s="1"/>
  <c r="M43" i="10"/>
  <c r="S43" i="10"/>
  <c r="S42" i="10"/>
  <c r="M42" i="10"/>
  <c r="F42" i="10"/>
  <c r="M41" i="10"/>
  <c r="F41" i="10"/>
  <c r="S40" i="10"/>
  <c r="M40" i="10"/>
  <c r="F40" i="10"/>
  <c r="S39" i="10"/>
  <c r="M39" i="10"/>
  <c r="F39" i="10"/>
  <c r="V39" i="10" s="1"/>
  <c r="S38" i="10"/>
  <c r="M38" i="10"/>
  <c r="F38" i="10"/>
  <c r="S37" i="10"/>
  <c r="M37" i="10"/>
  <c r="F37" i="10"/>
  <c r="S36" i="10"/>
  <c r="M36" i="10"/>
  <c r="F36" i="10"/>
  <c r="H36" i="10" s="1"/>
  <c r="W36" i="10" s="1"/>
  <c r="X36" i="10" s="1"/>
  <c r="M35" i="10"/>
  <c r="S35" i="10"/>
  <c r="M34" i="10"/>
  <c r="F34" i="10"/>
  <c r="H34" i="10" s="1"/>
  <c r="W34" i="10" s="1"/>
  <c r="X34" i="10" s="1"/>
  <c r="S34" i="10"/>
  <c r="S33" i="10"/>
  <c r="M33" i="10"/>
  <c r="F33" i="10"/>
  <c r="V33" i="10" s="1"/>
  <c r="M32" i="10"/>
  <c r="S31" i="10"/>
  <c r="M31" i="10"/>
  <c r="F31" i="10"/>
  <c r="V31" i="10" s="1"/>
  <c r="M30" i="10"/>
  <c r="F30" i="10"/>
  <c r="V30" i="10" s="1"/>
  <c r="S30" i="10"/>
  <c r="S29" i="10"/>
  <c r="M29" i="10"/>
  <c r="F29" i="10"/>
  <c r="M28" i="10"/>
  <c r="S27" i="10"/>
  <c r="M27" i="10"/>
  <c r="F27" i="10"/>
  <c r="H27" i="10" s="1"/>
  <c r="W27" i="10" s="1"/>
  <c r="X27" i="10" s="1"/>
  <c r="S26" i="10"/>
  <c r="M26" i="10"/>
  <c r="F26" i="10"/>
  <c r="V26" i="10" s="1"/>
  <c r="S25" i="10"/>
  <c r="M25" i="10"/>
  <c r="F25" i="10"/>
  <c r="M24" i="10"/>
  <c r="S23" i="10"/>
  <c r="M23" i="10"/>
  <c r="F23" i="10"/>
  <c r="H23" i="10" s="1"/>
  <c r="W23" i="10" s="1"/>
  <c r="X23" i="10" s="1"/>
  <c r="S22" i="10"/>
  <c r="M22" i="10"/>
  <c r="F22" i="10"/>
  <c r="V22" i="10" s="1"/>
  <c r="M21" i="10"/>
  <c r="F21" i="10"/>
  <c r="M20" i="10"/>
  <c r="S19" i="10"/>
  <c r="M19" i="10"/>
  <c r="F19" i="10"/>
  <c r="M18" i="10"/>
  <c r="M17" i="10"/>
  <c r="F17" i="10"/>
  <c r="S17" i="10"/>
  <c r="S16" i="10"/>
  <c r="M16" i="10"/>
  <c r="F16" i="10"/>
  <c r="H16" i="10" s="1"/>
  <c r="W16" i="10" s="1"/>
  <c r="X16" i="10" s="1"/>
  <c r="M15" i="10"/>
  <c r="S14" i="10"/>
  <c r="M14" i="10"/>
  <c r="F14" i="10"/>
  <c r="V14" i="10" s="1"/>
  <c r="S13" i="10"/>
  <c r="M13" i="10"/>
  <c r="F13" i="10"/>
  <c r="V13" i="10" s="1"/>
  <c r="S12" i="10"/>
  <c r="M12" i="10"/>
  <c r="F12" i="10"/>
  <c r="V12" i="10" s="1"/>
  <c r="S11" i="10"/>
  <c r="M11" i="10"/>
  <c r="F11" i="10"/>
  <c r="H11" i="10" s="1"/>
  <c r="W11" i="10" s="1"/>
  <c r="X11" i="10" s="1"/>
  <c r="S10" i="10"/>
  <c r="M10" i="10"/>
  <c r="F10" i="10"/>
  <c r="H10" i="10" s="1"/>
  <c r="W10" i="10" s="1"/>
  <c r="X10" i="10" s="1"/>
  <c r="S9" i="10"/>
  <c r="M9" i="10"/>
  <c r="F9" i="10"/>
  <c r="V9" i="10" s="1"/>
  <c r="M8" i="10"/>
  <c r="S8" i="10"/>
  <c r="S7" i="10"/>
  <c r="M7" i="10"/>
  <c r="F7" i="10"/>
  <c r="S6" i="10"/>
  <c r="M6" i="10"/>
  <c r="F6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W5" i="10"/>
  <c r="X5" i="10" s="1"/>
  <c r="M5" i="10"/>
  <c r="F5" i="10"/>
  <c r="V5" i="10" s="1"/>
  <c r="G240" i="9"/>
  <c r="E10" i="3" s="1"/>
  <c r="E240" i="9"/>
  <c r="C10" i="3" s="1"/>
  <c r="W239" i="9"/>
  <c r="X239" i="9" s="1"/>
  <c r="V239" i="9"/>
  <c r="U239" i="9"/>
  <c r="S239" i="9"/>
  <c r="T239" i="9" s="1"/>
  <c r="F217" i="9"/>
  <c r="H217" i="9" s="1"/>
  <c r="L217" i="9" s="1"/>
  <c r="M217" i="9" s="1"/>
  <c r="N217" i="9" s="1"/>
  <c r="F216" i="9"/>
  <c r="S216" i="9" s="1"/>
  <c r="F215" i="9"/>
  <c r="V215" i="9" s="1"/>
  <c r="F214" i="9"/>
  <c r="F213" i="9"/>
  <c r="V213" i="9" s="1"/>
  <c r="F212" i="9"/>
  <c r="V212" i="9" s="1"/>
  <c r="F211" i="9"/>
  <c r="F210" i="9"/>
  <c r="F209" i="9"/>
  <c r="F208" i="9"/>
  <c r="H208" i="9" s="1"/>
  <c r="L208" i="9" s="1"/>
  <c r="F207" i="9"/>
  <c r="H207" i="9" s="1"/>
  <c r="L207" i="9" s="1"/>
  <c r="M207" i="9" s="1"/>
  <c r="N207" i="9" s="1"/>
  <c r="F206" i="9"/>
  <c r="F205" i="9"/>
  <c r="V205" i="9" s="1"/>
  <c r="F204" i="9"/>
  <c r="S204" i="9" s="1"/>
  <c r="F203" i="9"/>
  <c r="F202" i="9"/>
  <c r="F201" i="9"/>
  <c r="H201" i="9" s="1"/>
  <c r="F200" i="9"/>
  <c r="F199" i="9"/>
  <c r="V199" i="9" s="1"/>
  <c r="F198" i="9"/>
  <c r="F197" i="9"/>
  <c r="F196" i="9"/>
  <c r="F195" i="9"/>
  <c r="V195" i="9" s="1"/>
  <c r="F194" i="9"/>
  <c r="F193" i="9"/>
  <c r="F192" i="9"/>
  <c r="H192" i="9" s="1"/>
  <c r="F191" i="9"/>
  <c r="F190" i="9"/>
  <c r="F189" i="9"/>
  <c r="F188" i="9"/>
  <c r="F187" i="9"/>
  <c r="F186" i="9"/>
  <c r="F185" i="9"/>
  <c r="F184" i="9"/>
  <c r="F183" i="9"/>
  <c r="F182" i="9"/>
  <c r="F181" i="9"/>
  <c r="F180" i="9"/>
  <c r="V180" i="9" s="1"/>
  <c r="F179" i="9"/>
  <c r="F178" i="9"/>
  <c r="F177" i="9"/>
  <c r="H177" i="9"/>
  <c r="W177" i="9" s="1"/>
  <c r="F176" i="9"/>
  <c r="F175" i="9"/>
  <c r="F174" i="9"/>
  <c r="F173" i="9"/>
  <c r="H173" i="9" s="1"/>
  <c r="F172" i="9"/>
  <c r="S172" i="9" s="1"/>
  <c r="F171" i="9"/>
  <c r="S171" i="9" s="1"/>
  <c r="F170" i="9"/>
  <c r="V170" i="9"/>
  <c r="F169" i="9"/>
  <c r="F168" i="9"/>
  <c r="V168" i="9" s="1"/>
  <c r="F167" i="9"/>
  <c r="F166" i="9"/>
  <c r="S165" i="9"/>
  <c r="F165" i="9"/>
  <c r="S164" i="9"/>
  <c r="F164" i="9"/>
  <c r="S163" i="9"/>
  <c r="F163" i="9"/>
  <c r="H163" i="9" s="1"/>
  <c r="W163" i="9" s="1"/>
  <c r="S162" i="9"/>
  <c r="F162" i="9"/>
  <c r="S161" i="9"/>
  <c r="F161" i="9"/>
  <c r="S160" i="9"/>
  <c r="F160" i="9"/>
  <c r="H160" i="9" s="1"/>
  <c r="M159" i="9"/>
  <c r="N159" i="9" s="1"/>
  <c r="F159" i="9"/>
  <c r="H159" i="9" s="1"/>
  <c r="W159" i="9" s="1"/>
  <c r="S158" i="9"/>
  <c r="F158" i="9"/>
  <c r="S157" i="9"/>
  <c r="F157" i="9"/>
  <c r="S156" i="9"/>
  <c r="F156" i="9"/>
  <c r="S155" i="9"/>
  <c r="F155" i="9"/>
  <c r="S154" i="9"/>
  <c r="F154" i="9"/>
  <c r="S153" i="9"/>
  <c r="F153" i="9"/>
  <c r="V153" i="9" s="1"/>
  <c r="S152" i="9"/>
  <c r="F152" i="9"/>
  <c r="S151" i="9"/>
  <c r="F151" i="9"/>
  <c r="H151" i="9" s="1"/>
  <c r="S150" i="9"/>
  <c r="F150" i="9"/>
  <c r="V150" i="9" s="1"/>
  <c r="S149" i="9"/>
  <c r="F149" i="9"/>
  <c r="V149" i="9" s="1"/>
  <c r="S148" i="9"/>
  <c r="F148" i="9"/>
  <c r="S147" i="9"/>
  <c r="F147" i="9"/>
  <c r="S146" i="9"/>
  <c r="F146" i="9"/>
  <c r="H146" i="9" s="1"/>
  <c r="S145" i="9"/>
  <c r="F145" i="9"/>
  <c r="S144" i="9"/>
  <c r="F144" i="9"/>
  <c r="S143" i="9"/>
  <c r="F143" i="9"/>
  <c r="S142" i="9"/>
  <c r="F142" i="9"/>
  <c r="S141" i="9"/>
  <c r="F141" i="9"/>
  <c r="S140" i="9"/>
  <c r="F140" i="9"/>
  <c r="V140" i="9" s="1"/>
  <c r="S139" i="9"/>
  <c r="F139" i="9"/>
  <c r="V139" i="9" s="1"/>
  <c r="S138" i="9"/>
  <c r="F138" i="9"/>
  <c r="S137" i="9"/>
  <c r="F137" i="9"/>
  <c r="S136" i="9"/>
  <c r="F136" i="9"/>
  <c r="H136" i="9" s="1"/>
  <c r="S135" i="9"/>
  <c r="F135" i="9"/>
  <c r="S134" i="9"/>
  <c r="F134" i="9"/>
  <c r="H134" i="9" s="1"/>
  <c r="S133" i="9"/>
  <c r="F133" i="9"/>
  <c r="V133" i="9" s="1"/>
  <c r="S132" i="9"/>
  <c r="F132" i="9"/>
  <c r="H132" i="9" s="1"/>
  <c r="S131" i="9"/>
  <c r="F131" i="9"/>
  <c r="S130" i="9"/>
  <c r="F130" i="9"/>
  <c r="S129" i="9"/>
  <c r="F129" i="9"/>
  <c r="H129" i="9" s="1"/>
  <c r="W129" i="9" s="1"/>
  <c r="S128" i="9"/>
  <c r="F128" i="9"/>
  <c r="S127" i="9"/>
  <c r="F127" i="9"/>
  <c r="S126" i="9"/>
  <c r="F126" i="9"/>
  <c r="V126" i="9" s="1"/>
  <c r="S125" i="9"/>
  <c r="F125" i="9"/>
  <c r="H125" i="9" s="1"/>
  <c r="L125" i="9" s="1"/>
  <c r="M125" i="9" s="1"/>
  <c r="N125" i="9" s="1"/>
  <c r="S124" i="9"/>
  <c r="F124" i="9"/>
  <c r="S123" i="9"/>
  <c r="F123" i="9"/>
  <c r="H123" i="9" s="1"/>
  <c r="W123" i="9" s="1"/>
  <c r="S122" i="9"/>
  <c r="F122" i="9"/>
  <c r="S121" i="9"/>
  <c r="F121" i="9"/>
  <c r="H121" i="9" s="1"/>
  <c r="S120" i="9"/>
  <c r="F120" i="9"/>
  <c r="F119" i="9"/>
  <c r="N119" i="9" s="1"/>
  <c r="S118" i="9"/>
  <c r="F118" i="9"/>
  <c r="S117" i="9"/>
  <c r="F117" i="9"/>
  <c r="V117" i="9" s="1"/>
  <c r="S116" i="9"/>
  <c r="F116" i="9"/>
  <c r="S115" i="9"/>
  <c r="F115" i="9"/>
  <c r="H115" i="9" s="1"/>
  <c r="W115" i="9" s="1"/>
  <c r="S114" i="9"/>
  <c r="F114" i="9"/>
  <c r="S113" i="9"/>
  <c r="F113" i="9"/>
  <c r="V113" i="9" s="1"/>
  <c r="S112" i="9"/>
  <c r="F112" i="9"/>
  <c r="H112" i="9" s="1"/>
  <c r="S111" i="9"/>
  <c r="F111" i="9"/>
  <c r="V111" i="9" s="1"/>
  <c r="H111" i="9"/>
  <c r="S110" i="9"/>
  <c r="F110" i="9"/>
  <c r="V110" i="9" s="1"/>
  <c r="S109" i="9"/>
  <c r="F109" i="9"/>
  <c r="S108" i="9"/>
  <c r="F108" i="9"/>
  <c r="F107" i="9"/>
  <c r="N107" i="9" s="1"/>
  <c r="U107" i="9" s="1"/>
  <c r="S106" i="9"/>
  <c r="F106" i="9"/>
  <c r="H106" i="9"/>
  <c r="W106" i="9" s="1"/>
  <c r="S105" i="9"/>
  <c r="F105" i="9"/>
  <c r="S104" i="9"/>
  <c r="F104" i="9"/>
  <c r="S103" i="9"/>
  <c r="F103" i="9"/>
  <c r="S102" i="9"/>
  <c r="M102" i="9"/>
  <c r="F102" i="9"/>
  <c r="H102" i="9" s="1"/>
  <c r="W102" i="9" s="1"/>
  <c r="X102" i="9" s="1"/>
  <c r="F101" i="9"/>
  <c r="N101" i="9" s="1"/>
  <c r="S100" i="9"/>
  <c r="F100" i="9"/>
  <c r="S99" i="9"/>
  <c r="F99" i="9"/>
  <c r="S98" i="9"/>
  <c r="F98" i="9"/>
  <c r="V98" i="9" s="1"/>
  <c r="S97" i="9"/>
  <c r="T97" i="9" s="1"/>
  <c r="F97" i="9"/>
  <c r="V97" i="9" s="1"/>
  <c r="S96" i="9"/>
  <c r="F96" i="9"/>
  <c r="H96" i="9" s="1"/>
  <c r="S95" i="9"/>
  <c r="F95" i="9"/>
  <c r="S94" i="9"/>
  <c r="F94" i="9"/>
  <c r="S93" i="9"/>
  <c r="F93" i="9"/>
  <c r="S92" i="9"/>
  <c r="F92" i="9"/>
  <c r="V92" i="9" s="1"/>
  <c r="S91" i="9"/>
  <c r="F91" i="9"/>
  <c r="H91" i="9" s="1"/>
  <c r="S90" i="9"/>
  <c r="F90" i="9"/>
  <c r="S89" i="9"/>
  <c r="F89" i="9"/>
  <c r="H89" i="9" s="1"/>
  <c r="V89" i="9"/>
  <c r="S88" i="9"/>
  <c r="F88" i="9"/>
  <c r="S87" i="9"/>
  <c r="F87" i="9"/>
  <c r="V87" i="9" s="1"/>
  <c r="S86" i="9"/>
  <c r="F86" i="9"/>
  <c r="S85" i="9"/>
  <c r="F85" i="9"/>
  <c r="S84" i="9"/>
  <c r="F84" i="9"/>
  <c r="S83" i="9"/>
  <c r="T83" i="9"/>
  <c r="F83" i="9"/>
  <c r="V83" i="9" s="1"/>
  <c r="W83" i="9"/>
  <c r="X83" i="9"/>
  <c r="S82" i="9"/>
  <c r="F82" i="9"/>
  <c r="H82" i="9" s="1"/>
  <c r="S81" i="9"/>
  <c r="F81" i="9"/>
  <c r="V81" i="9" s="1"/>
  <c r="S80" i="9"/>
  <c r="F80" i="9"/>
  <c r="S79" i="9"/>
  <c r="F79" i="9"/>
  <c r="H79" i="9" s="1"/>
  <c r="W79" i="9" s="1"/>
  <c r="S78" i="9"/>
  <c r="F78" i="9"/>
  <c r="S77" i="9"/>
  <c r="F77" i="9"/>
  <c r="V77" i="9" s="1"/>
  <c r="S76" i="9"/>
  <c r="F76" i="9"/>
  <c r="S75" i="9"/>
  <c r="F75" i="9"/>
  <c r="S74" i="9"/>
  <c r="F74" i="9"/>
  <c r="S73" i="9"/>
  <c r="F73" i="9"/>
  <c r="S72" i="9"/>
  <c r="F72" i="9"/>
  <c r="S71" i="9"/>
  <c r="F71" i="9"/>
  <c r="V71" i="9" s="1"/>
  <c r="S70" i="9"/>
  <c r="F70" i="9"/>
  <c r="V70" i="9" s="1"/>
  <c r="S69" i="9"/>
  <c r="F69" i="9"/>
  <c r="S68" i="9"/>
  <c r="F68" i="9"/>
  <c r="S67" i="9"/>
  <c r="F67" i="9"/>
  <c r="V67" i="9" s="1"/>
  <c r="S66" i="9"/>
  <c r="F66" i="9"/>
  <c r="V66" i="9" s="1"/>
  <c r="S65" i="9"/>
  <c r="T65" i="9"/>
  <c r="F65" i="9"/>
  <c r="V65" i="9" s="1"/>
  <c r="W65" i="9"/>
  <c r="X65" i="9" s="1"/>
  <c r="X64" i="9"/>
  <c r="F64" i="9"/>
  <c r="N64" i="9" s="1"/>
  <c r="S63" i="9"/>
  <c r="F63" i="9"/>
  <c r="S62" i="9"/>
  <c r="T62" i="9" s="1"/>
  <c r="F62" i="9"/>
  <c r="V62" i="9" s="1"/>
  <c r="S61" i="9"/>
  <c r="F61" i="9"/>
  <c r="V61" i="9" s="1"/>
  <c r="S59" i="9"/>
  <c r="T59" i="9" s="1"/>
  <c r="F59" i="9"/>
  <c r="H59" i="9" s="1"/>
  <c r="W59" i="9" s="1"/>
  <c r="X59" i="9" s="1"/>
  <c r="S58" i="9"/>
  <c r="F58" i="9"/>
  <c r="S57" i="9"/>
  <c r="F57" i="9"/>
  <c r="H57" i="9" s="1"/>
  <c r="S56" i="9"/>
  <c r="F56" i="9"/>
  <c r="H56" i="9" s="1"/>
  <c r="S55" i="9"/>
  <c r="F55" i="9"/>
  <c r="S54" i="9"/>
  <c r="F54" i="9"/>
  <c r="V54" i="9" s="1"/>
  <c r="S53" i="9"/>
  <c r="F53" i="9"/>
  <c r="V53" i="9" s="1"/>
  <c r="S52" i="9"/>
  <c r="F52" i="9"/>
  <c r="S51" i="9"/>
  <c r="M51" i="9"/>
  <c r="F51" i="9"/>
  <c r="S50" i="9"/>
  <c r="M50" i="9"/>
  <c r="F50" i="9"/>
  <c r="S49" i="9"/>
  <c r="M49" i="9"/>
  <c r="F49" i="9"/>
  <c r="S48" i="9"/>
  <c r="M48" i="9"/>
  <c r="F48" i="9"/>
  <c r="H48" i="9" s="1"/>
  <c r="W48" i="9" s="1"/>
  <c r="X48" i="9" s="1"/>
  <c r="S47" i="9"/>
  <c r="M47" i="9"/>
  <c r="F47" i="9"/>
  <c r="S46" i="9"/>
  <c r="M46" i="9"/>
  <c r="F46" i="9"/>
  <c r="H46" i="9" s="1"/>
  <c r="W46" i="9" s="1"/>
  <c r="X46" i="9" s="1"/>
  <c r="S45" i="9"/>
  <c r="M45" i="9"/>
  <c r="F45" i="9"/>
  <c r="V45" i="9" s="1"/>
  <c r="S44" i="9"/>
  <c r="M44" i="9"/>
  <c r="F44" i="9"/>
  <c r="V44" i="9" s="1"/>
  <c r="S43" i="9"/>
  <c r="M43" i="9"/>
  <c r="F43" i="9"/>
  <c r="H43" i="9" s="1"/>
  <c r="W43" i="9" s="1"/>
  <c r="X43" i="9" s="1"/>
  <c r="S42" i="9"/>
  <c r="M42" i="9"/>
  <c r="F42" i="9"/>
  <c r="H42" i="9" s="1"/>
  <c r="W42" i="9" s="1"/>
  <c r="X42" i="9" s="1"/>
  <c r="S41" i="9"/>
  <c r="M41" i="9"/>
  <c r="F41" i="9"/>
  <c r="S40" i="9"/>
  <c r="M40" i="9"/>
  <c r="F40" i="9"/>
  <c r="S39" i="9"/>
  <c r="M39" i="9"/>
  <c r="F39" i="9"/>
  <c r="S38" i="9"/>
  <c r="M38" i="9"/>
  <c r="F38" i="9"/>
  <c r="S37" i="9"/>
  <c r="M37" i="9"/>
  <c r="F37" i="9"/>
  <c r="S36" i="9"/>
  <c r="M36" i="9"/>
  <c r="F36" i="9"/>
  <c r="H36" i="9" s="1"/>
  <c r="W36" i="9" s="1"/>
  <c r="X36" i="9" s="1"/>
  <c r="S35" i="9"/>
  <c r="M35" i="9"/>
  <c r="F35" i="9"/>
  <c r="S34" i="9"/>
  <c r="M34" i="9"/>
  <c r="F34" i="9"/>
  <c r="S33" i="9"/>
  <c r="M33" i="9"/>
  <c r="N33" i="9" s="1"/>
  <c r="T33" i="9" s="1"/>
  <c r="F33" i="9"/>
  <c r="V33" i="9" s="1"/>
  <c r="S32" i="9"/>
  <c r="M32" i="9"/>
  <c r="F32" i="9"/>
  <c r="V32" i="9" s="1"/>
  <c r="S31" i="9"/>
  <c r="M31" i="9"/>
  <c r="F31" i="9"/>
  <c r="S30" i="9"/>
  <c r="M30" i="9"/>
  <c r="F30" i="9"/>
  <c r="S29" i="9"/>
  <c r="M29" i="9"/>
  <c r="F29" i="9"/>
  <c r="V29" i="9" s="1"/>
  <c r="S28" i="9"/>
  <c r="M28" i="9"/>
  <c r="F28" i="9"/>
  <c r="S27" i="9"/>
  <c r="T27" i="9" s="1"/>
  <c r="F27" i="9"/>
  <c r="V27" i="9" s="1"/>
  <c r="S26" i="9"/>
  <c r="M26" i="9"/>
  <c r="F26" i="9"/>
  <c r="S25" i="9"/>
  <c r="M25" i="9"/>
  <c r="F25" i="9"/>
  <c r="S24" i="9"/>
  <c r="M24" i="9"/>
  <c r="F24" i="9"/>
  <c r="S23" i="9"/>
  <c r="M23" i="9"/>
  <c r="F23" i="9"/>
  <c r="S22" i="9"/>
  <c r="M22" i="9"/>
  <c r="F22" i="9"/>
  <c r="S21" i="9"/>
  <c r="M21" i="9"/>
  <c r="F21" i="9"/>
  <c r="N20" i="9"/>
  <c r="R20" i="9" s="1"/>
  <c r="S19" i="9"/>
  <c r="M19" i="9"/>
  <c r="F19" i="9"/>
  <c r="H19" i="9" s="1"/>
  <c r="W19" i="9" s="1"/>
  <c r="X19" i="9" s="1"/>
  <c r="S18" i="9"/>
  <c r="M18" i="9"/>
  <c r="F18" i="9"/>
  <c r="S17" i="9"/>
  <c r="M17" i="9"/>
  <c r="F17" i="9"/>
  <c r="N16" i="9"/>
  <c r="R16" i="9" s="1"/>
  <c r="S15" i="9"/>
  <c r="M15" i="9"/>
  <c r="F15" i="9"/>
  <c r="S14" i="9"/>
  <c r="M14" i="9"/>
  <c r="F14" i="9"/>
  <c r="V14" i="9" s="1"/>
  <c r="S13" i="9"/>
  <c r="M13" i="9"/>
  <c r="F13" i="9"/>
  <c r="S12" i="9"/>
  <c r="M12" i="9"/>
  <c r="F12" i="9"/>
  <c r="N11" i="9"/>
  <c r="R11" i="9" s="1"/>
  <c r="S10" i="9"/>
  <c r="M10" i="9"/>
  <c r="F10" i="9"/>
  <c r="H10" i="9" s="1"/>
  <c r="W10" i="9" s="1"/>
  <c r="X10" i="9" s="1"/>
  <c r="S9" i="9"/>
  <c r="M9" i="9"/>
  <c r="F9" i="9"/>
  <c r="S8" i="9"/>
  <c r="M8" i="9"/>
  <c r="F8" i="9"/>
  <c r="F7" i="9"/>
  <c r="H7" i="9" s="1"/>
  <c r="S6" i="9"/>
  <c r="M6" i="9"/>
  <c r="F6" i="9"/>
  <c r="S5" i="9"/>
  <c r="M5" i="9"/>
  <c r="F5" i="9"/>
  <c r="V5" i="9" s="1"/>
  <c r="R9" i="8"/>
  <c r="G9" i="8"/>
  <c r="E26" i="3" s="1"/>
  <c r="E31" i="3" s="1"/>
  <c r="E9" i="8"/>
  <c r="C26" i="3" s="1"/>
  <c r="D9" i="8"/>
  <c r="B26" i="3" s="1"/>
  <c r="W8" i="8"/>
  <c r="F7" i="8"/>
  <c r="V7" i="8"/>
  <c r="V6" i="8"/>
  <c r="S6" i="8"/>
  <c r="F6" i="8"/>
  <c r="H6" i="8" s="1"/>
  <c r="W6" i="8" s="1"/>
  <c r="V5" i="8"/>
  <c r="S5" i="8"/>
  <c r="F5" i="8"/>
  <c r="F9" i="8" s="1"/>
  <c r="F12" i="7"/>
  <c r="V12" i="7" s="1"/>
  <c r="F11" i="7"/>
  <c r="V10" i="7"/>
  <c r="S10" i="7"/>
  <c r="F10" i="7"/>
  <c r="L10" i="7" s="1"/>
  <c r="M10" i="7" s="1"/>
  <c r="N10" i="7" s="1"/>
  <c r="V9" i="7"/>
  <c r="S9" i="7"/>
  <c r="F9" i="7"/>
  <c r="H9" i="7" s="1"/>
  <c r="V8" i="7"/>
  <c r="S8" i="7"/>
  <c r="F8" i="7"/>
  <c r="V7" i="7"/>
  <c r="S7" i="7"/>
  <c r="F7" i="7"/>
  <c r="L7" i="7" s="1"/>
  <c r="M7" i="7" s="1"/>
  <c r="N7" i="7" s="1"/>
  <c r="T7" i="7" s="1"/>
  <c r="V6" i="7"/>
  <c r="S6" i="7"/>
  <c r="F6" i="7"/>
  <c r="H6" i="7" s="1"/>
  <c r="V5" i="7"/>
  <c r="S5" i="7"/>
  <c r="F5" i="7"/>
  <c r="H5" i="7"/>
  <c r="W5" i="7" s="1"/>
  <c r="R6" i="6"/>
  <c r="E6" i="6"/>
  <c r="C25" i="3" s="1"/>
  <c r="V5" i="6"/>
  <c r="S5" i="6"/>
  <c r="F5" i="6"/>
  <c r="H5" i="6" s="1"/>
  <c r="G14" i="5"/>
  <c r="E8" i="3" s="1"/>
  <c r="E14" i="5"/>
  <c r="C8" i="3" s="1"/>
  <c r="D8" i="3" s="1"/>
  <c r="D14" i="5"/>
  <c r="B8" i="3" s="1"/>
  <c r="F11" i="5"/>
  <c r="L11" i="5"/>
  <c r="M11" i="5" s="1"/>
  <c r="N11" i="5" s="1"/>
  <c r="F10" i="5"/>
  <c r="V10" i="5" s="1"/>
  <c r="F9" i="5"/>
  <c r="F8" i="5"/>
  <c r="S8" i="5" s="1"/>
  <c r="V8" i="5"/>
  <c r="V7" i="5"/>
  <c r="S7" i="5"/>
  <c r="F7" i="5"/>
  <c r="V6" i="5"/>
  <c r="S6" i="5"/>
  <c r="T6" i="5"/>
  <c r="F6" i="5"/>
  <c r="V5" i="5"/>
  <c r="S5" i="5"/>
  <c r="F5" i="5"/>
  <c r="H5" i="5" s="1"/>
  <c r="M13" i="4"/>
  <c r="L13" i="4"/>
  <c r="G7" i="3" s="1"/>
  <c r="H7" i="3" s="1"/>
  <c r="G13" i="4"/>
  <c r="E7" i="3" s="1"/>
  <c r="E13" i="4"/>
  <c r="C7" i="3" s="1"/>
  <c r="D13" i="4"/>
  <c r="B7" i="3"/>
  <c r="F10" i="4"/>
  <c r="F9" i="4"/>
  <c r="N9" i="4" s="1"/>
  <c r="F7" i="4"/>
  <c r="H7" i="4" s="1"/>
  <c r="N7" i="4"/>
  <c r="F6" i="4"/>
  <c r="N5" i="4"/>
  <c r="F5" i="4"/>
  <c r="H5" i="4" s="1"/>
  <c r="K13" i="3"/>
  <c r="K12" i="3"/>
  <c r="K11" i="3"/>
  <c r="K10" i="3"/>
  <c r="K9" i="3"/>
  <c r="K8" i="3"/>
  <c r="W240" i="10"/>
  <c r="W314" i="16"/>
  <c r="L263" i="16"/>
  <c r="N48" i="14"/>
  <c r="N61" i="14"/>
  <c r="U61" i="14" s="1"/>
  <c r="R61" i="14"/>
  <c r="L12" i="7"/>
  <c r="M12" i="7" s="1"/>
  <c r="N12" i="7" s="1"/>
  <c r="U12" i="7" s="1"/>
  <c r="S28" i="10"/>
  <c r="F28" i="10"/>
  <c r="S80" i="10"/>
  <c r="F80" i="10"/>
  <c r="V80" i="10" s="1"/>
  <c r="S101" i="10"/>
  <c r="F101" i="10"/>
  <c r="S102" i="10"/>
  <c r="F102" i="10"/>
  <c r="S103" i="10"/>
  <c r="F103" i="10"/>
  <c r="S104" i="10"/>
  <c r="F104" i="10"/>
  <c r="S32" i="10"/>
  <c r="F32" i="10"/>
  <c r="N32" i="10" s="1"/>
  <c r="W100" i="10"/>
  <c r="X100" i="10" s="1"/>
  <c r="F6" i="6"/>
  <c r="D378" i="10"/>
  <c r="B27" i="3" s="1"/>
  <c r="D27" i="3" s="1"/>
  <c r="S15" i="10"/>
  <c r="F15" i="10"/>
  <c r="V15" i="10" s="1"/>
  <c r="S20" i="10"/>
  <c r="F20" i="10"/>
  <c r="W44" i="10"/>
  <c r="X44" i="10" s="1"/>
  <c r="S74" i="10"/>
  <c r="F74" i="10"/>
  <c r="H74" i="10" s="1"/>
  <c r="W74" i="10" s="1"/>
  <c r="X74" i="10" s="1"/>
  <c r="S75" i="10"/>
  <c r="F75" i="10"/>
  <c r="S76" i="10"/>
  <c r="F76" i="10"/>
  <c r="W241" i="10"/>
  <c r="F18" i="11"/>
  <c r="V10" i="11"/>
  <c r="N10" i="11"/>
  <c r="S85" i="10"/>
  <c r="F85" i="10"/>
  <c r="S15" i="11"/>
  <c r="T15" i="11"/>
  <c r="V15" i="11"/>
  <c r="H15" i="11"/>
  <c r="W15" i="11" s="1"/>
  <c r="X15" i="11" s="1"/>
  <c r="V7" i="13"/>
  <c r="S24" i="10"/>
  <c r="F24" i="10"/>
  <c r="H24" i="10" s="1"/>
  <c r="W24" i="10" s="1"/>
  <c r="X24" i="10" s="1"/>
  <c r="S83" i="10"/>
  <c r="F83" i="10"/>
  <c r="S97" i="10"/>
  <c r="F97" i="10"/>
  <c r="N97" i="10" s="1"/>
  <c r="S98" i="10"/>
  <c r="F98" i="10"/>
  <c r="S189" i="10"/>
  <c r="V6" i="11"/>
  <c r="V11" i="11"/>
  <c r="V12" i="11"/>
  <c r="V14" i="11"/>
  <c r="V16" i="11"/>
  <c r="V56" i="13"/>
  <c r="F35" i="10"/>
  <c r="H35" i="10" s="1"/>
  <c r="W35" i="10" s="1"/>
  <c r="X35" i="10" s="1"/>
  <c r="F43" i="10"/>
  <c r="H43" i="10" s="1"/>
  <c r="W43" i="10" s="1"/>
  <c r="X43" i="10" s="1"/>
  <c r="F47" i="10"/>
  <c r="H47" i="10" s="1"/>
  <c r="W47" i="10" s="1"/>
  <c r="X47" i="10" s="1"/>
  <c r="F51" i="10"/>
  <c r="F137" i="10"/>
  <c r="V137" i="10" s="1"/>
  <c r="F140" i="10"/>
  <c r="F142" i="10"/>
  <c r="F145" i="10"/>
  <c r="F146" i="10"/>
  <c r="V146" i="10" s="1"/>
  <c r="F147" i="10"/>
  <c r="F148" i="10"/>
  <c r="V148" i="10" s="1"/>
  <c r="F152" i="10"/>
  <c r="N152" i="10" s="1"/>
  <c r="S178" i="10"/>
  <c r="S12" i="11"/>
  <c r="T12" i="11" s="1"/>
  <c r="S5" i="10"/>
  <c r="H156" i="14"/>
  <c r="V156" i="14"/>
  <c r="H160" i="14"/>
  <c r="W160" i="14" s="1"/>
  <c r="V160" i="14"/>
  <c r="V164" i="14"/>
  <c r="V168" i="14"/>
  <c r="H172" i="14"/>
  <c r="W172" i="14"/>
  <c r="V172" i="14"/>
  <c r="H176" i="14"/>
  <c r="W176" i="14" s="1"/>
  <c r="V176" i="14"/>
  <c r="V184" i="14"/>
  <c r="H221" i="13"/>
  <c r="W221" i="13" s="1"/>
  <c r="H261" i="13"/>
  <c r="W261" i="13" s="1"/>
  <c r="H35" i="14"/>
  <c r="W35" i="14" s="1"/>
  <c r="X35" i="14"/>
  <c r="V35" i="14"/>
  <c r="V43" i="14"/>
  <c r="H47" i="14"/>
  <c r="W47" i="14" s="1"/>
  <c r="X47" i="14" s="1"/>
  <c r="V47" i="14"/>
  <c r="V55" i="14"/>
  <c r="V59" i="14"/>
  <c r="V64" i="14"/>
  <c r="H64" i="14"/>
  <c r="W64" i="14"/>
  <c r="X64" i="14" s="1"/>
  <c r="H155" i="14"/>
  <c r="H163" i="14"/>
  <c r="H167" i="14"/>
  <c r="W167" i="14"/>
  <c r="V171" i="14"/>
  <c r="V175" i="14"/>
  <c r="V187" i="14"/>
  <c r="S28" i="14"/>
  <c r="F28" i="14"/>
  <c r="N30" i="14"/>
  <c r="T30" i="14" s="1"/>
  <c r="V31" i="14"/>
  <c r="H158" i="14"/>
  <c r="L158" i="14"/>
  <c r="V158" i="14"/>
  <c r="H162" i="14"/>
  <c r="V162" i="14"/>
  <c r="H174" i="14"/>
  <c r="W174" i="14" s="1"/>
  <c r="V174" i="14"/>
  <c r="H178" i="14"/>
  <c r="L178" i="14" s="1"/>
  <c r="V178" i="14"/>
  <c r="L182" i="14"/>
  <c r="M182" i="14"/>
  <c r="N182" i="14" s="1"/>
  <c r="U182" i="14" s="1"/>
  <c r="V182" i="14"/>
  <c r="V186" i="14"/>
  <c r="V6" i="14"/>
  <c r="U65" i="14"/>
  <c r="H153" i="14"/>
  <c r="V153" i="14"/>
  <c r="H157" i="14"/>
  <c r="V157" i="14"/>
  <c r="V165" i="14"/>
  <c r="H169" i="14"/>
  <c r="W169" i="14" s="1"/>
  <c r="V169" i="14"/>
  <c r="H173" i="14"/>
  <c r="V173" i="14"/>
  <c r="H177" i="14"/>
  <c r="L177" i="14" s="1"/>
  <c r="V177" i="14"/>
  <c r="V181" i="14"/>
  <c r="V132" i="14"/>
  <c r="N132" i="14"/>
  <c r="H132" i="14"/>
  <c r="W132" i="14" s="1"/>
  <c r="X132" i="14" s="1"/>
  <c r="V199" i="14"/>
  <c r="V195" i="14"/>
  <c r="V117" i="14"/>
  <c r="V119" i="14"/>
  <c r="V121" i="14"/>
  <c r="V123" i="14"/>
  <c r="V125" i="14"/>
  <c r="V129" i="14"/>
  <c r="S356" i="13"/>
  <c r="V65" i="14"/>
  <c r="V66" i="14"/>
  <c r="V67" i="14"/>
  <c r="V68" i="14"/>
  <c r="V69" i="14"/>
  <c r="V70" i="14"/>
  <c r="V71" i="14"/>
  <c r="V72" i="14"/>
  <c r="V73" i="14"/>
  <c r="V75" i="14"/>
  <c r="V76" i="14"/>
  <c r="V77" i="14"/>
  <c r="V79" i="14"/>
  <c r="V80" i="14"/>
  <c r="V81" i="14"/>
  <c r="V83" i="14"/>
  <c r="V84" i="14"/>
  <c r="V85" i="14"/>
  <c r="V87" i="14"/>
  <c r="V88" i="14"/>
  <c r="V89" i="14"/>
  <c r="V91" i="14"/>
  <c r="V92" i="14"/>
  <c r="V93" i="14"/>
  <c r="V95" i="14"/>
  <c r="V96" i="14"/>
  <c r="V97" i="14"/>
  <c r="V99" i="14"/>
  <c r="V100" i="14"/>
  <c r="V101" i="14"/>
  <c r="V102" i="14"/>
  <c r="V103" i="14"/>
  <c r="V104" i="14"/>
  <c r="V105" i="14"/>
  <c r="V107" i="14"/>
  <c r="V108" i="14"/>
  <c r="V109" i="14"/>
  <c r="V111" i="14"/>
  <c r="V112" i="14"/>
  <c r="V113" i="14"/>
  <c r="V115" i="14"/>
  <c r="H117" i="14"/>
  <c r="H118" i="14"/>
  <c r="H119" i="14"/>
  <c r="H121" i="14"/>
  <c r="L121" i="14"/>
  <c r="H123" i="14"/>
  <c r="H124" i="14"/>
  <c r="H127" i="14"/>
  <c r="W127" i="14" s="1"/>
  <c r="H128" i="14"/>
  <c r="H129" i="14"/>
  <c r="H130" i="14"/>
  <c r="W130" i="14"/>
  <c r="S39" i="16"/>
  <c r="F39" i="16"/>
  <c r="S44" i="16"/>
  <c r="F44" i="16"/>
  <c r="V44" i="16" s="1"/>
  <c r="N49" i="16"/>
  <c r="R49" i="16" s="1"/>
  <c r="H40" i="16"/>
  <c r="W40" i="16" s="1"/>
  <c r="X40" i="16" s="1"/>
  <c r="L222" i="16"/>
  <c r="M222" i="16"/>
  <c r="N222" i="16" s="1"/>
  <c r="W222" i="16"/>
  <c r="V11" i="16"/>
  <c r="V19" i="16"/>
  <c r="V41" i="16"/>
  <c r="V46" i="16"/>
  <c r="V59" i="16"/>
  <c r="H63" i="16"/>
  <c r="W63" i="16" s="1"/>
  <c r="X63" i="16" s="1"/>
  <c r="V12" i="16"/>
  <c r="S24" i="16"/>
  <c r="F24" i="16"/>
  <c r="V25" i="16"/>
  <c r="H29" i="16"/>
  <c r="W29" i="16" s="1"/>
  <c r="X29" i="16" s="1"/>
  <c r="V33" i="16"/>
  <c r="H55" i="16"/>
  <c r="W55" i="16" s="1"/>
  <c r="X55" i="16" s="1"/>
  <c r="V55" i="16"/>
  <c r="X64" i="16"/>
  <c r="V64" i="16"/>
  <c r="H72" i="16"/>
  <c r="W72" i="16" s="1"/>
  <c r="X72" i="16" s="1"/>
  <c r="H76" i="16"/>
  <c r="W76" i="16" s="1"/>
  <c r="X76" i="16" s="1"/>
  <c r="V21" i="16"/>
  <c r="H38" i="16"/>
  <c r="W38" i="16" s="1"/>
  <c r="X38" i="16" s="1"/>
  <c r="V38" i="16"/>
  <c r="S56" i="16"/>
  <c r="F56" i="16"/>
  <c r="V57" i="16"/>
  <c r="H73" i="16"/>
  <c r="W73" i="16" s="1"/>
  <c r="X73" i="16" s="1"/>
  <c r="H77" i="16"/>
  <c r="W77" i="16" s="1"/>
  <c r="X77" i="16" s="1"/>
  <c r="V77" i="16"/>
  <c r="H187" i="16"/>
  <c r="H193" i="16"/>
  <c r="H195" i="16"/>
  <c r="W195" i="16" s="1"/>
  <c r="H199" i="16"/>
  <c r="H201" i="16"/>
  <c r="L201" i="16" s="1"/>
  <c r="H202" i="16"/>
  <c r="W202" i="16" s="1"/>
  <c r="H204" i="16"/>
  <c r="W204" i="16" s="1"/>
  <c r="S206" i="16"/>
  <c r="F206" i="16"/>
  <c r="F225" i="16"/>
  <c r="S225" i="16"/>
  <c r="D466" i="16"/>
  <c r="B30" i="3" s="1"/>
  <c r="V81" i="16"/>
  <c r="V87" i="16"/>
  <c r="V88" i="16"/>
  <c r="V92" i="16"/>
  <c r="V93" i="16"/>
  <c r="V95" i="16"/>
  <c r="V96" i="16"/>
  <c r="V97" i="16"/>
  <c r="V107" i="16"/>
  <c r="V113" i="16"/>
  <c r="V120" i="16"/>
  <c r="V121" i="16"/>
  <c r="V122" i="16"/>
  <c r="V134" i="16"/>
  <c r="V138" i="16"/>
  <c r="V144" i="16"/>
  <c r="V149" i="16"/>
  <c r="V151" i="16"/>
  <c r="V153" i="16"/>
  <c r="V165" i="16"/>
  <c r="V181" i="16"/>
  <c r="V222" i="16"/>
  <c r="H253" i="16"/>
  <c r="W253" i="16" s="1"/>
  <c r="V253" i="16"/>
  <c r="F103" i="16"/>
  <c r="H103" i="16" s="1"/>
  <c r="W103" i="16" s="1"/>
  <c r="X103" i="16" s="1"/>
  <c r="F115" i="16"/>
  <c r="V115" i="16" s="1"/>
  <c r="F171" i="16"/>
  <c r="H254" i="16"/>
  <c r="W254" i="16" s="1"/>
  <c r="V254" i="16"/>
  <c r="H384" i="16"/>
  <c r="W384" i="16" s="1"/>
  <c r="V396" i="16"/>
  <c r="H396" i="16"/>
  <c r="H406" i="16"/>
  <c r="V406" i="16"/>
  <c r="H410" i="16"/>
  <c r="V410" i="16"/>
  <c r="W416" i="16"/>
  <c r="V416" i="16"/>
  <c r="S416" i="16"/>
  <c r="V400" i="16"/>
  <c r="H408" i="16"/>
  <c r="L408" i="16" s="1"/>
  <c r="M408" i="16" s="1"/>
  <c r="N408" i="16" s="1"/>
  <c r="V255" i="16"/>
  <c r="V260" i="16"/>
  <c r="V263" i="16"/>
  <c r="V264" i="16"/>
  <c r="V268" i="16"/>
  <c r="V269" i="16"/>
  <c r="V350" i="16"/>
  <c r="H383" i="16"/>
  <c r="L392" i="16"/>
  <c r="X392" i="16" s="1"/>
  <c r="V392" i="16"/>
  <c r="H366" i="16"/>
  <c r="W366" i="16" s="1"/>
  <c r="V388" i="16"/>
  <c r="H393" i="16"/>
  <c r="L404" i="16"/>
  <c r="V404" i="16"/>
  <c r="H412" i="16"/>
  <c r="V425" i="16"/>
  <c r="V427" i="16"/>
  <c r="V435" i="16"/>
  <c r="W435" i="16"/>
  <c r="L435" i="16"/>
  <c r="V413" i="16"/>
  <c r="V417" i="16"/>
  <c r="V420" i="16"/>
  <c r="S435" i="16"/>
  <c r="M55" i="17"/>
  <c r="V55" i="17" s="1"/>
  <c r="S421" i="16"/>
  <c r="S437" i="16"/>
  <c r="V439" i="16"/>
  <c r="V443" i="16"/>
  <c r="V458" i="16"/>
  <c r="S441" i="16"/>
  <c r="V5" i="17"/>
  <c r="L416" i="16"/>
  <c r="T61" i="14"/>
  <c r="L167" i="14"/>
  <c r="L172" i="14"/>
  <c r="L174" i="14"/>
  <c r="M174" i="14" s="1"/>
  <c r="N174" i="14" s="1"/>
  <c r="L130" i="14"/>
  <c r="X130" i="14" s="1"/>
  <c r="U40" i="16"/>
  <c r="U100" i="10"/>
  <c r="R100" i="10"/>
  <c r="U241" i="10"/>
  <c r="U240" i="10"/>
  <c r="W313" i="15"/>
  <c r="X313" i="15" s="1"/>
  <c r="W12" i="11"/>
  <c r="X12" i="11" s="1"/>
  <c r="F20" i="11"/>
  <c r="L18" i="11"/>
  <c r="N12" i="11"/>
  <c r="U12" i="11" s="1"/>
  <c r="S316" i="13"/>
  <c r="H50" i="13"/>
  <c r="H188" i="13"/>
  <c r="H357" i="13"/>
  <c r="L357" i="13"/>
  <c r="H196" i="13"/>
  <c r="L196" i="13" s="1"/>
  <c r="M196" i="13" s="1"/>
  <c r="N196" i="13" s="1"/>
  <c r="T196" i="13" s="1"/>
  <c r="V136" i="13"/>
  <c r="V69" i="13"/>
  <c r="H69" i="13"/>
  <c r="L69" i="13" s="1"/>
  <c r="M69" i="13"/>
  <c r="N69" i="13" s="1"/>
  <c r="V324" i="13"/>
  <c r="S327" i="13"/>
  <c r="H343" i="13"/>
  <c r="S326" i="13"/>
  <c r="H330" i="13"/>
  <c r="L330" i="13" s="1"/>
  <c r="W31" i="15"/>
  <c r="X31" i="15" s="1"/>
  <c r="R31" i="15"/>
  <c r="V276" i="13"/>
  <c r="S301" i="13"/>
  <c r="V197" i="13"/>
  <c r="H66" i="13"/>
  <c r="W66" i="13"/>
  <c r="V368" i="13"/>
  <c r="H389" i="13"/>
  <c r="L389" i="13"/>
  <c r="M389" i="13" s="1"/>
  <c r="N389" i="13" s="1"/>
  <c r="V210" i="10"/>
  <c r="L13" i="7"/>
  <c r="M13" i="7" s="1"/>
  <c r="N13" i="7" s="1"/>
  <c r="S355" i="10"/>
  <c r="W27" i="9"/>
  <c r="X27" i="9" s="1"/>
  <c r="U27" i="9"/>
  <c r="U31" i="15"/>
  <c r="R128" i="15"/>
  <c r="U128" i="15"/>
  <c r="U87" i="15"/>
  <c r="W87" i="15"/>
  <c r="X87" i="15" s="1"/>
  <c r="W323" i="15"/>
  <c r="X323" i="15" s="1"/>
  <c r="U323" i="15"/>
  <c r="H170" i="15"/>
  <c r="W170" i="15" s="1"/>
  <c r="X170" i="15" s="1"/>
  <c r="R87" i="15"/>
  <c r="W127" i="15"/>
  <c r="X127" i="15" s="1"/>
  <c r="R27" i="9"/>
  <c r="U313" i="15"/>
  <c r="U127" i="15"/>
  <c r="R127" i="15"/>
  <c r="H500" i="15"/>
  <c r="L500" i="15" s="1"/>
  <c r="M500" i="15" s="1"/>
  <c r="N500" i="15" s="1"/>
  <c r="N127" i="13"/>
  <c r="V119" i="13"/>
  <c r="H38" i="13"/>
  <c r="W38" i="13"/>
  <c r="X38" i="13"/>
  <c r="H25" i="13"/>
  <c r="W25" i="13" s="1"/>
  <c r="X25" i="13"/>
  <c r="V25" i="13"/>
  <c r="V59" i="13"/>
  <c r="H122" i="13"/>
  <c r="W122" i="13" s="1"/>
  <c r="X122" i="13" s="1"/>
  <c r="S293" i="13"/>
  <c r="V301" i="13"/>
  <c r="H301" i="13"/>
  <c r="H313" i="13"/>
  <c r="W313" i="13" s="1"/>
  <c r="V321" i="13"/>
  <c r="S351" i="13"/>
  <c r="H17" i="13"/>
  <c r="W17" i="13" s="1"/>
  <c r="X17" i="13" s="1"/>
  <c r="H184" i="13"/>
  <c r="W184" i="13"/>
  <c r="H336" i="13"/>
  <c r="S381" i="13"/>
  <c r="S336" i="13"/>
  <c r="W49" i="13"/>
  <c r="H126" i="13"/>
  <c r="W126" i="13" s="1"/>
  <c r="X126" i="13" s="1"/>
  <c r="V55" i="13"/>
  <c r="H324" i="13"/>
  <c r="W324" i="13"/>
  <c r="X324" i="13" s="1"/>
  <c r="V371" i="13"/>
  <c r="H368" i="13"/>
  <c r="H134" i="13"/>
  <c r="W134" i="13"/>
  <c r="X134" i="13" s="1"/>
  <c r="H51" i="13"/>
  <c r="V130" i="13"/>
  <c r="H316" i="13"/>
  <c r="H333" i="13"/>
  <c r="L333" i="13"/>
  <c r="S371" i="13"/>
  <c r="S333" i="13"/>
  <c r="V122" i="13"/>
  <c r="V171" i="13"/>
  <c r="V63" i="13"/>
  <c r="H381" i="13"/>
  <c r="V27" i="13"/>
  <c r="H48" i="13"/>
  <c r="W48" i="13" s="1"/>
  <c r="X48" i="13" s="1"/>
  <c r="V174" i="13"/>
  <c r="H174" i="13"/>
  <c r="V326" i="13"/>
  <c r="H326" i="13"/>
  <c r="V330" i="13"/>
  <c r="W330" i="13"/>
  <c r="Y330" i="13" s="1"/>
  <c r="S330" i="13"/>
  <c r="H348" i="13"/>
  <c r="L348" i="13" s="1"/>
  <c r="V384" i="13"/>
  <c r="W384" i="13" s="1"/>
  <c r="S384" i="13"/>
  <c r="V348" i="13"/>
  <c r="S348" i="13"/>
  <c r="V140" i="13"/>
  <c r="H140" i="13"/>
  <c r="W140" i="13" s="1"/>
  <c r="X140" i="13" s="1"/>
  <c r="V203" i="13"/>
  <c r="V357" i="13"/>
  <c r="S357" i="13"/>
  <c r="V269" i="13"/>
  <c r="H83" i="13"/>
  <c r="W83" i="13" s="1"/>
  <c r="X83" i="13" s="1"/>
  <c r="V83" i="13"/>
  <c r="H96" i="13"/>
  <c r="W96" i="13" s="1"/>
  <c r="X96" i="13" s="1"/>
  <c r="V96" i="13"/>
  <c r="V200" i="13"/>
  <c r="V144" i="13"/>
  <c r="H211" i="13"/>
  <c r="W276" i="13"/>
  <c r="H147" i="13"/>
  <c r="W147" i="13" s="1"/>
  <c r="X147" i="13" s="1"/>
  <c r="V151" i="13"/>
  <c r="V246" i="13"/>
  <c r="H249" i="13"/>
  <c r="V287" i="13"/>
  <c r="H287" i="13"/>
  <c r="V303" i="13"/>
  <c r="H281" i="13"/>
  <c r="W281" i="13"/>
  <c r="V212" i="13"/>
  <c r="V199" i="13"/>
  <c r="H206" i="13"/>
  <c r="W206" i="13" s="1"/>
  <c r="V135" i="13"/>
  <c r="H135" i="13"/>
  <c r="W135" i="13" s="1"/>
  <c r="X135" i="13" s="1"/>
  <c r="V202" i="13"/>
  <c r="H202" i="13"/>
  <c r="H214" i="13"/>
  <c r="L214" i="13" s="1"/>
  <c r="W214" i="13"/>
  <c r="V220" i="13"/>
  <c r="H414" i="13"/>
  <c r="L414" i="13"/>
  <c r="M414" i="13" s="1"/>
  <c r="N414" i="13" s="1"/>
  <c r="V194" i="13"/>
  <c r="H106" i="13"/>
  <c r="W106" i="13"/>
  <c r="X106" i="13" s="1"/>
  <c r="S347" i="13"/>
  <c r="V49" i="13"/>
  <c r="V148" i="13"/>
  <c r="V170" i="13"/>
  <c r="V193" i="13"/>
  <c r="H193" i="13"/>
  <c r="V225" i="13"/>
  <c r="H30" i="13"/>
  <c r="W30" i="13" s="1"/>
  <c r="X30" i="13" s="1"/>
  <c r="H191" i="13"/>
  <c r="W191" i="13" s="1"/>
  <c r="W148" i="13"/>
  <c r="X148" i="13"/>
  <c r="V104" i="13"/>
  <c r="V5" i="13"/>
  <c r="N158" i="13"/>
  <c r="T158" i="13" s="1"/>
  <c r="V179" i="13"/>
  <c r="H179" i="13"/>
  <c r="V186" i="13"/>
  <c r="H195" i="13"/>
  <c r="W195" i="13" s="1"/>
  <c r="S297" i="13"/>
  <c r="H317" i="13"/>
  <c r="L317" i="13"/>
  <c r="V317" i="13"/>
  <c r="S317" i="13"/>
  <c r="V29" i="13"/>
  <c r="H9" i="13"/>
  <c r="W9" i="13" s="1"/>
  <c r="X9" i="13" s="1"/>
  <c r="V9" i="13"/>
  <c r="V15" i="13"/>
  <c r="N15" i="13"/>
  <c r="R15" i="13" s="1"/>
  <c r="V53" i="13"/>
  <c r="H62" i="13"/>
  <c r="H114" i="13"/>
  <c r="W114" i="13"/>
  <c r="X114" i="13" s="1"/>
  <c r="V162" i="13"/>
  <c r="H162" i="13"/>
  <c r="W162" i="13" s="1"/>
  <c r="V227" i="13"/>
  <c r="H227" i="13"/>
  <c r="H57" i="13"/>
  <c r="V154" i="13"/>
  <c r="H375" i="13"/>
  <c r="V113" i="13"/>
  <c r="H251" i="13"/>
  <c r="H256" i="13"/>
  <c r="H378" i="13"/>
  <c r="L378" i="13" s="1"/>
  <c r="M378" i="13" s="1"/>
  <c r="N378" i="13" s="1"/>
  <c r="T378" i="13" s="1"/>
  <c r="L415" i="13"/>
  <c r="M415" i="13" s="1"/>
  <c r="N415" i="13" s="1"/>
  <c r="H384" i="13"/>
  <c r="L384" i="13"/>
  <c r="M384" i="13" s="1"/>
  <c r="N384" i="13" s="1"/>
  <c r="V114" i="9"/>
  <c r="L281" i="13"/>
  <c r="V125" i="13"/>
  <c r="N141" i="13"/>
  <c r="V160" i="13"/>
  <c r="H163" i="13"/>
  <c r="W163" i="13" s="1"/>
  <c r="V163" i="13"/>
  <c r="H280" i="13"/>
  <c r="L280" i="13" s="1"/>
  <c r="V378" i="13"/>
  <c r="W378" i="13" s="1"/>
  <c r="Y378" i="13" s="1"/>
  <c r="L170" i="13"/>
  <c r="H217" i="13"/>
  <c r="L217" i="13" s="1"/>
  <c r="H78" i="13"/>
  <c r="L78" i="13" s="1"/>
  <c r="M78" i="13" s="1"/>
  <c r="N78" i="13" s="1"/>
  <c r="V31" i="13"/>
  <c r="H219" i="13"/>
  <c r="V335" i="13"/>
  <c r="H303" i="13"/>
  <c r="W303" i="13" s="1"/>
  <c r="H205" i="13"/>
  <c r="V343" i="13"/>
  <c r="V19" i="13"/>
  <c r="H5" i="13"/>
  <c r="W5" i="13"/>
  <c r="X5" i="13" s="1"/>
  <c r="V14" i="13"/>
  <c r="N47" i="13"/>
  <c r="H60" i="13"/>
  <c r="L60" i="13" s="1"/>
  <c r="V74" i="13"/>
  <c r="H74" i="13"/>
  <c r="W74" i="13" s="1"/>
  <c r="H80" i="13"/>
  <c r="V80" i="13"/>
  <c r="N125" i="13"/>
  <c r="R125" i="13" s="1"/>
  <c r="H213" i="13"/>
  <c r="V213" i="13"/>
  <c r="V257" i="13"/>
  <c r="H259" i="13"/>
  <c r="S375" i="13"/>
  <c r="V375" i="13"/>
  <c r="H405" i="13"/>
  <c r="L405" i="13" s="1"/>
  <c r="M405" i="13" s="1"/>
  <c r="N405" i="13" s="1"/>
  <c r="H72" i="13"/>
  <c r="L72" i="13" s="1"/>
  <c r="M72" i="13" s="1"/>
  <c r="N72" i="13" s="1"/>
  <c r="H347" i="13"/>
  <c r="H299" i="13"/>
  <c r="V267" i="13"/>
  <c r="V87" i="13"/>
  <c r="H245" i="13"/>
  <c r="L245" i="13" s="1"/>
  <c r="H107" i="13"/>
  <c r="W107" i="13" s="1"/>
  <c r="X107" i="13" s="1"/>
  <c r="V190" i="13"/>
  <c r="H190" i="13"/>
  <c r="V204" i="13"/>
  <c r="H204" i="13"/>
  <c r="W204" i="13"/>
  <c r="N90" i="13"/>
  <c r="N106" i="13"/>
  <c r="U106" i="13" s="1"/>
  <c r="N114" i="13"/>
  <c r="N25" i="13"/>
  <c r="N29" i="13"/>
  <c r="T29" i="13"/>
  <c r="R29" i="13"/>
  <c r="H294" i="13"/>
  <c r="V294" i="13"/>
  <c r="S302" i="13"/>
  <c r="S350" i="13"/>
  <c r="S386" i="13"/>
  <c r="U122" i="13"/>
  <c r="V71" i="13"/>
  <c r="H71" i="13"/>
  <c r="W71" i="13" s="1"/>
  <c r="V73" i="13"/>
  <c r="H73" i="13"/>
  <c r="W73" i="13" s="1"/>
  <c r="H77" i="13"/>
  <c r="V77" i="13"/>
  <c r="H79" i="13"/>
  <c r="W79" i="13" s="1"/>
  <c r="V81" i="13"/>
  <c r="H81" i="13"/>
  <c r="W81" i="13"/>
  <c r="X81" i="13" s="1"/>
  <c r="H85" i="13"/>
  <c r="W85" i="13"/>
  <c r="X85" i="13" s="1"/>
  <c r="N85" i="13"/>
  <c r="T85" i="13" s="1"/>
  <c r="V85" i="13"/>
  <c r="H101" i="13"/>
  <c r="W101" i="13" s="1"/>
  <c r="X101" i="13" s="1"/>
  <c r="H119" i="13"/>
  <c r="W119" i="13" s="1"/>
  <c r="X119" i="13" s="1"/>
  <c r="N119" i="13"/>
  <c r="H123" i="13"/>
  <c r="W123" i="13"/>
  <c r="X123" i="13" s="1"/>
  <c r="N123" i="13"/>
  <c r="U123" i="13" s="1"/>
  <c r="N128" i="13"/>
  <c r="H128" i="13"/>
  <c r="W128" i="13"/>
  <c r="X128" i="13"/>
  <c r="V128" i="13"/>
  <c r="V132" i="13"/>
  <c r="H132" i="13"/>
  <c r="W132" i="13" s="1"/>
  <c r="X132" i="13" s="1"/>
  <c r="S383" i="13"/>
  <c r="V383" i="13"/>
  <c r="W383" i="13" s="1"/>
  <c r="Y383" i="13" s="1"/>
  <c r="H286" i="13"/>
  <c r="L286" i="13" s="1"/>
  <c r="M286" i="13" s="1"/>
  <c r="V286" i="13"/>
  <c r="S290" i="13"/>
  <c r="H290" i="13"/>
  <c r="V290" i="13"/>
  <c r="S298" i="13"/>
  <c r="H298" i="13"/>
  <c r="V298" i="13"/>
  <c r="S354" i="13"/>
  <c r="H354" i="13"/>
  <c r="V354" i="13"/>
  <c r="S362" i="13"/>
  <c r="H362" i="13"/>
  <c r="W8" i="13"/>
  <c r="X8" i="13"/>
  <c r="N40" i="13"/>
  <c r="U40" i="13" s="1"/>
  <c r="V48" i="13"/>
  <c r="N48" i="13"/>
  <c r="U48" i="13" s="1"/>
  <c r="V112" i="13"/>
  <c r="H155" i="13"/>
  <c r="W155" i="13" s="1"/>
  <c r="X155" i="13" s="1"/>
  <c r="N155" i="13"/>
  <c r="V155" i="13"/>
  <c r="H159" i="13"/>
  <c r="W159" i="13" s="1"/>
  <c r="X159" i="13" s="1"/>
  <c r="N159" i="13"/>
  <c r="T159" i="13" s="1"/>
  <c r="V159" i="13"/>
  <c r="V175" i="13"/>
  <c r="V206" i="13"/>
  <c r="H210" i="13"/>
  <c r="V218" i="13"/>
  <c r="H218" i="13"/>
  <c r="L218" i="13" s="1"/>
  <c r="H238" i="13"/>
  <c r="W238" i="13" s="1"/>
  <c r="H242" i="13"/>
  <c r="W242" i="13"/>
  <c r="H248" i="13"/>
  <c r="H250" i="13"/>
  <c r="W250" i="13" s="1"/>
  <c r="H252" i="13"/>
  <c r="V252" i="13"/>
  <c r="H254" i="13"/>
  <c r="V254" i="13"/>
  <c r="V380" i="13"/>
  <c r="S294" i="13"/>
  <c r="V146" i="13"/>
  <c r="V150" i="13"/>
  <c r="H150" i="13"/>
  <c r="W150" i="13" s="1"/>
  <c r="X150" i="13" s="1"/>
  <c r="N150" i="13"/>
  <c r="R150" i="13" s="1"/>
  <c r="U150" i="13"/>
  <c r="N154" i="13"/>
  <c r="U154" i="13"/>
  <c r="H154" i="13"/>
  <c r="W154" i="13" s="1"/>
  <c r="X154" i="13" s="1"/>
  <c r="N153" i="13"/>
  <c r="N147" i="13"/>
  <c r="S210" i="9"/>
  <c r="H57" i="10"/>
  <c r="W57" i="10" s="1"/>
  <c r="X57" i="10" s="1"/>
  <c r="H26" i="10"/>
  <c r="W26" i="10" s="1"/>
  <c r="X26" i="10" s="1"/>
  <c r="V228" i="13"/>
  <c r="H228" i="13"/>
  <c r="H400" i="13"/>
  <c r="L400" i="13" s="1"/>
  <c r="M400" i="13" s="1"/>
  <c r="N400" i="13" s="1"/>
  <c r="H16" i="13"/>
  <c r="W16" i="13" s="1"/>
  <c r="X16" i="13" s="1"/>
  <c r="N20" i="13"/>
  <c r="U20" i="13" s="1"/>
  <c r="V20" i="13"/>
  <c r="H20" i="13"/>
  <c r="W20" i="13" s="1"/>
  <c r="X20" i="13" s="1"/>
  <c r="V111" i="13"/>
  <c r="N111" i="13"/>
  <c r="H111" i="13"/>
  <c r="W111" i="13" s="1"/>
  <c r="X111" i="13" s="1"/>
  <c r="H226" i="13"/>
  <c r="W226" i="13" s="1"/>
  <c r="V226" i="13"/>
  <c r="H230" i="13"/>
  <c r="V230" i="13"/>
  <c r="V277" i="13"/>
  <c r="H277" i="13"/>
  <c r="H306" i="13"/>
  <c r="W306" i="13"/>
  <c r="V314" i="13"/>
  <c r="S318" i="13"/>
  <c r="H318" i="13"/>
  <c r="V318" i="13"/>
  <c r="T148" i="13"/>
  <c r="R148" i="13"/>
  <c r="V12" i="13"/>
  <c r="N24" i="13"/>
  <c r="R24" i="13" s="1"/>
  <c r="H24" i="13"/>
  <c r="W24" i="13" s="1"/>
  <c r="X24" i="13" s="1"/>
  <c r="V24" i="13"/>
  <c r="H36" i="13"/>
  <c r="W36" i="13"/>
  <c r="X36" i="13"/>
  <c r="N93" i="13"/>
  <c r="V93" i="13"/>
  <c r="H93" i="13"/>
  <c r="W93" i="13" s="1"/>
  <c r="X93" i="13" s="1"/>
  <c r="H97" i="13"/>
  <c r="W97" i="13"/>
  <c r="X97" i="13"/>
  <c r="V97" i="13"/>
  <c r="N97" i="13"/>
  <c r="U97" i="13" s="1"/>
  <c r="H366" i="13"/>
  <c r="R158" i="13"/>
  <c r="V232" i="13"/>
  <c r="H164" i="13"/>
  <c r="L164" i="13" s="1"/>
  <c r="V164" i="13"/>
  <c r="H166" i="13"/>
  <c r="V166" i="13"/>
  <c r="V177" i="13"/>
  <c r="H177" i="13"/>
  <c r="H181" i="13"/>
  <c r="W181" i="13" s="1"/>
  <c r="V181" i="13"/>
  <c r="V183" i="13"/>
  <c r="H183" i="13"/>
  <c r="V189" i="13"/>
  <c r="H189" i="13"/>
  <c r="L189" i="13" s="1"/>
  <c r="V262" i="13"/>
  <c r="V264" i="13"/>
  <c r="H264" i="13"/>
  <c r="H266" i="13"/>
  <c r="V266" i="13"/>
  <c r="S355" i="13"/>
  <c r="H355" i="13"/>
  <c r="S359" i="13"/>
  <c r="H359" i="13"/>
  <c r="V359" i="13"/>
  <c r="W359" i="13" s="1"/>
  <c r="Y359" i="13" s="1"/>
  <c r="S363" i="13"/>
  <c r="V76" i="13"/>
  <c r="H76" i="13"/>
  <c r="N109" i="13"/>
  <c r="H152" i="13"/>
  <c r="W152" i="13" s="1"/>
  <c r="X152" i="13" s="1"/>
  <c r="V152" i="13"/>
  <c r="H241" i="13"/>
  <c r="V241" i="13"/>
  <c r="H247" i="13"/>
  <c r="W247" i="13" s="1"/>
  <c r="H352" i="13"/>
  <c r="L352" i="13" s="1"/>
  <c r="M352" i="13" s="1"/>
  <c r="N352" i="13" s="1"/>
  <c r="S352" i="13"/>
  <c r="V352" i="13"/>
  <c r="W352" i="13"/>
  <c r="Y352" i="13" s="1"/>
  <c r="H372" i="13"/>
  <c r="W372" i="13" s="1"/>
  <c r="H41" i="13"/>
  <c r="W41" i="13" s="1"/>
  <c r="X41" i="13" s="1"/>
  <c r="V98" i="13"/>
  <c r="N98" i="13"/>
  <c r="U98" i="13" s="1"/>
  <c r="N129" i="13"/>
  <c r="U129" i="13" s="1"/>
  <c r="H129" i="13"/>
  <c r="W129" i="13" s="1"/>
  <c r="X129" i="13" s="1"/>
  <c r="V129" i="13"/>
  <c r="H143" i="13"/>
  <c r="W143" i="13" s="1"/>
  <c r="X143" i="13" s="1"/>
  <c r="V143" i="13"/>
  <c r="H151" i="13"/>
  <c r="W151" i="13" s="1"/>
  <c r="X151" i="13" s="1"/>
  <c r="S345" i="13"/>
  <c r="H345" i="13"/>
  <c r="N139" i="13"/>
  <c r="N7" i="13"/>
  <c r="N83" i="13"/>
  <c r="N87" i="13"/>
  <c r="N107" i="13"/>
  <c r="R107" i="13" s="1"/>
  <c r="N108" i="13"/>
  <c r="T108" i="13" s="1"/>
  <c r="V61" i="13"/>
  <c r="H61" i="13"/>
  <c r="L63" i="13"/>
  <c r="M63" i="13" s="1"/>
  <c r="N63" i="13" s="1"/>
  <c r="H65" i="13"/>
  <c r="W65" i="13" s="1"/>
  <c r="H138" i="13"/>
  <c r="W138" i="13" s="1"/>
  <c r="X138" i="13" s="1"/>
  <c r="V138" i="13"/>
  <c r="N138" i="13"/>
  <c r="T138" i="13" s="1"/>
  <c r="V142" i="13"/>
  <c r="H142" i="13"/>
  <c r="W142" i="13" s="1"/>
  <c r="X142" i="13" s="1"/>
  <c r="V156" i="13"/>
  <c r="N156" i="13"/>
  <c r="H293" i="13"/>
  <c r="W293" i="13" s="1"/>
  <c r="V293" i="13"/>
  <c r="S296" i="13"/>
  <c r="H296" i="13"/>
  <c r="V296" i="13"/>
  <c r="S300" i="13"/>
  <c r="S304" i="13"/>
  <c r="H304" i="13"/>
  <c r="V304" i="13"/>
  <c r="V307" i="13"/>
  <c r="S307" i="13"/>
  <c r="H307" i="13"/>
  <c r="S315" i="13"/>
  <c r="L315" i="13"/>
  <c r="V315" i="13"/>
  <c r="S319" i="13"/>
  <c r="V332" i="13"/>
  <c r="S332" i="13"/>
  <c r="H332" i="13"/>
  <c r="W332" i="13" s="1"/>
  <c r="S338" i="13"/>
  <c r="V338" i="13"/>
  <c r="H338" i="13"/>
  <c r="H364" i="13"/>
  <c r="S364" i="13"/>
  <c r="V364" i="13"/>
  <c r="V367" i="13"/>
  <c r="S367" i="13"/>
  <c r="H367" i="13"/>
  <c r="W367" i="13" s="1"/>
  <c r="V370" i="13"/>
  <c r="H370" i="13"/>
  <c r="V376" i="13"/>
  <c r="N26" i="13"/>
  <c r="V30" i="13"/>
  <c r="N30" i="13"/>
  <c r="R30" i="13" s="1"/>
  <c r="V34" i="13"/>
  <c r="H34" i="13"/>
  <c r="W34" i="13" s="1"/>
  <c r="X34" i="13" s="1"/>
  <c r="N34" i="13"/>
  <c r="V39" i="13"/>
  <c r="N39" i="13"/>
  <c r="H39" i="13"/>
  <c r="W39" i="13" s="1"/>
  <c r="X39" i="13" s="1"/>
  <c r="N43" i="13"/>
  <c r="V43" i="13"/>
  <c r="V75" i="13"/>
  <c r="H75" i="13"/>
  <c r="L75" i="13" s="1"/>
  <c r="M75" i="13" s="1"/>
  <c r="N75" i="13" s="1"/>
  <c r="T75" i="13" s="1"/>
  <c r="H82" i="13"/>
  <c r="W82" i="13" s="1"/>
  <c r="X82" i="13" s="1"/>
  <c r="N86" i="13"/>
  <c r="H86" i="13"/>
  <c r="W86" i="13" s="1"/>
  <c r="X86" i="13" s="1"/>
  <c r="V90" i="13"/>
  <c r="H90" i="13"/>
  <c r="W90" i="13"/>
  <c r="X90" i="13" s="1"/>
  <c r="V95" i="13"/>
  <c r="N95" i="13"/>
  <c r="T95" i="13" s="1"/>
  <c r="H95" i="13"/>
  <c r="W95" i="13" s="1"/>
  <c r="X95" i="13" s="1"/>
  <c r="H105" i="13"/>
  <c r="W105" i="13" s="1"/>
  <c r="X105" i="13" s="1"/>
  <c r="V105" i="13"/>
  <c r="N105" i="13"/>
  <c r="T105" i="13" s="1"/>
  <c r="S365" i="13"/>
  <c r="H365" i="13"/>
  <c r="H404" i="13"/>
  <c r="L404" i="13" s="1"/>
  <c r="M404" i="13" s="1"/>
  <c r="N404" i="13" s="1"/>
  <c r="U153" i="13"/>
  <c r="L383" i="13"/>
  <c r="M383" i="13" s="1"/>
  <c r="N383" i="13" s="1"/>
  <c r="U148" i="13"/>
  <c r="W333" i="13"/>
  <c r="Y333" i="13" s="1"/>
  <c r="V365" i="13"/>
  <c r="V275" i="13"/>
  <c r="H275" i="13"/>
  <c r="L275" i="13" s="1"/>
  <c r="M275" i="13" s="1"/>
  <c r="N275" i="13" s="1"/>
  <c r="W232" i="13"/>
  <c r="L232" i="13"/>
  <c r="Y232" i="13" s="1"/>
  <c r="H168" i="13"/>
  <c r="V168" i="13"/>
  <c r="H201" i="13"/>
  <c r="W201" i="13"/>
  <c r="V201" i="13"/>
  <c r="H203" i="13"/>
  <c r="L203" i="13"/>
  <c r="X203" i="13" s="1"/>
  <c r="W203" i="13"/>
  <c r="V17" i="13"/>
  <c r="N17" i="13"/>
  <c r="V52" i="13"/>
  <c r="H54" i="13"/>
  <c r="L54" i="13" s="1"/>
  <c r="M54" i="13" s="1"/>
  <c r="N54" i="13" s="1"/>
  <c r="U54" i="13" s="1"/>
  <c r="H137" i="13"/>
  <c r="W137" i="13"/>
  <c r="X137" i="13" s="1"/>
  <c r="V137" i="13"/>
  <c r="N145" i="13"/>
  <c r="V145" i="13"/>
  <c r="V165" i="13"/>
  <c r="H165" i="13"/>
  <c r="H231" i="13"/>
  <c r="W231" i="13"/>
  <c r="V231" i="13"/>
  <c r="H284" i="13"/>
  <c r="W284" i="13" s="1"/>
  <c r="V289" i="13"/>
  <c r="H289" i="13"/>
  <c r="H292" i="13"/>
  <c r="S292" i="13"/>
  <c r="H310" i="13"/>
  <c r="V322" i="13"/>
  <c r="H322" i="13"/>
  <c r="V325" i="13"/>
  <c r="H325" i="13"/>
  <c r="W325" i="13" s="1"/>
  <c r="S325" i="13"/>
  <c r="V328" i="13"/>
  <c r="S328" i="13"/>
  <c r="H328" i="13"/>
  <c r="V334" i="13"/>
  <c r="S334" i="13"/>
  <c r="V337" i="13"/>
  <c r="S337" i="13"/>
  <c r="H337" i="13"/>
  <c r="L337" i="13" s="1"/>
  <c r="M337" i="13" s="1"/>
  <c r="N337" i="13" s="1"/>
  <c r="U337" i="13" s="1"/>
  <c r="V341" i="13"/>
  <c r="H341" i="13"/>
  <c r="S341" i="13"/>
  <c r="V68" i="13"/>
  <c r="H68" i="13"/>
  <c r="V182" i="13"/>
  <c r="L221" i="13"/>
  <c r="X221" i="13" s="1"/>
  <c r="H223" i="13"/>
  <c r="V223" i="13"/>
  <c r="H260" i="13"/>
  <c r="W260" i="13" s="1"/>
  <c r="H268" i="13"/>
  <c r="V353" i="13"/>
  <c r="H356" i="13"/>
  <c r="N27" i="13"/>
  <c r="R27" i="13" s="1"/>
  <c r="H121" i="13"/>
  <c r="W121" i="13"/>
  <c r="X121" i="13" s="1"/>
  <c r="N152" i="13"/>
  <c r="R152" i="13" s="1"/>
  <c r="H351" i="13"/>
  <c r="H288" i="13"/>
  <c r="W288" i="13" s="1"/>
  <c r="H215" i="9"/>
  <c r="L215" i="9" s="1"/>
  <c r="M215" i="9" s="1"/>
  <c r="N215" i="9" s="1"/>
  <c r="H202" i="9"/>
  <c r="H218" i="9"/>
  <c r="L218" i="9" s="1"/>
  <c r="M218" i="9" s="1"/>
  <c r="N218" i="9" s="1"/>
  <c r="H107" i="9"/>
  <c r="W107" i="9" s="1"/>
  <c r="X107" i="9" s="1"/>
  <c r="V173" i="9"/>
  <c r="H53" i="9"/>
  <c r="W53" i="9" s="1"/>
  <c r="V112" i="9"/>
  <c r="V136" i="9"/>
  <c r="S173" i="9"/>
  <c r="V124" i="9"/>
  <c r="H70" i="9"/>
  <c r="H120" i="9"/>
  <c r="V120" i="9"/>
  <c r="S217" i="9"/>
  <c r="S5" i="16"/>
  <c r="H80" i="16"/>
  <c r="W80" i="16" s="1"/>
  <c r="X80" i="16" s="1"/>
  <c r="H81" i="16"/>
  <c r="W81" i="16" s="1"/>
  <c r="X81" i="16" s="1"/>
  <c r="N120" i="16"/>
  <c r="V7" i="16"/>
  <c r="N112" i="16"/>
  <c r="U112" i="16" s="1"/>
  <c r="H134" i="16"/>
  <c r="W134" i="16" s="1"/>
  <c r="X134" i="16" s="1"/>
  <c r="H159" i="16"/>
  <c r="W159" i="16" s="1"/>
  <c r="X159" i="16" s="1"/>
  <c r="H220" i="16"/>
  <c r="V247" i="16"/>
  <c r="S156" i="16"/>
  <c r="H207" i="16"/>
  <c r="H239" i="16"/>
  <c r="W239" i="16" s="1"/>
  <c r="L239" i="16"/>
  <c r="V239" i="16"/>
  <c r="N279" i="16"/>
  <c r="H120" i="16"/>
  <c r="W120" i="16" s="1"/>
  <c r="X120" i="16" s="1"/>
  <c r="H144" i="16"/>
  <c r="W144" i="16" s="1"/>
  <c r="X144" i="16" s="1"/>
  <c r="H152" i="16"/>
  <c r="W152" i="16" s="1"/>
  <c r="X152" i="16" s="1"/>
  <c r="W268" i="16"/>
  <c r="H280" i="16"/>
  <c r="L280" i="16" s="1"/>
  <c r="M280" i="16" s="1"/>
  <c r="H288" i="16"/>
  <c r="V293" i="16"/>
  <c r="V300" i="16"/>
  <c r="H303" i="16"/>
  <c r="H305" i="16"/>
  <c r="V306" i="16"/>
  <c r="H317" i="16"/>
  <c r="H322" i="16"/>
  <c r="W322" i="16" s="1"/>
  <c r="V323" i="16"/>
  <c r="V332" i="16"/>
  <c r="H343" i="16"/>
  <c r="W343" i="16" s="1"/>
  <c r="V390" i="16"/>
  <c r="H390" i="16"/>
  <c r="S413" i="16"/>
  <c r="H413" i="16"/>
  <c r="L413" i="16" s="1"/>
  <c r="M413" i="16" s="1"/>
  <c r="N413" i="16" s="1"/>
  <c r="H426" i="16"/>
  <c r="L300" i="16"/>
  <c r="X300" i="16" s="1"/>
  <c r="S279" i="16"/>
  <c r="V302" i="16"/>
  <c r="L323" i="16"/>
  <c r="V394" i="16"/>
  <c r="H394" i="16"/>
  <c r="W394" i="16" s="1"/>
  <c r="H432" i="16"/>
  <c r="V412" i="16"/>
  <c r="S412" i="16"/>
  <c r="H445" i="16"/>
  <c r="S454" i="16"/>
  <c r="H420" i="16"/>
  <c r="V438" i="16"/>
  <c r="H421" i="16"/>
  <c r="H429" i="16"/>
  <c r="H437" i="16"/>
  <c r="L437" i="16" s="1"/>
  <c r="S439" i="16"/>
  <c r="S443" i="16"/>
  <c r="V421" i="16"/>
  <c r="S427" i="16"/>
  <c r="H53" i="14"/>
  <c r="W53" i="14" s="1"/>
  <c r="X53" i="14" s="1"/>
  <c r="V53" i="14"/>
  <c r="H104" i="14"/>
  <c r="W104" i="14" s="1"/>
  <c r="X104" i="14" s="1"/>
  <c r="N104" i="14"/>
  <c r="H111" i="14"/>
  <c r="W111" i="14" s="1"/>
  <c r="X111" i="14" s="1"/>
  <c r="N111" i="14"/>
  <c r="U111" i="14" s="1"/>
  <c r="V134" i="14"/>
  <c r="H134" i="14"/>
  <c r="V150" i="14"/>
  <c r="H150" i="14"/>
  <c r="V10" i="14"/>
  <c r="H10" i="14"/>
  <c r="W10" i="14"/>
  <c r="X10" i="14" s="1"/>
  <c r="H12" i="14"/>
  <c r="W12" i="14" s="1"/>
  <c r="X12" i="14" s="1"/>
  <c r="V12" i="14"/>
  <c r="V52" i="14"/>
  <c r="H52" i="14"/>
  <c r="W52" i="14" s="1"/>
  <c r="X52" i="14" s="1"/>
  <c r="V56" i="14"/>
  <c r="H56" i="14"/>
  <c r="W56" i="14"/>
  <c r="X56" i="14" s="1"/>
  <c r="R65" i="14"/>
  <c r="H140" i="14"/>
  <c r="V140" i="14"/>
  <c r="N11" i="14"/>
  <c r="H40" i="14"/>
  <c r="W40" i="14"/>
  <c r="X40" i="14" s="1"/>
  <c r="N40" i="14"/>
  <c r="U40" i="14" s="1"/>
  <c r="H59" i="14"/>
  <c r="W59" i="14" s="1"/>
  <c r="X59" i="14"/>
  <c r="H99" i="14"/>
  <c r="W99" i="14"/>
  <c r="X99" i="14" s="1"/>
  <c r="N99" i="14"/>
  <c r="H175" i="14"/>
  <c r="H179" i="14"/>
  <c r="L179" i="14" s="1"/>
  <c r="V179" i="14"/>
  <c r="V183" i="14"/>
  <c r="H183" i="14"/>
  <c r="L183" i="14" s="1"/>
  <c r="L187" i="14"/>
  <c r="M187" i="14" s="1"/>
  <c r="N187" i="14"/>
  <c r="W187" i="14"/>
  <c r="H39" i="14"/>
  <c r="W39" i="14" s="1"/>
  <c r="X39" i="14" s="1"/>
  <c r="V39" i="14"/>
  <c r="V54" i="14"/>
  <c r="H54" i="14"/>
  <c r="W54" i="14"/>
  <c r="X54" i="14" s="1"/>
  <c r="V58" i="14"/>
  <c r="H58" i="14"/>
  <c r="W58" i="14"/>
  <c r="X58" i="14" s="1"/>
  <c r="H66" i="14"/>
  <c r="W66" i="14" s="1"/>
  <c r="X66" i="14"/>
  <c r="N66" i="14"/>
  <c r="U66" i="14" s="1"/>
  <c r="H98" i="14"/>
  <c r="W98" i="14" s="1"/>
  <c r="X98" i="14" s="1"/>
  <c r="H108" i="14"/>
  <c r="W108" i="14" s="1"/>
  <c r="X108" i="14" s="1"/>
  <c r="N108" i="14"/>
  <c r="R108" i="14" s="1"/>
  <c r="H114" i="14"/>
  <c r="W114" i="14" s="1"/>
  <c r="X114" i="14" s="1"/>
  <c r="N113" i="14"/>
  <c r="T113" i="14" s="1"/>
  <c r="V11" i="14"/>
  <c r="V41" i="14"/>
  <c r="H49" i="14"/>
  <c r="W49" i="14" s="1"/>
  <c r="X49" i="14" s="1"/>
  <c r="N67" i="14"/>
  <c r="N68" i="14"/>
  <c r="N69" i="14"/>
  <c r="T69" i="14" s="1"/>
  <c r="V136" i="14"/>
  <c r="V16" i="14"/>
  <c r="N25" i="14"/>
  <c r="N35" i="14"/>
  <c r="T35" i="14" s="1"/>
  <c r="H62" i="14"/>
  <c r="W62" i="14" s="1"/>
  <c r="X62" i="14" s="1"/>
  <c r="N72" i="14"/>
  <c r="R72" i="14" s="1"/>
  <c r="N100" i="14"/>
  <c r="N101" i="14"/>
  <c r="R101" i="14" s="1"/>
  <c r="N105" i="14"/>
  <c r="U105" i="14" s="1"/>
  <c r="R105" i="14"/>
  <c r="N109" i="14"/>
  <c r="T109" i="14" s="1"/>
  <c r="H138" i="14"/>
  <c r="V47" i="15"/>
  <c r="H382" i="15"/>
  <c r="W382" i="15" s="1"/>
  <c r="H418" i="15"/>
  <c r="V314" i="15"/>
  <c r="L164" i="14"/>
  <c r="H7" i="14"/>
  <c r="W7" i="14" s="1"/>
  <c r="X7" i="14" s="1"/>
  <c r="N7" i="14"/>
  <c r="V7" i="14"/>
  <c r="R32" i="14"/>
  <c r="U32" i="14"/>
  <c r="L165" i="14"/>
  <c r="H8" i="14"/>
  <c r="N8" i="14"/>
  <c r="T8" i="14"/>
  <c r="H9" i="14"/>
  <c r="W9" i="14" s="1"/>
  <c r="X9" i="14" s="1"/>
  <c r="N9" i="14"/>
  <c r="V9" i="14"/>
  <c r="H81" i="14"/>
  <c r="W81" i="14"/>
  <c r="X81" i="14" s="1"/>
  <c r="V51" i="14"/>
  <c r="T32" i="14"/>
  <c r="H48" i="14"/>
  <c r="W48" i="14" s="1"/>
  <c r="X48" i="14" s="1"/>
  <c r="V48" i="14"/>
  <c r="N21" i="14"/>
  <c r="V21" i="14"/>
  <c r="H24" i="14"/>
  <c r="W24" i="14" s="1"/>
  <c r="X24" i="14"/>
  <c r="N24" i="14"/>
  <c r="V24" i="14"/>
  <c r="H37" i="14"/>
  <c r="W37" i="14"/>
  <c r="X37" i="14" s="1"/>
  <c r="N37" i="14"/>
  <c r="T37" i="14" s="1"/>
  <c r="V37" i="14"/>
  <c r="H46" i="14"/>
  <c r="W46" i="14" s="1"/>
  <c r="X46" i="14" s="1"/>
  <c r="H75" i="14"/>
  <c r="W75" i="14"/>
  <c r="X75" i="14" s="1"/>
  <c r="N75" i="14"/>
  <c r="V5" i="14"/>
  <c r="N17" i="14"/>
  <c r="V17" i="14"/>
  <c r="V20" i="14"/>
  <c r="H45" i="14"/>
  <c r="W45" i="14" s="1"/>
  <c r="X45" i="14" s="1"/>
  <c r="V45" i="14"/>
  <c r="H57" i="14"/>
  <c r="W57" i="14" s="1"/>
  <c r="X57" i="14" s="1"/>
  <c r="V57" i="14"/>
  <c r="N74" i="14"/>
  <c r="T74" i="14" s="1"/>
  <c r="H74" i="14"/>
  <c r="W74" i="14"/>
  <c r="X74" i="14" s="1"/>
  <c r="H86" i="14"/>
  <c r="W86" i="14" s="1"/>
  <c r="X86" i="14" s="1"/>
  <c r="H92" i="14"/>
  <c r="W92" i="14" s="1"/>
  <c r="X92" i="14"/>
  <c r="H96" i="14"/>
  <c r="W96" i="14" s="1"/>
  <c r="X96" i="14" s="1"/>
  <c r="N96" i="14"/>
  <c r="V147" i="14"/>
  <c r="H147" i="14"/>
  <c r="H26" i="14"/>
  <c r="W26" i="14"/>
  <c r="X26" i="14" s="1"/>
  <c r="N26" i="14"/>
  <c r="U26" i="14"/>
  <c r="V36" i="14"/>
  <c r="V40" i="14"/>
  <c r="N53" i="14"/>
  <c r="V60" i="14"/>
  <c r="H76" i="14"/>
  <c r="W76" i="14" s="1"/>
  <c r="X76" i="14" s="1"/>
  <c r="N76" i="14"/>
  <c r="H83" i="14"/>
  <c r="W83" i="14" s="1"/>
  <c r="X83" i="14" s="1"/>
  <c r="N83" i="14"/>
  <c r="U83" i="14" s="1"/>
  <c r="H88" i="14"/>
  <c r="W88" i="14" s="1"/>
  <c r="X88" i="14" s="1"/>
  <c r="N88" i="14"/>
  <c r="T88" i="14" s="1"/>
  <c r="H95" i="14"/>
  <c r="W95" i="14" s="1"/>
  <c r="X95" i="14" s="1"/>
  <c r="N95" i="14"/>
  <c r="V135" i="14"/>
  <c r="H135" i="14"/>
  <c r="W135" i="14"/>
  <c r="V151" i="14"/>
  <c r="H151" i="14"/>
  <c r="W151" i="14" s="1"/>
  <c r="V25" i="14"/>
  <c r="V34" i="14"/>
  <c r="H77" i="14"/>
  <c r="W77" i="14" s="1"/>
  <c r="X77" i="14" s="1"/>
  <c r="N77" i="14"/>
  <c r="H84" i="14"/>
  <c r="W84" i="14" s="1"/>
  <c r="X84" i="14" s="1"/>
  <c r="X89" i="14"/>
  <c r="H94" i="14"/>
  <c r="W94" i="14"/>
  <c r="X94" i="14" s="1"/>
  <c r="H107" i="14"/>
  <c r="W107" i="14" s="1"/>
  <c r="X107" i="14" s="1"/>
  <c r="N107" i="14"/>
  <c r="T107" i="14" s="1"/>
  <c r="V139" i="14"/>
  <c r="H139" i="14"/>
  <c r="W139" i="14" s="1"/>
  <c r="V197" i="14"/>
  <c r="H197" i="14"/>
  <c r="H78" i="14"/>
  <c r="W78" i="14" s="1"/>
  <c r="X78" i="14" s="1"/>
  <c r="H79" i="14"/>
  <c r="W79" i="14"/>
  <c r="X79" i="14"/>
  <c r="N79" i="14"/>
  <c r="T79" i="14" s="1"/>
  <c r="H85" i="14"/>
  <c r="W85" i="14" s="1"/>
  <c r="X85" i="14" s="1"/>
  <c r="N85" i="14"/>
  <c r="T85" i="14"/>
  <c r="H90" i="14"/>
  <c r="W90" i="14"/>
  <c r="X90" i="14" s="1"/>
  <c r="H91" i="14"/>
  <c r="W91" i="14" s="1"/>
  <c r="X91" i="14" s="1"/>
  <c r="N91" i="14"/>
  <c r="H93" i="14"/>
  <c r="W93" i="14" s="1"/>
  <c r="X93" i="14" s="1"/>
  <c r="N93" i="14"/>
  <c r="T93" i="14" s="1"/>
  <c r="H97" i="14"/>
  <c r="W97" i="14" s="1"/>
  <c r="X97" i="14" s="1"/>
  <c r="H115" i="14"/>
  <c r="W115" i="14"/>
  <c r="X115" i="14" s="1"/>
  <c r="N115" i="14"/>
  <c r="U115" i="14" s="1"/>
  <c r="V143" i="14"/>
  <c r="H143" i="14"/>
  <c r="W143" i="14" s="1"/>
  <c r="V152" i="14"/>
  <c r="H152" i="14"/>
  <c r="W152" i="14" s="1"/>
  <c r="V131" i="14"/>
  <c r="H196" i="14"/>
  <c r="V190" i="14"/>
  <c r="V194" i="14"/>
  <c r="L191" i="13"/>
  <c r="M191" i="13" s="1"/>
  <c r="N191" i="13" s="1"/>
  <c r="U191" i="13" s="1"/>
  <c r="L368" i="13"/>
  <c r="M368" i="13" s="1"/>
  <c r="N368" i="13" s="1"/>
  <c r="U368" i="13" s="1"/>
  <c r="T150" i="13"/>
  <c r="W348" i="13"/>
  <c r="W229" i="13"/>
  <c r="L229" i="13"/>
  <c r="T155" i="13"/>
  <c r="H67" i="13"/>
  <c r="W67" i="13" s="1"/>
  <c r="V67" i="13"/>
  <c r="H92" i="13"/>
  <c r="W92" i="13" s="1"/>
  <c r="X92" i="13" s="1"/>
  <c r="N92" i="13"/>
  <c r="H53" i="10"/>
  <c r="W53" i="10" s="1"/>
  <c r="X53" i="10" s="1"/>
  <c r="H331" i="10"/>
  <c r="H99" i="10"/>
  <c r="W99" i="10" s="1"/>
  <c r="X99" i="10" s="1"/>
  <c r="S18" i="10"/>
  <c r="F18" i="10"/>
  <c r="F8" i="10"/>
  <c r="S21" i="10"/>
  <c r="F124" i="10"/>
  <c r="F129" i="10"/>
  <c r="V129" i="10" s="1"/>
  <c r="F205" i="10"/>
  <c r="S41" i="10"/>
  <c r="F50" i="10"/>
  <c r="S116" i="10"/>
  <c r="S117" i="10"/>
  <c r="S120" i="10"/>
  <c r="U62" i="9"/>
  <c r="H157" i="9"/>
  <c r="W157" i="9" s="1"/>
  <c r="V46" i="9"/>
  <c r="H66" i="9"/>
  <c r="S199" i="9"/>
  <c r="H199" i="9"/>
  <c r="L199" i="9" s="1"/>
  <c r="M199" i="9" s="1"/>
  <c r="N199" i="9" s="1"/>
  <c r="U199" i="9" s="1"/>
  <c r="W62" i="9"/>
  <c r="X62" i="9" s="1"/>
  <c r="W136" i="9"/>
  <c r="H213" i="9"/>
  <c r="L213" i="9" s="1"/>
  <c r="V151" i="9"/>
  <c r="V102" i="9"/>
  <c r="V122" i="9"/>
  <c r="H122" i="9"/>
  <c r="L122" i="9" s="1"/>
  <c r="V134" i="9"/>
  <c r="H195" i="9"/>
  <c r="L195" i="9" s="1"/>
  <c r="M195" i="9" s="1"/>
  <c r="N195" i="9" s="1"/>
  <c r="S195" i="9"/>
  <c r="S60" i="9"/>
  <c r="F60" i="9"/>
  <c r="U29" i="13"/>
  <c r="U159" i="13"/>
  <c r="R40" i="13"/>
  <c r="W72" i="13"/>
  <c r="L163" i="13"/>
  <c r="L204" i="13"/>
  <c r="M204" i="13" s="1"/>
  <c r="N204" i="13" s="1"/>
  <c r="W262" i="13"/>
  <c r="T40" i="13"/>
  <c r="W219" i="13"/>
  <c r="L219" i="13"/>
  <c r="M219" i="13" s="1"/>
  <c r="N219" i="13" s="1"/>
  <c r="R155" i="13"/>
  <c r="U155" i="13"/>
  <c r="R8" i="13"/>
  <c r="U8" i="13"/>
  <c r="L242" i="13"/>
  <c r="L73" i="13"/>
  <c r="M73" i="13" s="1"/>
  <c r="N73" i="13" s="1"/>
  <c r="T73" i="13" s="1"/>
  <c r="U65" i="9"/>
  <c r="W266" i="13"/>
  <c r="L266" i="13"/>
  <c r="X266" i="13" s="1"/>
  <c r="W189" i="13"/>
  <c r="L181" i="13"/>
  <c r="W164" i="13"/>
  <c r="T24" i="13"/>
  <c r="M334" i="13"/>
  <c r="N334" i="13" s="1"/>
  <c r="R17" i="13"/>
  <c r="U86" i="13"/>
  <c r="W341" i="13"/>
  <c r="L367" i="13"/>
  <c r="X367" i="13" s="1"/>
  <c r="L201" i="13"/>
  <c r="T34" i="13"/>
  <c r="R34" i="13"/>
  <c r="U34" i="13"/>
  <c r="T30" i="13"/>
  <c r="L364" i="13"/>
  <c r="M364" i="13" s="1"/>
  <c r="N364" i="13" s="1"/>
  <c r="T364" i="13" s="1"/>
  <c r="U99" i="14"/>
  <c r="U69" i="14"/>
  <c r="T104" i="14"/>
  <c r="W145" i="14"/>
  <c r="R40" i="14"/>
  <c r="T40" i="14"/>
  <c r="R66" i="14"/>
  <c r="T66" i="14"/>
  <c r="W179" i="14"/>
  <c r="R37" i="14"/>
  <c r="U37" i="14"/>
  <c r="R83" i="14"/>
  <c r="U53" i="14"/>
  <c r="L135" i="14"/>
  <c r="M135" i="14" s="1"/>
  <c r="N135" i="14" s="1"/>
  <c r="U17" i="14"/>
  <c r="T26" i="14"/>
  <c r="R26" i="14"/>
  <c r="R93" i="14"/>
  <c r="U93" i="14"/>
  <c r="R79" i="14"/>
  <c r="M229" i="13"/>
  <c r="N229" i="13" s="1"/>
  <c r="T229" i="13" s="1"/>
  <c r="W97" i="9"/>
  <c r="X97" i="9" s="1"/>
  <c r="M217" i="13"/>
  <c r="N217" i="13" s="1"/>
  <c r="M245" i="13"/>
  <c r="N245" i="13" s="1"/>
  <c r="U245" i="13" s="1"/>
  <c r="M181" i="13"/>
  <c r="N181" i="13" s="1"/>
  <c r="U83" i="9"/>
  <c r="U97" i="9"/>
  <c r="T43" i="17"/>
  <c r="U43" i="17" s="1"/>
  <c r="R38" i="17"/>
  <c r="R39" i="17"/>
  <c r="V112" i="16"/>
  <c r="H112" i="16"/>
  <c r="W112" i="16" s="1"/>
  <c r="X112" i="16" s="1"/>
  <c r="H174" i="16"/>
  <c r="W174" i="16" s="1"/>
  <c r="X174" i="16" s="1"/>
  <c r="S431" i="16"/>
  <c r="L431" i="16"/>
  <c r="V31" i="16"/>
  <c r="H65" i="16"/>
  <c r="W65" i="16" s="1"/>
  <c r="X65" i="16" s="1"/>
  <c r="V65" i="16"/>
  <c r="H69" i="16"/>
  <c r="W69" i="16" s="1"/>
  <c r="X69" i="16" s="1"/>
  <c r="N69" i="16"/>
  <c r="V69" i="16"/>
  <c r="H85" i="16"/>
  <c r="W85" i="16" s="1"/>
  <c r="X85" i="16" s="1"/>
  <c r="N85" i="16"/>
  <c r="V85" i="16"/>
  <c r="H148" i="16"/>
  <c r="W148" i="16" s="1"/>
  <c r="X148" i="16" s="1"/>
  <c r="L247" i="16"/>
  <c r="M247" i="16" s="1"/>
  <c r="N247" i="16" s="1"/>
  <c r="V431" i="16"/>
  <c r="H116" i="16"/>
  <c r="W116" i="16" s="1"/>
  <c r="X116" i="16" s="1"/>
  <c r="V116" i="16"/>
  <c r="V128" i="16"/>
  <c r="H128" i="16"/>
  <c r="W128" i="16" s="1"/>
  <c r="X128" i="16" s="1"/>
  <c r="V426" i="16"/>
  <c r="S426" i="16"/>
  <c r="V183" i="16"/>
  <c r="V191" i="16"/>
  <c r="H191" i="16"/>
  <c r="L191" i="16" s="1"/>
  <c r="H331" i="16"/>
  <c r="W331" i="16" s="1"/>
  <c r="H423" i="16"/>
  <c r="S423" i="16"/>
  <c r="S455" i="16"/>
  <c r="W372" i="16"/>
  <c r="H75" i="16"/>
  <c r="W75" i="16" s="1"/>
  <c r="X75" i="16" s="1"/>
  <c r="N150" i="16"/>
  <c r="V150" i="16"/>
  <c r="H150" i="16"/>
  <c r="W150" i="16" s="1"/>
  <c r="X150" i="16" s="1"/>
  <c r="H219" i="16"/>
  <c r="W219" i="16" s="1"/>
  <c r="V235" i="16"/>
  <c r="H250" i="16"/>
  <c r="H161" i="16"/>
  <c r="W161" i="16" s="1"/>
  <c r="X161" i="16" s="1"/>
  <c r="V209" i="16"/>
  <c r="N65" i="16"/>
  <c r="U65" i="16" s="1"/>
  <c r="N149" i="16"/>
  <c r="H182" i="16"/>
  <c r="W182" i="16" s="1"/>
  <c r="X182" i="16" s="1"/>
  <c r="V237" i="16"/>
  <c r="H244" i="16"/>
  <c r="L244" i="16" s="1"/>
  <c r="M244" i="16" s="1"/>
  <c r="N244" i="16" s="1"/>
  <c r="U244" i="16" s="1"/>
  <c r="N132" i="16"/>
  <c r="N154" i="16"/>
  <c r="H233" i="16"/>
  <c r="V233" i="16"/>
  <c r="V290" i="16"/>
  <c r="V307" i="16"/>
  <c r="H307" i="16"/>
  <c r="N6" i="16"/>
  <c r="N46" i="16"/>
  <c r="N116" i="16"/>
  <c r="R116" i="16" s="1"/>
  <c r="N137" i="16"/>
  <c r="R137" i="16" s="1"/>
  <c r="N168" i="16"/>
  <c r="V178" i="16"/>
  <c r="W260" i="16"/>
  <c r="L260" i="16"/>
  <c r="M260" i="16" s="1"/>
  <c r="N260" i="16" s="1"/>
  <c r="H292" i="16"/>
  <c r="V292" i="16"/>
  <c r="H349" i="16"/>
  <c r="H443" i="16"/>
  <c r="N86" i="16"/>
  <c r="H294" i="16"/>
  <c r="L294" i="16" s="1"/>
  <c r="V294" i="16"/>
  <c r="L302" i="16"/>
  <c r="M302" i="16" s="1"/>
  <c r="N302" i="16" s="1"/>
  <c r="W302" i="16"/>
  <c r="V338" i="16"/>
  <c r="H316" i="16"/>
  <c r="W316" i="16" s="1"/>
  <c r="H344" i="16"/>
  <c r="S448" i="16"/>
  <c r="M392" i="16"/>
  <c r="N392" i="16" s="1"/>
  <c r="R15" i="16"/>
  <c r="W400" i="16"/>
  <c r="L400" i="16"/>
  <c r="W293" i="16"/>
  <c r="L293" i="16"/>
  <c r="M293" i="16" s="1"/>
  <c r="N293" i="16" s="1"/>
  <c r="W406" i="16"/>
  <c r="L406" i="16"/>
  <c r="W255" i="16"/>
  <c r="L255" i="16"/>
  <c r="M255" i="16" s="1"/>
  <c r="N255" i="16" s="1"/>
  <c r="V319" i="15"/>
  <c r="S482" i="15"/>
  <c r="V482" i="15"/>
  <c r="W482" i="15" s="1"/>
  <c r="V366" i="15"/>
  <c r="V334" i="15"/>
  <c r="H330" i="15"/>
  <c r="H326" i="15"/>
  <c r="W326" i="15" s="1"/>
  <c r="V294" i="15"/>
  <c r="R12" i="14"/>
  <c r="W177" i="14"/>
  <c r="U88" i="14"/>
  <c r="R95" i="14"/>
  <c r="W183" i="14"/>
  <c r="T105" i="14"/>
  <c r="H42" i="14"/>
  <c r="W42" i="14" s="1"/>
  <c r="X42" i="14" s="1"/>
  <c r="H15" i="14"/>
  <c r="W15" i="14" s="1"/>
  <c r="X15" i="14" s="1"/>
  <c r="L160" i="14"/>
  <c r="W199" i="14"/>
  <c r="H60" i="14"/>
  <c r="W60" i="14"/>
  <c r="X60" i="14" s="1"/>
  <c r="N60" i="14"/>
  <c r="T60" i="14" s="1"/>
  <c r="H159" i="14"/>
  <c r="V159" i="14"/>
  <c r="H161" i="14"/>
  <c r="L161" i="14" s="1"/>
  <c r="V161" i="14"/>
  <c r="V170" i="14"/>
  <c r="H170" i="14"/>
  <c r="L170" i="14" s="1"/>
  <c r="M170" i="14" s="1"/>
  <c r="N170" i="14" s="1"/>
  <c r="U79" i="14"/>
  <c r="L119" i="14"/>
  <c r="M119" i="14" s="1"/>
  <c r="N119" i="14" s="1"/>
  <c r="T119" i="14" s="1"/>
  <c r="W119" i="14"/>
  <c r="L157" i="14"/>
  <c r="M157" i="14"/>
  <c r="N157" i="14" s="1"/>
  <c r="W157" i="14"/>
  <c r="W158" i="14"/>
  <c r="X158" i="14"/>
  <c r="H106" i="14"/>
  <c r="W106" i="14" s="1"/>
  <c r="X106" i="14" s="1"/>
  <c r="V106" i="14"/>
  <c r="H110" i="14"/>
  <c r="W110" i="14"/>
  <c r="X110" i="14" s="1"/>
  <c r="H120" i="14"/>
  <c r="L120" i="14" s="1"/>
  <c r="V120" i="14"/>
  <c r="V122" i="14"/>
  <c r="H122" i="14"/>
  <c r="H126" i="14"/>
  <c r="L126" i="14" s="1"/>
  <c r="W126" i="14"/>
  <c r="H154" i="14"/>
  <c r="L154" i="14"/>
  <c r="V154" i="14"/>
  <c r="N15" i="14"/>
  <c r="X174" i="14"/>
  <c r="H27" i="14"/>
  <c r="W27" i="14" s="1"/>
  <c r="X27" i="14" s="1"/>
  <c r="H30" i="14"/>
  <c r="W30" i="14" s="1"/>
  <c r="X30" i="14" s="1"/>
  <c r="V30" i="14"/>
  <c r="V189" i="14"/>
  <c r="N6" i="14"/>
  <c r="N29" i="14"/>
  <c r="T29" i="14" s="1"/>
  <c r="N36" i="14"/>
  <c r="U36" i="14" s="1"/>
  <c r="N39" i="14"/>
  <c r="U39" i="14" s="1"/>
  <c r="N42" i="14"/>
  <c r="N44" i="14"/>
  <c r="U44" i="14" s="1"/>
  <c r="H61" i="14"/>
  <c r="W61" i="14" s="1"/>
  <c r="X61" i="14" s="1"/>
  <c r="H65" i="14"/>
  <c r="W65" i="14" s="1"/>
  <c r="X65" i="14" s="1"/>
  <c r="N86" i="14"/>
  <c r="R86" i="14" s="1"/>
  <c r="N94" i="14"/>
  <c r="N106" i="14"/>
  <c r="T106" i="14" s="1"/>
  <c r="N114" i="14"/>
  <c r="T114" i="14" s="1"/>
  <c r="V142" i="14"/>
  <c r="N16" i="14"/>
  <c r="N31" i="14"/>
  <c r="R31" i="14" s="1"/>
  <c r="N47" i="14"/>
  <c r="U47" i="14" s="1"/>
  <c r="N63" i="14"/>
  <c r="R44" i="14"/>
  <c r="M177" i="14"/>
  <c r="N177" i="14"/>
  <c r="T177" i="14" s="1"/>
  <c r="W153" i="14"/>
  <c r="L153" i="14"/>
  <c r="U8" i="14"/>
  <c r="T68" i="14"/>
  <c r="T25" i="14"/>
  <c r="T55" i="14"/>
  <c r="W136" i="14"/>
  <c r="L136" i="14"/>
  <c r="M136" i="14" s="1"/>
  <c r="N136" i="14" s="1"/>
  <c r="U24" i="14"/>
  <c r="U62" i="14"/>
  <c r="U55" i="14"/>
  <c r="W121" i="14"/>
  <c r="W168" i="14"/>
  <c r="X168" i="14" s="1"/>
  <c r="L168" i="14"/>
  <c r="M168" i="14" s="1"/>
  <c r="N168" i="14" s="1"/>
  <c r="T48" i="14"/>
  <c r="U48" i="14"/>
  <c r="U49" i="14"/>
  <c r="T49" i="14"/>
  <c r="L198" i="14"/>
  <c r="M198" i="14" s="1"/>
  <c r="N198" i="14" s="1"/>
  <c r="W198" i="14"/>
  <c r="T62" i="14"/>
  <c r="M165" i="14"/>
  <c r="R52" i="14"/>
  <c r="R11" i="14"/>
  <c r="L194" i="14"/>
  <c r="X194" i="14" s="1"/>
  <c r="L151" i="14"/>
  <c r="M151" i="14" s="1"/>
  <c r="N151" i="14" s="1"/>
  <c r="R49" i="14"/>
  <c r="U132" i="14"/>
  <c r="T132" i="14"/>
  <c r="R30" i="14"/>
  <c r="U30" i="14"/>
  <c r="L156" i="14"/>
  <c r="M156" i="14" s="1"/>
  <c r="N156" i="14" s="1"/>
  <c r="W156" i="14"/>
  <c r="R48" i="14"/>
  <c r="W128" i="14"/>
  <c r="L128" i="14"/>
  <c r="R29" i="14"/>
  <c r="W125" i="14"/>
  <c r="H386" i="13"/>
  <c r="W386" i="13" s="1"/>
  <c r="V8" i="13"/>
  <c r="M163" i="13"/>
  <c r="N163" i="13" s="1"/>
  <c r="X163" i="13"/>
  <c r="L268" i="13"/>
  <c r="W268" i="13"/>
  <c r="L359" i="13"/>
  <c r="M359" i="13"/>
  <c r="N359" i="13" s="1"/>
  <c r="U359" i="13" s="1"/>
  <c r="L79" i="13"/>
  <c r="M79" i="13" s="1"/>
  <c r="N79" i="13" s="1"/>
  <c r="W53" i="13"/>
  <c r="X53" i="13" s="1"/>
  <c r="U127" i="13"/>
  <c r="N103" i="13"/>
  <c r="U103" i="13" s="1"/>
  <c r="H103" i="13"/>
  <c r="W103" i="13" s="1"/>
  <c r="X103" i="13" s="1"/>
  <c r="V103" i="13"/>
  <c r="H110" i="13"/>
  <c r="W110" i="13"/>
  <c r="X110" i="13" s="1"/>
  <c r="N110" i="13"/>
  <c r="H120" i="13"/>
  <c r="W120" i="13"/>
  <c r="X120" i="13" s="1"/>
  <c r="V120" i="13"/>
  <c r="N120" i="13"/>
  <c r="R120" i="13" s="1"/>
  <c r="H146" i="13"/>
  <c r="W146" i="13" s="1"/>
  <c r="X146" i="13" s="1"/>
  <c r="N146" i="13"/>
  <c r="R146" i="13" s="1"/>
  <c r="N149" i="13"/>
  <c r="T149" i="13" s="1"/>
  <c r="V149" i="13"/>
  <c r="V176" i="13"/>
  <c r="N176" i="13"/>
  <c r="T176" i="13" s="1"/>
  <c r="V185" i="13"/>
  <c r="H185" i="13"/>
  <c r="L197" i="13"/>
  <c r="H207" i="13"/>
  <c r="W207" i="13"/>
  <c r="V207" i="13"/>
  <c r="V222" i="13"/>
  <c r="H222" i="13"/>
  <c r="L222" i="13" s="1"/>
  <c r="V224" i="13"/>
  <c r="H224" i="13"/>
  <c r="U140" i="13"/>
  <c r="U39" i="13"/>
  <c r="R39" i="13"/>
  <c r="L370" i="13"/>
  <c r="M370" i="13" s="1"/>
  <c r="N370" i="13" s="1"/>
  <c r="T370" i="13" s="1"/>
  <c r="T48" i="13"/>
  <c r="R48" i="13"/>
  <c r="L71" i="13"/>
  <c r="M71" i="13" s="1"/>
  <c r="N71" i="13" s="1"/>
  <c r="R71" i="13" s="1"/>
  <c r="M170" i="13"/>
  <c r="N170" i="13"/>
  <c r="U170" i="13" s="1"/>
  <c r="M281" i="13"/>
  <c r="N281" i="13"/>
  <c r="V70" i="13"/>
  <c r="H70" i="13"/>
  <c r="W70" i="13" s="1"/>
  <c r="H102" i="13"/>
  <c r="W102" i="13" s="1"/>
  <c r="X102" i="13" s="1"/>
  <c r="V102" i="13"/>
  <c r="N102" i="13"/>
  <c r="H109" i="13"/>
  <c r="W109" i="13" s="1"/>
  <c r="X109" i="13" s="1"/>
  <c r="V109" i="13"/>
  <c r="V116" i="13"/>
  <c r="N117" i="13"/>
  <c r="V117" i="13"/>
  <c r="V157" i="13"/>
  <c r="H157" i="13"/>
  <c r="W157" i="13" s="1"/>
  <c r="X157" i="13" s="1"/>
  <c r="N157" i="13"/>
  <c r="U157" i="13" s="1"/>
  <c r="V161" i="13"/>
  <c r="H161" i="13"/>
  <c r="W161" i="13" s="1"/>
  <c r="X161" i="13" s="1"/>
  <c r="V178" i="13"/>
  <c r="H180" i="13"/>
  <c r="W180" i="13" s="1"/>
  <c r="H187" i="13"/>
  <c r="W187" i="13" s="1"/>
  <c r="H282" i="13"/>
  <c r="W282" i="13" s="1"/>
  <c r="L282" i="13"/>
  <c r="M282" i="13" s="1"/>
  <c r="N282" i="13" s="1"/>
  <c r="T282" i="13" s="1"/>
  <c r="V282" i="13"/>
  <c r="S305" i="13"/>
  <c r="V305" i="13"/>
  <c r="S309" i="13"/>
  <c r="V309" i="13"/>
  <c r="H309" i="13"/>
  <c r="S312" i="13"/>
  <c r="H312" i="13"/>
  <c r="W312" i="13"/>
  <c r="V312" i="13"/>
  <c r="H319" i="13"/>
  <c r="L319" i="13" s="1"/>
  <c r="V319" i="13"/>
  <c r="S339" i="13"/>
  <c r="V339" i="13"/>
  <c r="H339" i="13"/>
  <c r="W339" i="13" s="1"/>
  <c r="V349" i="13"/>
  <c r="S349" i="13"/>
  <c r="H349" i="13"/>
  <c r="L349" i="13"/>
  <c r="H353" i="13"/>
  <c r="V369" i="13"/>
  <c r="H373" i="13"/>
  <c r="S373" i="13"/>
  <c r="L373" i="13"/>
  <c r="V373" i="13"/>
  <c r="S377" i="13"/>
  <c r="V377" i="13"/>
  <c r="H418" i="13"/>
  <c r="L418" i="13" s="1"/>
  <c r="M418" i="13" s="1"/>
  <c r="N418" i="13" s="1"/>
  <c r="U26" i="13"/>
  <c r="L66" i="13"/>
  <c r="M66" i="13" s="1"/>
  <c r="N66" i="13" s="1"/>
  <c r="S353" i="13"/>
  <c r="H149" i="13"/>
  <c r="W149" i="13" s="1"/>
  <c r="X149" i="13" s="1"/>
  <c r="T107" i="13"/>
  <c r="L226" i="13"/>
  <c r="X226" i="13" s="1"/>
  <c r="H377" i="13"/>
  <c r="W377" i="13"/>
  <c r="W60" i="13"/>
  <c r="L381" i="13"/>
  <c r="T39" i="13"/>
  <c r="V94" i="13"/>
  <c r="L284" i="13"/>
  <c r="M284" i="13" s="1"/>
  <c r="N284" i="13" s="1"/>
  <c r="T284" i="13" s="1"/>
  <c r="T17" i="13"/>
  <c r="U17" i="13"/>
  <c r="N161" i="13"/>
  <c r="W345" i="13"/>
  <c r="W218" i="13"/>
  <c r="H116" i="13"/>
  <c r="W116" i="13" s="1"/>
  <c r="X116" i="13" s="1"/>
  <c r="H305" i="13"/>
  <c r="W305" i="13" s="1"/>
  <c r="Y305" i="13" s="1"/>
  <c r="W317" i="13"/>
  <c r="Y317" i="13" s="1"/>
  <c r="U158" i="13"/>
  <c r="R104" i="13"/>
  <c r="L65" i="13"/>
  <c r="M65" i="13" s="1"/>
  <c r="U15" i="13"/>
  <c r="T15" i="13"/>
  <c r="W249" i="13"/>
  <c r="Y249" i="13" s="1"/>
  <c r="L249" i="13"/>
  <c r="M249" i="13" s="1"/>
  <c r="N249" i="13" s="1"/>
  <c r="W316" i="13"/>
  <c r="Y316" i="13" s="1"/>
  <c r="L316" i="13"/>
  <c r="M316" i="13" s="1"/>
  <c r="N316" i="13" s="1"/>
  <c r="U316" i="13" s="1"/>
  <c r="W69" i="13"/>
  <c r="T35" i="13"/>
  <c r="U35" i="13"/>
  <c r="V46" i="13"/>
  <c r="H46" i="13"/>
  <c r="W46" i="13" s="1"/>
  <c r="X46" i="13" s="1"/>
  <c r="H167" i="13"/>
  <c r="W167" i="13" s="1"/>
  <c r="V167" i="13"/>
  <c r="H240" i="13"/>
  <c r="W240" i="13" s="1"/>
  <c r="V240" i="13"/>
  <c r="H279" i="13"/>
  <c r="L279" i="13" s="1"/>
  <c r="V279" i="13"/>
  <c r="V385" i="13"/>
  <c r="S385" i="13"/>
  <c r="L391" i="13"/>
  <c r="M391" i="13" s="1"/>
  <c r="N391" i="13" s="1"/>
  <c r="H388" i="13"/>
  <c r="L388" i="13" s="1"/>
  <c r="M388" i="13" s="1"/>
  <c r="N388" i="13" s="1"/>
  <c r="L410" i="13"/>
  <c r="M410" i="13" s="1"/>
  <c r="N410" i="13" s="1"/>
  <c r="N36" i="13"/>
  <c r="R36" i="13" s="1"/>
  <c r="U36" i="13"/>
  <c r="V229" i="13"/>
  <c r="V35" i="13"/>
  <c r="V299" i="13"/>
  <c r="R35" i="13"/>
  <c r="N46" i="13"/>
  <c r="V313" i="13"/>
  <c r="H13" i="13"/>
  <c r="W13" i="13" s="1"/>
  <c r="X13" i="13" s="1"/>
  <c r="L343" i="13"/>
  <c r="W343" i="13"/>
  <c r="N13" i="13"/>
  <c r="T13" i="13" s="1"/>
  <c r="H220" i="13"/>
  <c r="W220" i="13"/>
  <c r="L220" i="13"/>
  <c r="X220" i="13" s="1"/>
  <c r="H235" i="13"/>
  <c r="L235" i="13"/>
  <c r="M235" i="13" s="1"/>
  <c r="N235" i="13" s="1"/>
  <c r="T235" i="13" s="1"/>
  <c r="V253" i="13"/>
  <c r="H253" i="13"/>
  <c r="N12" i="13"/>
  <c r="U12" i="13" s="1"/>
  <c r="N94" i="13"/>
  <c r="U94" i="13" s="1"/>
  <c r="T94" i="13"/>
  <c r="S323" i="13"/>
  <c r="V323" i="13"/>
  <c r="L396" i="13"/>
  <c r="M396" i="13" s="1"/>
  <c r="N396" i="13" s="1"/>
  <c r="H409" i="13"/>
  <c r="L409" i="13" s="1"/>
  <c r="M409" i="13" s="1"/>
  <c r="N409" i="13" s="1"/>
  <c r="V23" i="13"/>
  <c r="V11" i="13"/>
  <c r="H274" i="13"/>
  <c r="N16" i="13"/>
  <c r="R16" i="13" s="1"/>
  <c r="N21" i="13"/>
  <c r="H21" i="13"/>
  <c r="W21" i="13" s="1"/>
  <c r="X21" i="13" s="1"/>
  <c r="N23" i="13"/>
  <c r="U23" i="13" s="1"/>
  <c r="H89" i="13"/>
  <c r="W89" i="13" s="1"/>
  <c r="X89" i="13" s="1"/>
  <c r="V89" i="13"/>
  <c r="H321" i="13"/>
  <c r="S321" i="13"/>
  <c r="S335" i="13"/>
  <c r="H335" i="13"/>
  <c r="L335" i="13"/>
  <c r="S380" i="13"/>
  <c r="H380" i="13"/>
  <c r="L380" i="13" s="1"/>
  <c r="M380" i="13" s="1"/>
  <c r="N380" i="13" s="1"/>
  <c r="L390" i="13"/>
  <c r="M390" i="13" s="1"/>
  <c r="N390" i="13" s="1"/>
  <c r="H413" i="13"/>
  <c r="L413" i="13"/>
  <c r="M413" i="13" s="1"/>
  <c r="N413" i="13" s="1"/>
  <c r="N44" i="13"/>
  <c r="U44" i="13" s="1"/>
  <c r="N101" i="13"/>
  <c r="R101" i="13" s="1"/>
  <c r="N130" i="13"/>
  <c r="R130" i="13" s="1"/>
  <c r="N131" i="13"/>
  <c r="T131" i="13" s="1"/>
  <c r="N144" i="13"/>
  <c r="R144" i="13" s="1"/>
  <c r="N9" i="13"/>
  <c r="R9" i="13" s="1"/>
  <c r="N135" i="13"/>
  <c r="T114" i="13"/>
  <c r="M221" i="13"/>
  <c r="N221" i="13" s="1"/>
  <c r="T221" i="13" s="1"/>
  <c r="L314" i="13"/>
  <c r="L261" i="13"/>
  <c r="M261" i="13" s="1"/>
  <c r="N261" i="13" s="1"/>
  <c r="T261" i="13" s="1"/>
  <c r="R105" i="13"/>
  <c r="R94" i="13"/>
  <c r="W277" i="13"/>
  <c r="Y277" i="13" s="1"/>
  <c r="L277" i="13"/>
  <c r="L299" i="13"/>
  <c r="M299" i="13" s="1"/>
  <c r="N299" i="13" s="1"/>
  <c r="T299" i="13" s="1"/>
  <c r="W299" i="13"/>
  <c r="W223" i="13"/>
  <c r="X223" i="13" s="1"/>
  <c r="L223" i="13"/>
  <c r="M223" i="13" s="1"/>
  <c r="N223" i="13" s="1"/>
  <c r="W54" i="13"/>
  <c r="U95" i="13"/>
  <c r="R157" i="13"/>
  <c r="T129" i="13"/>
  <c r="R129" i="13"/>
  <c r="U93" i="13"/>
  <c r="W230" i="13"/>
  <c r="L230" i="13"/>
  <c r="Y230" i="13" s="1"/>
  <c r="U85" i="13"/>
  <c r="R90" i="13"/>
  <c r="T11" i="13"/>
  <c r="W287" i="13"/>
  <c r="L287" i="13"/>
  <c r="M287" i="13" s="1"/>
  <c r="N287" i="13" s="1"/>
  <c r="T287" i="13" s="1"/>
  <c r="U143" i="13"/>
  <c r="T143" i="13"/>
  <c r="R143" i="13"/>
  <c r="L294" i="13"/>
  <c r="X294" i="13"/>
  <c r="W294" i="13"/>
  <c r="Y294" i="13" s="1"/>
  <c r="L74" i="13"/>
  <c r="W269" i="13"/>
  <c r="X269" i="13" s="1"/>
  <c r="Y269" i="13"/>
  <c r="L269" i="13"/>
  <c r="L313" i="13"/>
  <c r="M313" i="13" s="1"/>
  <c r="Y313" i="13"/>
  <c r="V13" i="11"/>
  <c r="N6" i="11"/>
  <c r="U6" i="11" s="1"/>
  <c r="V234" i="10"/>
  <c r="V154" i="10"/>
  <c r="S306" i="10"/>
  <c r="H214" i="9"/>
  <c r="L214" i="9" s="1"/>
  <c r="M214" i="9" s="1"/>
  <c r="N214" i="9" s="1"/>
  <c r="V35" i="9"/>
  <c r="H114" i="9"/>
  <c r="L114" i="9" s="1"/>
  <c r="H184" i="9"/>
  <c r="W184" i="9" s="1"/>
  <c r="V47" i="9"/>
  <c r="V50" i="9"/>
  <c r="N46" i="9"/>
  <c r="R46" i="9" s="1"/>
  <c r="R6" i="7"/>
  <c r="R5" i="7"/>
  <c r="L11" i="7"/>
  <c r="M11" i="7" s="1"/>
  <c r="N11" i="7" s="1"/>
  <c r="U11" i="7" s="1"/>
  <c r="H11" i="7"/>
  <c r="L5" i="7"/>
  <c r="M5" i="7" s="1"/>
  <c r="N5" i="7" s="1"/>
  <c r="U5" i="7" s="1"/>
  <c r="L9" i="7"/>
  <c r="L5" i="6"/>
  <c r="L6" i="6" s="1"/>
  <c r="V11" i="5"/>
  <c r="H7" i="5"/>
  <c r="W7" i="5" s="1"/>
  <c r="S11" i="5"/>
  <c r="H11" i="5"/>
  <c r="W11" i="5" s="1"/>
  <c r="W6" i="5"/>
  <c r="X6" i="5" s="1"/>
  <c r="N9" i="5"/>
  <c r="L331" i="16"/>
  <c r="W431" i="16"/>
  <c r="L290" i="16"/>
  <c r="M290" i="16" s="1"/>
  <c r="N290" i="16" s="1"/>
  <c r="T65" i="16"/>
  <c r="W292" i="16"/>
  <c r="L292" i="16"/>
  <c r="M292" i="16" s="1"/>
  <c r="N292" i="16" s="1"/>
  <c r="U292" i="16" s="1"/>
  <c r="R42" i="14"/>
  <c r="U6" i="14"/>
  <c r="T6" i="14"/>
  <c r="W122" i="14"/>
  <c r="L122" i="14"/>
  <c r="L159" i="14"/>
  <c r="M159" i="14" s="1"/>
  <c r="N159" i="14" s="1"/>
  <c r="W159" i="14"/>
  <c r="W154" i="14"/>
  <c r="T110" i="14"/>
  <c r="W161" i="14"/>
  <c r="R47" i="14"/>
  <c r="M158" i="14"/>
  <c r="N158" i="14" s="1"/>
  <c r="T158" i="14" s="1"/>
  <c r="M153" i="14"/>
  <c r="N153" i="14" s="1"/>
  <c r="U153" i="14"/>
  <c r="M194" i="14"/>
  <c r="N194" i="14" s="1"/>
  <c r="T194" i="14" s="1"/>
  <c r="X151" i="14"/>
  <c r="R135" i="13"/>
  <c r="U135" i="13"/>
  <c r="T135" i="13"/>
  <c r="T36" i="13"/>
  <c r="W279" i="13"/>
  <c r="Y279" i="13" s="1"/>
  <c r="N65" i="13"/>
  <c r="M317" i="13"/>
  <c r="N317" i="13" s="1"/>
  <c r="M53" i="13"/>
  <c r="N53" i="13" s="1"/>
  <c r="U53" i="13"/>
  <c r="M268" i="13"/>
  <c r="N268" i="13"/>
  <c r="M218" i="13"/>
  <c r="N218" i="13" s="1"/>
  <c r="T218" i="13" s="1"/>
  <c r="X66" i="13"/>
  <c r="L305" i="13"/>
  <c r="X305" i="13" s="1"/>
  <c r="U149" i="13"/>
  <c r="L321" i="13"/>
  <c r="W321" i="13"/>
  <c r="T117" i="13"/>
  <c r="R117" i="13"/>
  <c r="U117" i="13"/>
  <c r="U176" i="13"/>
  <c r="T146" i="13"/>
  <c r="M226" i="13"/>
  <c r="N226" i="13" s="1"/>
  <c r="T226" i="13" s="1"/>
  <c r="L377" i="13"/>
  <c r="U102" i="13"/>
  <c r="N286" i="13"/>
  <c r="M269" i="13"/>
  <c r="N269" i="13" s="1"/>
  <c r="T269" i="13"/>
  <c r="N313" i="13"/>
  <c r="M277" i="13"/>
  <c r="N277" i="13" s="1"/>
  <c r="X277" i="13"/>
  <c r="T153" i="14"/>
  <c r="M335" i="13"/>
  <c r="N335" i="13" s="1"/>
  <c r="T335" i="13" s="1"/>
  <c r="T51" i="17"/>
  <c r="U51" i="17" s="1"/>
  <c r="T53" i="17"/>
  <c r="U53" i="17" s="1"/>
  <c r="M50" i="17"/>
  <c r="T41" i="17"/>
  <c r="U41" i="17" s="1"/>
  <c r="H362" i="15"/>
  <c r="W362" i="15" s="1"/>
  <c r="V342" i="15"/>
  <c r="H302" i="15"/>
  <c r="W302" i="15" s="1"/>
  <c r="V298" i="15"/>
  <c r="H228" i="15"/>
  <c r="H290" i="15"/>
  <c r="H113" i="15"/>
  <c r="W113" i="15" s="1"/>
  <c r="X113" i="15" s="1"/>
  <c r="V156" i="15"/>
  <c r="H140" i="15"/>
  <c r="W140" i="15" s="1"/>
  <c r="X140" i="15" s="1"/>
  <c r="M343" i="13"/>
  <c r="N343" i="13" s="1"/>
  <c r="T343" i="13" s="1"/>
  <c r="H299" i="10"/>
  <c r="L299" i="10" s="1"/>
  <c r="M299" i="10" s="1"/>
  <c r="N299" i="10" s="1"/>
  <c r="V58" i="10"/>
  <c r="N64" i="10"/>
  <c r="T64" i="10" s="1"/>
  <c r="V185" i="10"/>
  <c r="V232" i="10"/>
  <c r="V108" i="10"/>
  <c r="H362" i="10"/>
  <c r="W287" i="10"/>
  <c r="S485" i="15"/>
  <c r="V254" i="15"/>
  <c r="H254" i="15"/>
  <c r="H234" i="15"/>
  <c r="L234" i="15" s="1"/>
  <c r="S477" i="15"/>
  <c r="V250" i="15"/>
  <c r="H152" i="15"/>
  <c r="W152" i="15" s="1"/>
  <c r="X152" i="15" s="1"/>
  <c r="N140" i="15"/>
  <c r="R140" i="15" s="1"/>
  <c r="H230" i="15"/>
  <c r="W230" i="15" s="1"/>
  <c r="H117" i="15"/>
  <c r="W117" i="15" s="1"/>
  <c r="X117" i="15" s="1"/>
  <c r="V474" i="15"/>
  <c r="H470" i="15"/>
  <c r="W470" i="15" s="1"/>
  <c r="H466" i="15"/>
  <c r="W466" i="15" s="1"/>
  <c r="S458" i="15"/>
  <c r="V438" i="15"/>
  <c r="V378" i="15"/>
  <c r="H370" i="15"/>
  <c r="W370" i="15" s="1"/>
  <c r="V59" i="15"/>
  <c r="V274" i="15"/>
  <c r="V259" i="15"/>
  <c r="H463" i="15"/>
  <c r="L463" i="15" s="1"/>
  <c r="W321" i="15"/>
  <c r="V189" i="15"/>
  <c r="H454" i="15"/>
  <c r="L454" i="15" s="1"/>
  <c r="H422" i="15"/>
  <c r="V418" i="15"/>
  <c r="H414" i="15"/>
  <c r="L414" i="15" s="1"/>
  <c r="V414" i="15"/>
  <c r="V410" i="15"/>
  <c r="H410" i="15"/>
  <c r="H402" i="15"/>
  <c r="W402" i="15" s="1"/>
  <c r="V398" i="15"/>
  <c r="H386" i="15"/>
  <c r="W386" i="15" s="1"/>
  <c r="V374" i="15"/>
  <c r="H80" i="15"/>
  <c r="W80" i="15" s="1"/>
  <c r="X80" i="15" s="1"/>
  <c r="H64" i="15"/>
  <c r="W64" i="15" s="1"/>
  <c r="X64" i="15" s="1"/>
  <c r="W336" i="15"/>
  <c r="X336" i="15" s="1"/>
  <c r="U336" i="15"/>
  <c r="V262" i="15"/>
  <c r="W335" i="15"/>
  <c r="X335" i="15" s="1"/>
  <c r="H370" i="10"/>
  <c r="L370" i="10" s="1"/>
  <c r="M370" i="10" s="1"/>
  <c r="N370" i="10" s="1"/>
  <c r="V280" i="10"/>
  <c r="H52" i="10"/>
  <c r="W52" i="10" s="1"/>
  <c r="X52" i="10" s="1"/>
  <c r="V11" i="10"/>
  <c r="W337" i="15"/>
  <c r="X337" i="15" s="1"/>
  <c r="U335" i="15"/>
  <c r="T337" i="15"/>
  <c r="U337" i="15"/>
  <c r="V223" i="15"/>
  <c r="V8" i="15"/>
  <c r="V443" i="15"/>
  <c r="S467" i="15"/>
  <c r="H307" i="15"/>
  <c r="L307" i="15" s="1"/>
  <c r="M307" i="15" s="1"/>
  <c r="N307" i="15" s="1"/>
  <c r="T307" i="15" s="1"/>
  <c r="H475" i="15"/>
  <c r="V327" i="15"/>
  <c r="H231" i="15"/>
  <c r="H263" i="15"/>
  <c r="W327" i="15"/>
  <c r="H5" i="15"/>
  <c r="W5" i="15" s="1"/>
  <c r="X5" i="15" s="1"/>
  <c r="V37" i="15"/>
  <c r="H67" i="15"/>
  <c r="W67" i="15" s="1"/>
  <c r="X67" i="15" s="1"/>
  <c r="H363" i="15"/>
  <c r="H339" i="15"/>
  <c r="N63" i="15"/>
  <c r="U63" i="15" s="1"/>
  <c r="N71" i="15"/>
  <c r="N113" i="15"/>
  <c r="U113" i="15" s="1"/>
  <c r="S463" i="15"/>
  <c r="V183" i="15"/>
  <c r="V499" i="15"/>
  <c r="S455" i="15"/>
  <c r="V479" i="15"/>
  <c r="H495" i="15"/>
  <c r="L495" i="15" s="1"/>
  <c r="M495" i="15" s="1"/>
  <c r="N495" i="15" s="1"/>
  <c r="S475" i="15"/>
  <c r="H251" i="15"/>
  <c r="W251" i="15" s="1"/>
  <c r="V71" i="15"/>
  <c r="H311" i="15"/>
  <c r="W311" i="15" s="1"/>
  <c r="N183" i="15"/>
  <c r="V215" i="15"/>
  <c r="N33" i="15"/>
  <c r="U33" i="15" s="1"/>
  <c r="V227" i="15"/>
  <c r="V50" i="15"/>
  <c r="H42" i="15"/>
  <c r="W42" i="15" s="1"/>
  <c r="X42" i="15" s="1"/>
  <c r="H283" i="15"/>
  <c r="L283" i="15" s="1"/>
  <c r="V203" i="15"/>
  <c r="V455" i="15"/>
  <c r="V467" i="15"/>
  <c r="H259" i="15"/>
  <c r="W259" i="15" s="1"/>
  <c r="V427" i="15"/>
  <c r="H479" i="15"/>
  <c r="L479" i="15" s="1"/>
  <c r="M479" i="15" s="1"/>
  <c r="N479" i="15" s="1"/>
  <c r="U479" i="15" s="1"/>
  <c r="H371" i="15"/>
  <c r="W371" i="15" s="1"/>
  <c r="V207" i="15"/>
  <c r="V33" i="15"/>
  <c r="V106" i="15"/>
  <c r="L203" i="15"/>
  <c r="M203" i="15" s="1"/>
  <c r="N203" i="15" s="1"/>
  <c r="U203" i="15" s="1"/>
  <c r="H110" i="15"/>
  <c r="W110" i="15" s="1"/>
  <c r="X110" i="15" s="1"/>
  <c r="H295" i="15"/>
  <c r="W295" i="15" s="1"/>
  <c r="H496" i="15"/>
  <c r="L496" i="15" s="1"/>
  <c r="M496" i="15" s="1"/>
  <c r="N496" i="15" s="1"/>
  <c r="U496" i="15" s="1"/>
  <c r="H95" i="15"/>
  <c r="W95" i="15" s="1"/>
  <c r="X95" i="15" s="1"/>
  <c r="V107" i="15"/>
  <c r="H488" i="15"/>
  <c r="V496" i="15"/>
  <c r="H99" i="15"/>
  <c r="W99" i="15" s="1"/>
  <c r="X99" i="15" s="1"/>
  <c r="V256" i="15"/>
  <c r="N148" i="15"/>
  <c r="V164" i="15"/>
  <c r="V136" i="15"/>
  <c r="H148" i="15"/>
  <c r="W148" i="15" s="1"/>
  <c r="X148" i="15" s="1"/>
  <c r="N66" i="15"/>
  <c r="H43" i="15"/>
  <c r="W43" i="15" s="1"/>
  <c r="X43" i="15" s="1"/>
  <c r="V152" i="15"/>
  <c r="H208" i="15"/>
  <c r="L208" i="15" s="1"/>
  <c r="M208" i="15" s="1"/>
  <c r="N208" i="15" s="1"/>
  <c r="H160" i="15"/>
  <c r="W160" i="15" s="1"/>
  <c r="X160" i="15" s="1"/>
  <c r="N64" i="15"/>
  <c r="N94" i="15"/>
  <c r="R94" i="15" s="1"/>
  <c r="H381" i="15"/>
  <c r="H357" i="15"/>
  <c r="W357" i="15" s="1"/>
  <c r="V66" i="15"/>
  <c r="V397" i="15"/>
  <c r="H12" i="15"/>
  <c r="W12" i="15" s="1"/>
  <c r="X12" i="15" s="1"/>
  <c r="H345" i="15"/>
  <c r="L345" i="15" s="1"/>
  <c r="M345" i="15" s="1"/>
  <c r="N345" i="15" s="1"/>
  <c r="S465" i="15"/>
  <c r="V405" i="15"/>
  <c r="V389" i="15"/>
  <c r="H389" i="15"/>
  <c r="L389" i="15" s="1"/>
  <c r="M389" i="15" s="1"/>
  <c r="N389" i="15" s="1"/>
  <c r="U389" i="15" s="1"/>
  <c r="H329" i="15"/>
  <c r="L329" i="15" s="1"/>
  <c r="M329" i="15" s="1"/>
  <c r="N329" i="15" s="1"/>
  <c r="V329" i="15"/>
  <c r="H309" i="15"/>
  <c r="W309" i="15" s="1"/>
  <c r="V301" i="15"/>
  <c r="H301" i="15"/>
  <c r="L301" i="15" s="1"/>
  <c r="M301" i="15" s="1"/>
  <c r="N301" i="15" s="1"/>
  <c r="U301" i="15" s="1"/>
  <c r="V297" i="15"/>
  <c r="H293" i="15"/>
  <c r="W293" i="15" s="1"/>
  <c r="V293" i="15"/>
  <c r="H277" i="15"/>
  <c r="V277" i="15"/>
  <c r="N198" i="15"/>
  <c r="T198" i="15" s="1"/>
  <c r="W150" i="15"/>
  <c r="X150" i="15" s="1"/>
  <c r="V150" i="15"/>
  <c r="H138" i="15"/>
  <c r="W138" i="15" s="1"/>
  <c r="X138" i="15" s="1"/>
  <c r="N138" i="15"/>
  <c r="N85" i="15"/>
  <c r="R85" i="15" s="1"/>
  <c r="H74" i="15"/>
  <c r="W74" i="15" s="1"/>
  <c r="X74" i="15" s="1"/>
  <c r="V74" i="15"/>
  <c r="V70" i="15"/>
  <c r="H70" i="15"/>
  <c r="W70" i="15" s="1"/>
  <c r="X70" i="15" s="1"/>
  <c r="H62" i="15"/>
  <c r="W62" i="15" s="1"/>
  <c r="X62" i="15" s="1"/>
  <c r="N62" i="15"/>
  <c r="T62" i="15" s="1"/>
  <c r="V40" i="15"/>
  <c r="V24" i="15"/>
  <c r="W24" i="15"/>
  <c r="X24" i="15" s="1"/>
  <c r="V321" i="15"/>
  <c r="H353" i="15"/>
  <c r="L467" i="15"/>
  <c r="W467" i="15"/>
  <c r="H481" i="15"/>
  <c r="V122" i="15"/>
  <c r="V113" i="15"/>
  <c r="H16" i="15"/>
  <c r="W16" i="15" s="1"/>
  <c r="X16" i="15" s="1"/>
  <c r="V78" i="15"/>
  <c r="V285" i="15"/>
  <c r="H485" i="15"/>
  <c r="H449" i="15"/>
  <c r="H341" i="15"/>
  <c r="V385" i="15"/>
  <c r="V325" i="15"/>
  <c r="V81" i="15"/>
  <c r="S481" i="15"/>
  <c r="H445" i="15"/>
  <c r="S473" i="15"/>
  <c r="N78" i="15"/>
  <c r="R78" i="15" s="1"/>
  <c r="S489" i="15"/>
  <c r="V489" i="15"/>
  <c r="V477" i="15"/>
  <c r="H477" i="15"/>
  <c r="L477" i="15" s="1"/>
  <c r="M477" i="15" s="1"/>
  <c r="N477" i="15" s="1"/>
  <c r="H469" i="15"/>
  <c r="W469" i="15" s="1"/>
  <c r="H433" i="15"/>
  <c r="W433" i="15" s="1"/>
  <c r="V429" i="15"/>
  <c r="H429" i="15"/>
  <c r="H421" i="15"/>
  <c r="L421" i="15" s="1"/>
  <c r="H413" i="15"/>
  <c r="H401" i="15"/>
  <c r="L401" i="15" s="1"/>
  <c r="M401" i="15" s="1"/>
  <c r="N401" i="15" s="1"/>
  <c r="H377" i="15"/>
  <c r="V377" i="15"/>
  <c r="H349" i="15"/>
  <c r="W349" i="15" s="1"/>
  <c r="V349" i="15"/>
  <c r="L289" i="15"/>
  <c r="X289" i="15" s="1"/>
  <c r="H281" i="15"/>
  <c r="W281" i="15" s="1"/>
  <c r="H273" i="15"/>
  <c r="L273" i="15" s="1"/>
  <c r="V273" i="15"/>
  <c r="H257" i="15"/>
  <c r="L257" i="15" s="1"/>
  <c r="M257" i="15" s="1"/>
  <c r="N257" i="15" s="1"/>
  <c r="W454" i="15"/>
  <c r="X454" i="15" s="1"/>
  <c r="H385" i="15"/>
  <c r="W385" i="15" s="1"/>
  <c r="H333" i="15"/>
  <c r="W333" i="15" s="1"/>
  <c r="V289" i="15"/>
  <c r="V138" i="15"/>
  <c r="H473" i="15"/>
  <c r="W473" i="15" s="1"/>
  <c r="V449" i="15"/>
  <c r="H66" i="15"/>
  <c r="W66" i="15" s="1"/>
  <c r="X66" i="15" s="1"/>
  <c r="V126" i="15"/>
  <c r="H54" i="15"/>
  <c r="W54" i="15" s="1"/>
  <c r="X54" i="15" s="1"/>
  <c r="N80" i="15"/>
  <c r="N39" i="15"/>
  <c r="U39" i="15" s="1"/>
  <c r="H421" i="13"/>
  <c r="L421" i="13" s="1"/>
  <c r="M421" i="13" s="1"/>
  <c r="N421" i="13" s="1"/>
  <c r="H226" i="9"/>
  <c r="L226" i="9" s="1"/>
  <c r="M226" i="9" s="1"/>
  <c r="N226" i="9" s="1"/>
  <c r="V129" i="15"/>
  <c r="N92" i="15"/>
  <c r="R92" i="15" s="1"/>
  <c r="S483" i="15"/>
  <c r="H483" i="15"/>
  <c r="L483" i="15" s="1"/>
  <c r="M483" i="15" s="1"/>
  <c r="N483" i="15" s="1"/>
  <c r="U483" i="15" s="1"/>
  <c r="H129" i="15"/>
  <c r="W129" i="15" s="1"/>
  <c r="X129" i="15" s="1"/>
  <c r="H92" i="15"/>
  <c r="W92" i="15" s="1"/>
  <c r="X92" i="15" s="1"/>
  <c r="L220" i="15"/>
  <c r="H408" i="15"/>
  <c r="H396" i="15"/>
  <c r="L396" i="15" s="1"/>
  <c r="M396" i="15" s="1"/>
  <c r="N396" i="15" s="1"/>
  <c r="T396" i="15" s="1"/>
  <c r="V364" i="15"/>
  <c r="H352" i="15"/>
  <c r="W352" i="15" s="1"/>
  <c r="V280" i="15"/>
  <c r="H252" i="15"/>
  <c r="H240" i="15"/>
  <c r="L240" i="15" s="1"/>
  <c r="V217" i="15"/>
  <c r="H217" i="15"/>
  <c r="W217" i="15" s="1"/>
  <c r="V205" i="15"/>
  <c r="H205" i="15"/>
  <c r="H201" i="15"/>
  <c r="W201" i="15" s="1"/>
  <c r="V201" i="15"/>
  <c r="H193" i="15"/>
  <c r="V193" i="15"/>
  <c r="H165" i="15"/>
  <c r="W165" i="15" s="1"/>
  <c r="X165" i="15" s="1"/>
  <c r="V149" i="15"/>
  <c r="H133" i="15"/>
  <c r="W133" i="15" s="1"/>
  <c r="X133" i="15" s="1"/>
  <c r="V104" i="15"/>
  <c r="H61" i="15"/>
  <c r="W61" i="15" s="1"/>
  <c r="X61" i="15" s="1"/>
  <c r="N23" i="15"/>
  <c r="U23" i="15" s="1"/>
  <c r="V88" i="15"/>
  <c r="H23" i="15"/>
  <c r="W23" i="15" s="1"/>
  <c r="X23" i="15" s="1"/>
  <c r="V100" i="15"/>
  <c r="V428" i="15"/>
  <c r="N96" i="15"/>
  <c r="N100" i="15"/>
  <c r="U100" i="15" s="1"/>
  <c r="H92" i="10"/>
  <c r="W92" i="10" s="1"/>
  <c r="X92" i="10" s="1"/>
  <c r="H310" i="10"/>
  <c r="S310" i="10"/>
  <c r="H129" i="10"/>
  <c r="W129" i="10" s="1"/>
  <c r="X129" i="10" s="1"/>
  <c r="V37" i="10"/>
  <c r="V49" i="10"/>
  <c r="X49" i="10"/>
  <c r="H497" i="15"/>
  <c r="L497" i="15" s="1"/>
  <c r="M497" i="15" s="1"/>
  <c r="N497" i="15" s="1"/>
  <c r="U497" i="15" s="1"/>
  <c r="S497" i="15"/>
  <c r="V497" i="15"/>
  <c r="V493" i="15"/>
  <c r="W493" i="15" s="1"/>
  <c r="S493" i="15"/>
  <c r="S486" i="15"/>
  <c r="V486" i="15"/>
  <c r="H486" i="15"/>
  <c r="L486" i="15" s="1"/>
  <c r="V411" i="15"/>
  <c r="V407" i="15"/>
  <c r="H407" i="15"/>
  <c r="H399" i="15"/>
  <c r="L399" i="15" s="1"/>
  <c r="M399" i="15" s="1"/>
  <c r="N399" i="15" s="1"/>
  <c r="T399" i="15" s="1"/>
  <c r="V395" i="15"/>
  <c r="H395" i="15"/>
  <c r="L395" i="15" s="1"/>
  <c r="M395" i="15" s="1"/>
  <c r="N395" i="15" s="1"/>
  <c r="U395" i="15" s="1"/>
  <c r="H367" i="15"/>
  <c r="L367" i="15" s="1"/>
  <c r="M367" i="15" s="1"/>
  <c r="N367" i="15" s="1"/>
  <c r="V367" i="15"/>
  <c r="H103" i="15"/>
  <c r="W103" i="15" s="1"/>
  <c r="X103" i="15" s="1"/>
  <c r="V103" i="15"/>
  <c r="N103" i="15"/>
  <c r="V83" i="15"/>
  <c r="W83" i="15"/>
  <c r="X83" i="15" s="1"/>
  <c r="H72" i="15"/>
  <c r="W72" i="15" s="1"/>
  <c r="X72" i="15" s="1"/>
  <c r="V72" i="15"/>
  <c r="N72" i="15"/>
  <c r="R72" i="15" s="1"/>
  <c r="H68" i="15"/>
  <c r="W68" i="15" s="1"/>
  <c r="X68" i="15" s="1"/>
  <c r="N68" i="15"/>
  <c r="U68" i="15" s="1"/>
  <c r="H56" i="15"/>
  <c r="W56" i="15" s="1"/>
  <c r="X56" i="15" s="1"/>
  <c r="V56" i="15"/>
  <c r="H47" i="15"/>
  <c r="W47" i="15" s="1"/>
  <c r="X47" i="15" s="1"/>
  <c r="V38" i="15"/>
  <c r="H34" i="15"/>
  <c r="W34" i="15" s="1"/>
  <c r="X34" i="15" s="1"/>
  <c r="V34" i="15"/>
  <c r="V22" i="15"/>
  <c r="R118" i="15"/>
  <c r="V476" i="15"/>
  <c r="H456" i="15"/>
  <c r="S452" i="15"/>
  <c r="V444" i="15"/>
  <c r="V332" i="15"/>
  <c r="H304" i="15"/>
  <c r="W304" i="15" s="1"/>
  <c r="H296" i="15"/>
  <c r="W296" i="15" s="1"/>
  <c r="V284" i="15"/>
  <c r="L398" i="15"/>
  <c r="V430" i="15"/>
  <c r="H430" i="15"/>
  <c r="W430" i="15" s="1"/>
  <c r="V426" i="15"/>
  <c r="H426" i="15"/>
  <c r="H171" i="15"/>
  <c r="W171" i="15" s="1"/>
  <c r="X171" i="15" s="1"/>
  <c r="V171" i="15"/>
  <c r="V167" i="15"/>
  <c r="H167" i="15"/>
  <c r="W167" i="15" s="1"/>
  <c r="X167" i="15" s="1"/>
  <c r="H163" i="15"/>
  <c r="W163" i="15" s="1"/>
  <c r="X163" i="15" s="1"/>
  <c r="H135" i="15"/>
  <c r="W135" i="15" s="1"/>
  <c r="X135" i="15" s="1"/>
  <c r="V131" i="15"/>
  <c r="H131" i="15"/>
  <c r="W131" i="15" s="1"/>
  <c r="X131" i="15" s="1"/>
  <c r="H123" i="15"/>
  <c r="W123" i="15" s="1"/>
  <c r="X123" i="15" s="1"/>
  <c r="V123" i="15"/>
  <c r="H118" i="15"/>
  <c r="W118" i="15" s="1"/>
  <c r="X118" i="15" s="1"/>
  <c r="V118" i="15"/>
  <c r="V114" i="15"/>
  <c r="N114" i="15"/>
  <c r="L325" i="15"/>
  <c r="V441" i="15"/>
  <c r="H441" i="15"/>
  <c r="W441" i="15" s="1"/>
  <c r="V437" i="15"/>
  <c r="H437" i="15"/>
  <c r="W437" i="15" s="1"/>
  <c r="V253" i="15"/>
  <c r="H249" i="15"/>
  <c r="V249" i="15"/>
  <c r="H245" i="15"/>
  <c r="V245" i="15"/>
  <c r="H241" i="15"/>
  <c r="W241" i="15" s="1"/>
  <c r="V241" i="15"/>
  <c r="H237" i="15"/>
  <c r="L237" i="15" s="1"/>
  <c r="V237" i="15"/>
  <c r="H190" i="15"/>
  <c r="W190" i="15" s="1"/>
  <c r="X190" i="15" s="1"/>
  <c r="N190" i="15"/>
  <c r="U190" i="15" s="1"/>
  <c r="N186" i="15"/>
  <c r="V186" i="15"/>
  <c r="N182" i="15"/>
  <c r="R182" i="15" s="1"/>
  <c r="V182" i="15"/>
  <c r="H182" i="15"/>
  <c r="W182" i="15" s="1"/>
  <c r="X182" i="15" s="1"/>
  <c r="V178" i="15"/>
  <c r="H178" i="15"/>
  <c r="W178" i="15" s="1"/>
  <c r="X178" i="15" s="1"/>
  <c r="V174" i="15"/>
  <c r="H174" i="15"/>
  <c r="W174" i="15" s="1"/>
  <c r="X174" i="15" s="1"/>
  <c r="N42" i="15"/>
  <c r="U42" i="15" s="1"/>
  <c r="N56" i="15"/>
  <c r="R56" i="15" s="1"/>
  <c r="N60" i="15"/>
  <c r="T60" i="15" s="1"/>
  <c r="N123" i="15"/>
  <c r="N38" i="15"/>
  <c r="T38" i="15" s="1"/>
  <c r="L362" i="15"/>
  <c r="U50" i="15"/>
  <c r="R50" i="15"/>
  <c r="H265" i="15"/>
  <c r="L265" i="15" s="1"/>
  <c r="V265" i="15"/>
  <c r="H222" i="15"/>
  <c r="L222" i="15" s="1"/>
  <c r="H218" i="15"/>
  <c r="V218" i="15"/>
  <c r="H214" i="15"/>
  <c r="W214" i="15" s="1"/>
  <c r="H159" i="15"/>
  <c r="W159" i="15" s="1"/>
  <c r="X159" i="15" s="1"/>
  <c r="N159" i="15"/>
  <c r="U159" i="15" s="1"/>
  <c r="V159" i="15"/>
  <c r="H155" i="15"/>
  <c r="W155" i="15" s="1"/>
  <c r="X155" i="15" s="1"/>
  <c r="V155" i="15"/>
  <c r="V147" i="15"/>
  <c r="V30" i="15"/>
  <c r="H30" i="15"/>
  <c r="W30" i="15" s="1"/>
  <c r="X30" i="15" s="1"/>
  <c r="H26" i="15"/>
  <c r="W26" i="15" s="1"/>
  <c r="X26" i="15" s="1"/>
  <c r="V26" i="15"/>
  <c r="H10" i="15"/>
  <c r="W10" i="15" s="1"/>
  <c r="X10" i="15" s="1"/>
  <c r="V10" i="15"/>
  <c r="L508" i="15"/>
  <c r="M508" i="15" s="1"/>
  <c r="N508" i="15" s="1"/>
  <c r="W274" i="15"/>
  <c r="W432" i="15"/>
  <c r="W234" i="15"/>
  <c r="L370" i="15"/>
  <c r="H233" i="15"/>
  <c r="H14" i="15"/>
  <c r="W14" i="15" s="1"/>
  <c r="X14" i="15" s="1"/>
  <c r="V287" i="15"/>
  <c r="H287" i="15"/>
  <c r="V166" i="15"/>
  <c r="H166" i="15"/>
  <c r="W166" i="15" s="1"/>
  <c r="X166" i="15" s="1"/>
  <c r="H162" i="15"/>
  <c r="W162" i="15" s="1"/>
  <c r="X162" i="15" s="1"/>
  <c r="H94" i="15"/>
  <c r="W94" i="15" s="1"/>
  <c r="X94" i="15" s="1"/>
  <c r="V94" i="15"/>
  <c r="V470" i="15"/>
  <c r="S470" i="15"/>
  <c r="V45" i="15"/>
  <c r="H45" i="15"/>
  <c r="W45" i="15" s="1"/>
  <c r="X45" i="15" s="1"/>
  <c r="H498" i="15"/>
  <c r="V412" i="15"/>
  <c r="H262" i="15"/>
  <c r="L262" i="15" s="1"/>
  <c r="V175" i="15"/>
  <c r="H175" i="15"/>
  <c r="W175" i="15" s="1"/>
  <c r="X175" i="15" s="1"/>
  <c r="N175" i="15"/>
  <c r="N184" i="15"/>
  <c r="N8" i="4"/>
  <c r="W461" i="15"/>
  <c r="L461" i="15"/>
  <c r="M461" i="15" s="1"/>
  <c r="N461" i="15" s="1"/>
  <c r="L427" i="15"/>
  <c r="H225" i="15"/>
  <c r="H439" i="15"/>
  <c r="V439" i="15"/>
  <c r="H436" i="15"/>
  <c r="W436" i="15" s="1"/>
  <c r="V431" i="15"/>
  <c r="H431" i="15"/>
  <c r="W431" i="15" s="1"/>
  <c r="H416" i="15"/>
  <c r="L416" i="15" s="1"/>
  <c r="H373" i="15"/>
  <c r="V373" i="15"/>
  <c r="V315" i="15"/>
  <c r="H315" i="15"/>
  <c r="H279" i="15"/>
  <c r="W279" i="15" s="1"/>
  <c r="V279" i="15"/>
  <c r="H269" i="15"/>
  <c r="V269" i="15"/>
  <c r="V151" i="15"/>
  <c r="H143" i="15"/>
  <c r="W143" i="15" s="1"/>
  <c r="X143" i="15" s="1"/>
  <c r="H139" i="15"/>
  <c r="W139" i="15" s="1"/>
  <c r="X139" i="15" s="1"/>
  <c r="N124" i="15"/>
  <c r="R124" i="15" s="1"/>
  <c r="H124" i="15"/>
  <c r="W124" i="15" s="1"/>
  <c r="X124" i="15" s="1"/>
  <c r="V124" i="15"/>
  <c r="N119" i="15"/>
  <c r="H119" i="15"/>
  <c r="W119" i="15" s="1"/>
  <c r="X119" i="15" s="1"/>
  <c r="V119" i="15"/>
  <c r="V115" i="15"/>
  <c r="H115" i="15"/>
  <c r="W115" i="15" s="1"/>
  <c r="X115" i="15" s="1"/>
  <c r="V98" i="15"/>
  <c r="H98" i="15"/>
  <c r="W98" i="15" s="1"/>
  <c r="X98" i="15" s="1"/>
  <c r="V73" i="15"/>
  <c r="H6" i="15"/>
  <c r="H446" i="15"/>
  <c r="L446" i="15" s="1"/>
  <c r="M446" i="15" s="1"/>
  <c r="N446" i="15" s="1"/>
  <c r="H369" i="15"/>
  <c r="W369" i="15" s="1"/>
  <c r="H73" i="15"/>
  <c r="W73" i="15" s="1"/>
  <c r="X73" i="15" s="1"/>
  <c r="S461" i="15"/>
  <c r="V461" i="15"/>
  <c r="V457" i="15"/>
  <c r="S457" i="15"/>
  <c r="H457" i="15"/>
  <c r="W457" i="15" s="1"/>
  <c r="H453" i="15"/>
  <c r="S453" i="15"/>
  <c r="V453" i="15"/>
  <c r="H322" i="15"/>
  <c r="W322" i="15" s="1"/>
  <c r="V322" i="15"/>
  <c r="H318" i="15"/>
  <c r="V318" i="15"/>
  <c r="V286" i="15"/>
  <c r="H286" i="15"/>
  <c r="H282" i="15"/>
  <c r="W282" i="15" s="1"/>
  <c r="V282" i="15"/>
  <c r="H242" i="15"/>
  <c r="W242" i="15" s="1"/>
  <c r="V242" i="15"/>
  <c r="V238" i="15"/>
  <c r="H238" i="15"/>
  <c r="W238" i="15" s="1"/>
  <c r="V232" i="15"/>
  <c r="H221" i="15"/>
  <c r="W221" i="15" s="1"/>
  <c r="V221" i="15"/>
  <c r="H211" i="15"/>
  <c r="W211" i="15" s="1"/>
  <c r="V211" i="15"/>
  <c r="V196" i="15"/>
  <c r="V188" i="15"/>
  <c r="V184" i="15"/>
  <c r="H184" i="15"/>
  <c r="W184" i="15" s="1"/>
  <c r="X184" i="15" s="1"/>
  <c r="N180" i="15"/>
  <c r="H180" i="15"/>
  <c r="W180" i="15" s="1"/>
  <c r="X180" i="15" s="1"/>
  <c r="H154" i="15"/>
  <c r="W154" i="15" s="1"/>
  <c r="X154" i="15" s="1"/>
  <c r="V146" i="15"/>
  <c r="H146" i="15"/>
  <c r="W146" i="15" s="1"/>
  <c r="X146" i="15" s="1"/>
  <c r="H13" i="15"/>
  <c r="W13" i="15" s="1"/>
  <c r="X13" i="15" s="1"/>
  <c r="V9" i="15"/>
  <c r="L397" i="15"/>
  <c r="M397" i="15" s="1"/>
  <c r="N397" i="15" s="1"/>
  <c r="V143" i="15"/>
  <c r="H151" i="15"/>
  <c r="W151" i="15" s="1"/>
  <c r="X151" i="15" s="1"/>
  <c r="N192" i="15"/>
  <c r="U192" i="15" s="1"/>
  <c r="U136" i="15"/>
  <c r="T136" i="15"/>
  <c r="V6" i="15"/>
  <c r="L493" i="15"/>
  <c r="M493" i="15" s="1"/>
  <c r="N493" i="15" s="1"/>
  <c r="S472" i="15"/>
  <c r="N134" i="15"/>
  <c r="U134" i="15" s="1"/>
  <c r="V134" i="15"/>
  <c r="V130" i="15"/>
  <c r="N130" i="15"/>
  <c r="U130" i="15" s="1"/>
  <c r="H109" i="15"/>
  <c r="W109" i="15" s="1"/>
  <c r="X109" i="15" s="1"/>
  <c r="V109" i="15"/>
  <c r="V86" i="15"/>
  <c r="H55" i="15"/>
  <c r="W55" i="15" s="1"/>
  <c r="X55" i="15" s="1"/>
  <c r="V55" i="15"/>
  <c r="H28" i="15"/>
  <c r="W28" i="15" s="1"/>
  <c r="X28" i="15" s="1"/>
  <c r="N109" i="15"/>
  <c r="U109" i="15" s="1"/>
  <c r="H359" i="15"/>
  <c r="V359" i="15"/>
  <c r="H312" i="15"/>
  <c r="V170" i="15"/>
  <c r="N70" i="15"/>
  <c r="U70" i="15" s="1"/>
  <c r="N146" i="15"/>
  <c r="L207" i="15"/>
  <c r="M207" i="15" s="1"/>
  <c r="N207" i="15" s="1"/>
  <c r="N55" i="15"/>
  <c r="R55" i="15" s="1"/>
  <c r="N115" i="15"/>
  <c r="U115" i="15" s="1"/>
  <c r="N9" i="15"/>
  <c r="U9" i="15" s="1"/>
  <c r="W297" i="15"/>
  <c r="R110" i="15"/>
  <c r="V46" i="15"/>
  <c r="H46" i="15"/>
  <c r="W46" i="15" s="1"/>
  <c r="X46" i="15" s="1"/>
  <c r="N46" i="15"/>
  <c r="U46" i="15" s="1"/>
  <c r="V20" i="15"/>
  <c r="W273" i="15"/>
  <c r="L311" i="15"/>
  <c r="M311" i="15" s="1"/>
  <c r="N311" i="15" s="1"/>
  <c r="W361" i="15"/>
  <c r="L361" i="15"/>
  <c r="M274" i="15"/>
  <c r="N274" i="15" s="1"/>
  <c r="U274" i="15" s="1"/>
  <c r="W463" i="15"/>
  <c r="L227" i="15"/>
  <c r="W227" i="15"/>
  <c r="L250" i="15"/>
  <c r="M250" i="15" s="1"/>
  <c r="N250" i="15" s="1"/>
  <c r="U250" i="15" s="1"/>
  <c r="H49" i="15"/>
  <c r="W49" i="15" s="1"/>
  <c r="X49" i="15" s="1"/>
  <c r="H36" i="15"/>
  <c r="W36" i="15" s="1"/>
  <c r="X36" i="15" s="1"/>
  <c r="L433" i="15"/>
  <c r="M433" i="15" s="1"/>
  <c r="N433" i="15" s="1"/>
  <c r="T433" i="15" s="1"/>
  <c r="X203" i="15"/>
  <c r="T118" i="15"/>
  <c r="L405" i="15"/>
  <c r="M405" i="15" s="1"/>
  <c r="N405" i="15" s="1"/>
  <c r="W405" i="15"/>
  <c r="L285" i="15"/>
  <c r="M285" i="15" s="1"/>
  <c r="N285" i="15" s="1"/>
  <c r="L385" i="15"/>
  <c r="M385" i="15" s="1"/>
  <c r="N385" i="15" s="1"/>
  <c r="W367" i="15"/>
  <c r="X367" i="15" s="1"/>
  <c r="W395" i="15"/>
  <c r="X395" i="15" s="1"/>
  <c r="R186" i="15"/>
  <c r="W265" i="15"/>
  <c r="X265" i="15" s="1"/>
  <c r="R156" i="15"/>
  <c r="M297" i="15"/>
  <c r="N297" i="15" s="1"/>
  <c r="T27" i="17"/>
  <c r="U27" i="17" s="1"/>
  <c r="R12" i="17"/>
  <c r="R24" i="17"/>
  <c r="R34" i="17"/>
  <c r="N36" i="17"/>
  <c r="O36" i="17" s="1"/>
  <c r="R6" i="17"/>
  <c r="M21" i="17"/>
  <c r="N21" i="17" s="1"/>
  <c r="M29" i="17"/>
  <c r="M23" i="17"/>
  <c r="V23" i="17" s="1"/>
  <c r="M43" i="17"/>
  <c r="N43" i="17" s="1"/>
  <c r="O43" i="17" s="1"/>
  <c r="R43" i="17"/>
  <c r="T30" i="17"/>
  <c r="U30" i="17" s="1"/>
  <c r="I5" i="17"/>
  <c r="R5" i="17" s="1"/>
  <c r="R16" i="17"/>
  <c r="M16" i="17"/>
  <c r="Q16" i="17" s="1"/>
  <c r="T36" i="17"/>
  <c r="U36" i="17" s="1"/>
  <c r="V36" i="17" s="1"/>
  <c r="R36" i="17"/>
  <c r="N41" i="17"/>
  <c r="N16" i="17"/>
  <c r="O16" i="17" s="1"/>
  <c r="S16" i="17" s="1"/>
  <c r="N29" i="17"/>
  <c r="O29" i="17" s="1"/>
  <c r="L427" i="13"/>
  <c r="M427" i="13" s="1"/>
  <c r="N427" i="13" s="1"/>
  <c r="H12" i="5"/>
  <c r="V303" i="10"/>
  <c r="S323" i="10"/>
  <c r="H160" i="10"/>
  <c r="W160" i="10" s="1"/>
  <c r="X160" i="10" s="1"/>
  <c r="H182" i="10"/>
  <c r="W182" i="10" s="1"/>
  <c r="V214" i="10"/>
  <c r="H214" i="10"/>
  <c r="H326" i="10"/>
  <c r="L326" i="10" s="1"/>
  <c r="M326" i="10" s="1"/>
  <c r="N326" i="10" s="1"/>
  <c r="V338" i="10"/>
  <c r="V314" i="10"/>
  <c r="H314" i="10"/>
  <c r="L314" i="10" s="1"/>
  <c r="S314" i="10"/>
  <c r="V29" i="10"/>
  <c r="H118" i="10"/>
  <c r="W118" i="10" s="1"/>
  <c r="X118" i="10" s="1"/>
  <c r="H131" i="10"/>
  <c r="W131" i="10" s="1"/>
  <c r="X131" i="10" s="1"/>
  <c r="V150" i="10"/>
  <c r="V190" i="10"/>
  <c r="V216" i="10"/>
  <c r="H216" i="10"/>
  <c r="V218" i="10"/>
  <c r="V287" i="10"/>
  <c r="V177" i="10"/>
  <c r="X261" i="10"/>
  <c r="V251" i="10"/>
  <c r="H291" i="10"/>
  <c r="H318" i="10"/>
  <c r="V318" i="10"/>
  <c r="L177" i="10"/>
  <c r="X177" i="10" s="1"/>
  <c r="H196" i="10"/>
  <c r="Y224" i="10"/>
  <c r="H175" i="10"/>
  <c r="W175" i="10" s="1"/>
  <c r="H22" i="10"/>
  <c r="W22" i="10" s="1"/>
  <c r="X22" i="10" s="1"/>
  <c r="V226" i="10"/>
  <c r="V246" i="10"/>
  <c r="N109" i="10"/>
  <c r="U109" i="10" s="1"/>
  <c r="H341" i="10"/>
  <c r="H148" i="10"/>
  <c r="W148" i="10" s="1"/>
  <c r="X148" i="10" s="1"/>
  <c r="N122" i="10"/>
  <c r="U122" i="10" s="1"/>
  <c r="H122" i="10"/>
  <c r="W122" i="10" s="1"/>
  <c r="X122" i="10" s="1"/>
  <c r="V285" i="10"/>
  <c r="H285" i="10"/>
  <c r="W285" i="10" s="1"/>
  <c r="H266" i="10"/>
  <c r="V266" i="10"/>
  <c r="V345" i="10"/>
  <c r="S345" i="10"/>
  <c r="V349" i="10"/>
  <c r="H345" i="10"/>
  <c r="L345" i="10" s="1"/>
  <c r="M345" i="10" s="1"/>
  <c r="N345" i="10" s="1"/>
  <c r="U345" i="10" s="1"/>
  <c r="V94" i="10"/>
  <c r="H232" i="10"/>
  <c r="V242" i="10"/>
  <c r="H242" i="10"/>
  <c r="L242" i="10" s="1"/>
  <c r="M242" i="10" s="1"/>
  <c r="N242" i="10" s="1"/>
  <c r="U242" i="10" s="1"/>
  <c r="H334" i="10"/>
  <c r="L334" i="10" s="1"/>
  <c r="M334" i="10" s="1"/>
  <c r="N334" i="10" s="1"/>
  <c r="U334" i="10" s="1"/>
  <c r="H338" i="10"/>
  <c r="V344" i="10"/>
  <c r="V122" i="10"/>
  <c r="H108" i="10"/>
  <c r="W108" i="10" s="1"/>
  <c r="X108" i="10" s="1"/>
  <c r="H176" i="10"/>
  <c r="L176" i="10" s="1"/>
  <c r="V176" i="10"/>
  <c r="H210" i="10"/>
  <c r="V331" i="10"/>
  <c r="V65" i="10"/>
  <c r="H116" i="10"/>
  <c r="W116" i="10" s="1"/>
  <c r="X116" i="10" s="1"/>
  <c r="V173" i="10"/>
  <c r="H255" i="10"/>
  <c r="V292" i="10"/>
  <c r="N49" i="10"/>
  <c r="T49" i="10" s="1"/>
  <c r="S318" i="10"/>
  <c r="V357" i="10"/>
  <c r="H364" i="10"/>
  <c r="L364" i="10" s="1"/>
  <c r="M364" i="10" s="1"/>
  <c r="N364" i="10" s="1"/>
  <c r="W314" i="10"/>
  <c r="N164" i="10"/>
  <c r="T164" i="10" s="1"/>
  <c r="H164" i="10"/>
  <c r="W164" i="10" s="1"/>
  <c r="X164" i="10" s="1"/>
  <c r="V164" i="10"/>
  <c r="H264" i="10"/>
  <c r="W264" i="10" s="1"/>
  <c r="H279" i="10"/>
  <c r="W279" i="10" s="1"/>
  <c r="V281" i="10"/>
  <c r="H302" i="10"/>
  <c r="V52" i="10"/>
  <c r="V63" i="10"/>
  <c r="V183" i="10"/>
  <c r="V248" i="10"/>
  <c r="H111" i="10"/>
  <c r="W111" i="10" s="1"/>
  <c r="X111" i="10" s="1"/>
  <c r="V111" i="10"/>
  <c r="H288" i="10"/>
  <c r="V10" i="10"/>
  <c r="H119" i="10"/>
  <c r="W119" i="10" s="1"/>
  <c r="X119" i="10" s="1"/>
  <c r="V119" i="10"/>
  <c r="H133" i="10"/>
  <c r="W133" i="10" s="1"/>
  <c r="X133" i="10" s="1"/>
  <c r="H138" i="10"/>
  <c r="W138" i="10" s="1"/>
  <c r="X138" i="10" s="1"/>
  <c r="H156" i="10"/>
  <c r="W156" i="10" s="1"/>
  <c r="X156" i="10" s="1"/>
  <c r="V156" i="10"/>
  <c r="S360" i="10"/>
  <c r="V169" i="10"/>
  <c r="V284" i="10"/>
  <c r="N50" i="10"/>
  <c r="T50" i="10" s="1"/>
  <c r="V244" i="10"/>
  <c r="H244" i="10"/>
  <c r="Y240" i="10"/>
  <c r="X240" i="10"/>
  <c r="V18" i="10"/>
  <c r="H139" i="9"/>
  <c r="W139" i="9" s="1"/>
  <c r="H117" i="9"/>
  <c r="W117" i="9" s="1"/>
  <c r="H110" i="9"/>
  <c r="S213" i="9"/>
  <c r="N42" i="9"/>
  <c r="R42" i="9" s="1"/>
  <c r="V42" i="9"/>
  <c r="H166" i="9"/>
  <c r="W166" i="9" s="1"/>
  <c r="H119" i="9"/>
  <c r="N48" i="9"/>
  <c r="U48" i="9" s="1"/>
  <c r="H44" i="9"/>
  <c r="W44" i="9" s="1"/>
  <c r="X44" i="9" s="1"/>
  <c r="V178" i="9"/>
  <c r="S208" i="9"/>
  <c r="V208" i="9"/>
  <c r="H100" i="9"/>
  <c r="W100" i="9" s="1"/>
  <c r="V104" i="9"/>
  <c r="V82" i="9"/>
  <c r="V91" i="9"/>
  <c r="V106" i="9"/>
  <c r="N34" i="9"/>
  <c r="H45" i="9"/>
  <c r="W45" i="9" s="1"/>
  <c r="X45" i="9" s="1"/>
  <c r="N45" i="9"/>
  <c r="U45" i="9" s="1"/>
  <c r="V69" i="9"/>
  <c r="H33" i="9"/>
  <c r="W33" i="9" s="1"/>
  <c r="X33" i="9" s="1"/>
  <c r="L202" i="9"/>
  <c r="M202" i="9" s="1"/>
  <c r="N202" i="9" s="1"/>
  <c r="V107" i="9"/>
  <c r="V121" i="9"/>
  <c r="H26" i="9"/>
  <c r="W26" i="9" s="1"/>
  <c r="X26" i="9" s="1"/>
  <c r="L136" i="9"/>
  <c r="H154" i="9"/>
  <c r="W154" i="9" s="1"/>
  <c r="H15" i="9"/>
  <c r="W15" i="9" s="1"/>
  <c r="X15" i="9" s="1"/>
  <c r="H12" i="9"/>
  <c r="W12" i="9" s="1"/>
  <c r="X12" i="9" s="1"/>
  <c r="V12" i="9"/>
  <c r="V36" i="9"/>
  <c r="N36" i="9"/>
  <c r="U36" i="9" s="1"/>
  <c r="H54" i="9"/>
  <c r="W54" i="9" s="1"/>
  <c r="V88" i="9"/>
  <c r="H88" i="9"/>
  <c r="L88" i="9" s="1"/>
  <c r="M88" i="9" s="1"/>
  <c r="L112" i="9"/>
  <c r="W112" i="9"/>
  <c r="N12" i="9"/>
  <c r="H61" i="9"/>
  <c r="L61" i="9"/>
  <c r="M61" i="9" s="1"/>
  <c r="N61" i="9" s="1"/>
  <c r="H81" i="9"/>
  <c r="L81" i="9" s="1"/>
  <c r="M81" i="9" s="1"/>
  <c r="N81" i="9" s="1"/>
  <c r="H124" i="9"/>
  <c r="W124" i="9" s="1"/>
  <c r="S209" i="9"/>
  <c r="H209" i="9"/>
  <c r="V23" i="9"/>
  <c r="H23" i="9"/>
  <c r="W23" i="9" s="1"/>
  <c r="X23" i="9" s="1"/>
  <c r="V30" i="9"/>
  <c r="H76" i="9"/>
  <c r="W76" i="9" s="1"/>
  <c r="V76" i="9"/>
  <c r="H98" i="9"/>
  <c r="W98" i="9" s="1"/>
  <c r="H170" i="9"/>
  <c r="W170" i="9" s="1"/>
  <c r="S170" i="9"/>
  <c r="H206" i="9"/>
  <c r="L206" i="9" s="1"/>
  <c r="M206" i="9" s="1"/>
  <c r="N206" i="9" s="1"/>
  <c r="S175" i="9"/>
  <c r="V19" i="9"/>
  <c r="H71" i="9"/>
  <c r="L71" i="9" s="1"/>
  <c r="V93" i="9"/>
  <c r="H93" i="9"/>
  <c r="L106" i="9"/>
  <c r="V161" i="9"/>
  <c r="H167" i="9"/>
  <c r="V167" i="9"/>
  <c r="S167" i="9"/>
  <c r="S192" i="9"/>
  <c r="V192" i="9"/>
  <c r="W192" i="9"/>
  <c r="S218" i="9"/>
  <c r="N21" i="9"/>
  <c r="U21" i="9" s="1"/>
  <c r="W114" i="9"/>
  <c r="X114" i="9" s="1"/>
  <c r="T46" i="9"/>
  <c r="N6" i="9"/>
  <c r="U6" i="9" s="1"/>
  <c r="H6" i="9"/>
  <c r="W6" i="9" s="1"/>
  <c r="H9" i="9"/>
  <c r="W9" i="9" s="1"/>
  <c r="X9" i="9" s="1"/>
  <c r="V9" i="9"/>
  <c r="V6" i="9"/>
  <c r="W120" i="9"/>
  <c r="L120" i="9"/>
  <c r="M120" i="9" s="1"/>
  <c r="N120" i="9" s="1"/>
  <c r="U120" i="9" s="1"/>
  <c r="H176" i="9"/>
  <c r="V10" i="9"/>
  <c r="V38" i="9"/>
  <c r="H38" i="9"/>
  <c r="W38" i="9" s="1"/>
  <c r="X38" i="9" s="1"/>
  <c r="H52" i="9"/>
  <c r="W52" i="9" s="1"/>
  <c r="V52" i="9"/>
  <c r="N51" i="9"/>
  <c r="U51" i="9" s="1"/>
  <c r="L57" i="9"/>
  <c r="M57" i="9" s="1"/>
  <c r="N57" i="9" s="1"/>
  <c r="V129" i="9"/>
  <c r="U6" i="5"/>
  <c r="L338" i="10"/>
  <c r="L281" i="10"/>
  <c r="Y281" i="10" s="1"/>
  <c r="W208" i="9"/>
  <c r="L82" i="9"/>
  <c r="W82" i="9"/>
  <c r="M114" i="9"/>
  <c r="N114" i="9" s="1"/>
  <c r="U114" i="9" s="1"/>
  <c r="W57" i="9"/>
  <c r="M82" i="9"/>
  <c r="N82" i="9" s="1"/>
  <c r="N88" i="9"/>
  <c r="U88" i="9" s="1"/>
  <c r="X6" i="9"/>
  <c r="R11" i="7"/>
  <c r="M9" i="7"/>
  <c r="M373" i="13"/>
  <c r="N373" i="13" s="1"/>
  <c r="M367" i="13"/>
  <c r="N367" i="13" s="1"/>
  <c r="U482" i="15"/>
  <c r="V142" i="10"/>
  <c r="H142" i="10"/>
  <c r="W142" i="10" s="1"/>
  <c r="X142" i="10" s="1"/>
  <c r="H137" i="10"/>
  <c r="W137" i="10" s="1"/>
  <c r="X137" i="10" s="1"/>
  <c r="H85" i="10"/>
  <c r="W85" i="10" s="1"/>
  <c r="X85" i="10" s="1"/>
  <c r="V85" i="10"/>
  <c r="V76" i="10"/>
  <c r="H75" i="10"/>
  <c r="W75" i="10" s="1"/>
  <c r="X75" i="10" s="1"/>
  <c r="H15" i="10"/>
  <c r="W15" i="10" s="1"/>
  <c r="X15" i="10" s="1"/>
  <c r="N15" i="10"/>
  <c r="V32" i="10"/>
  <c r="H19" i="10"/>
  <c r="W19" i="10" s="1"/>
  <c r="X19" i="10" s="1"/>
  <c r="H39" i="10"/>
  <c r="W39" i="10" s="1"/>
  <c r="X39" i="10" s="1"/>
  <c r="H72" i="10"/>
  <c r="W72" i="10" s="1"/>
  <c r="X72" i="10" s="1"/>
  <c r="V105" i="10"/>
  <c r="H115" i="10"/>
  <c r="W115" i="10" s="1"/>
  <c r="X115" i="10" s="1"/>
  <c r="N131" i="10"/>
  <c r="H139" i="10"/>
  <c r="W139" i="10" s="1"/>
  <c r="X139" i="10" s="1"/>
  <c r="V149" i="10"/>
  <c r="V151" i="10"/>
  <c r="H151" i="10"/>
  <c r="W151" i="10" s="1"/>
  <c r="X151" i="10" s="1"/>
  <c r="V161" i="10"/>
  <c r="H168" i="10"/>
  <c r="V171" i="10"/>
  <c r="V189" i="10"/>
  <c r="H201" i="10"/>
  <c r="L201" i="10" s="1"/>
  <c r="H218" i="10"/>
  <c r="W218" i="10" s="1"/>
  <c r="V222" i="10"/>
  <c r="H222" i="10"/>
  <c r="L222" i="10" s="1"/>
  <c r="V227" i="10"/>
  <c r="H228" i="10"/>
  <c r="H252" i="10"/>
  <c r="W252" i="10" s="1"/>
  <c r="H253" i="10"/>
  <c r="W253" i="10" s="1"/>
  <c r="H254" i="10"/>
  <c r="V254" i="10"/>
  <c r="H257" i="10"/>
  <c r="V263" i="10"/>
  <c r="H294" i="10"/>
  <c r="V294" i="10"/>
  <c r="V295" i="10"/>
  <c r="H295" i="10"/>
  <c r="W295" i="10" s="1"/>
  <c r="V297" i="10"/>
  <c r="H298" i="10"/>
  <c r="S304" i="10"/>
  <c r="S307" i="10"/>
  <c r="H307" i="10"/>
  <c r="V307" i="10"/>
  <c r="S313" i="10"/>
  <c r="S315" i="10"/>
  <c r="S322" i="10"/>
  <c r="V322" i="10"/>
  <c r="W322" i="10"/>
  <c r="L322" i="10"/>
  <c r="M322" i="10" s="1"/>
  <c r="N322" i="10" s="1"/>
  <c r="S326" i="10"/>
  <c r="V326" i="10"/>
  <c r="H328" i="10"/>
  <c r="H330" i="10"/>
  <c r="S330" i="10"/>
  <c r="H344" i="10"/>
  <c r="S348" i="10"/>
  <c r="S351" i="10"/>
  <c r="H357" i="10"/>
  <c r="L357" i="10" s="1"/>
  <c r="M357" i="10" s="1"/>
  <c r="N357" i="10" s="1"/>
  <c r="U357" i="10" s="1"/>
  <c r="S357" i="10"/>
  <c r="H359" i="10"/>
  <c r="V359" i="10"/>
  <c r="S361" i="10"/>
  <c r="W169" i="10"/>
  <c r="V353" i="10"/>
  <c r="W353" i="10" s="1"/>
  <c r="H42" i="10"/>
  <c r="W42" i="10" s="1"/>
  <c r="X42" i="10" s="1"/>
  <c r="V330" i="10"/>
  <c r="V115" i="10"/>
  <c r="H297" i="10"/>
  <c r="W297" i="10" s="1"/>
  <c r="V220" i="10"/>
  <c r="X287" i="10"/>
  <c r="H171" i="10"/>
  <c r="W171" i="10" s="1"/>
  <c r="V75" i="10"/>
  <c r="V253" i="10"/>
  <c r="H32" i="10"/>
  <c r="W32" i="10" s="1"/>
  <c r="X32" i="10" s="1"/>
  <c r="S359" i="10"/>
  <c r="H46" i="10"/>
  <c r="W46" i="10" s="1"/>
  <c r="X46" i="10" s="1"/>
  <c r="H55" i="10"/>
  <c r="W55" i="10" s="1"/>
  <c r="X55" i="10" s="1"/>
  <c r="V44" i="10"/>
  <c r="V56" i="10"/>
  <c r="V158" i="10"/>
  <c r="H158" i="10"/>
  <c r="W158" i="10" s="1"/>
  <c r="X158" i="10" s="1"/>
  <c r="L285" i="10"/>
  <c r="Y285" i="10" s="1"/>
  <c r="L220" i="10"/>
  <c r="X220" i="10" s="1"/>
  <c r="V47" i="10"/>
  <c r="H13" i="10"/>
  <c r="W13" i="10" s="1"/>
  <c r="X13" i="10" s="1"/>
  <c r="N13" i="10"/>
  <c r="T13" i="10" s="1"/>
  <c r="H37" i="10"/>
  <c r="W37" i="10" s="1"/>
  <c r="X37" i="10" s="1"/>
  <c r="V90" i="10"/>
  <c r="H101" i="10"/>
  <c r="W101" i="10" s="1"/>
  <c r="X101" i="10" s="1"/>
  <c r="H25" i="10"/>
  <c r="W25" i="10" s="1"/>
  <c r="X25" i="10" s="1"/>
  <c r="V82" i="10"/>
  <c r="V84" i="10"/>
  <c r="H86" i="10"/>
  <c r="W86" i="10" s="1"/>
  <c r="X86" i="10" s="1"/>
  <c r="V92" i="10"/>
  <c r="H144" i="10"/>
  <c r="W144" i="10" s="1"/>
  <c r="X144" i="10" s="1"/>
  <c r="H289" i="10"/>
  <c r="L289" i="10" s="1"/>
  <c r="V289" i="10"/>
  <c r="H296" i="10"/>
  <c r="V296" i="10"/>
  <c r="V335" i="10"/>
  <c r="H335" i="10"/>
  <c r="V355" i="10"/>
  <c r="H355" i="10"/>
  <c r="N57" i="10"/>
  <c r="R57" i="10" s="1"/>
  <c r="H91" i="10"/>
  <c r="W91" i="10" s="1"/>
  <c r="X91" i="10" s="1"/>
  <c r="V215" i="10"/>
  <c r="W122" i="9"/>
  <c r="V108" i="9"/>
  <c r="H108" i="9"/>
  <c r="H128" i="9"/>
  <c r="W128" i="9" s="1"/>
  <c r="H130" i="9"/>
  <c r="W130" i="9" s="1"/>
  <c r="S177" i="9"/>
  <c r="V181" i="9"/>
  <c r="H181" i="9"/>
  <c r="W181" i="9" s="1"/>
  <c r="S181" i="9"/>
  <c r="S183" i="9"/>
  <c r="S188" i="9"/>
  <c r="H188" i="9"/>
  <c r="L188" i="9" s="1"/>
  <c r="M188" i="9" s="1"/>
  <c r="N188" i="9" s="1"/>
  <c r="H196" i="9"/>
  <c r="S196" i="9"/>
  <c r="L163" i="9"/>
  <c r="M163" i="9" s="1"/>
  <c r="N163" i="9" s="1"/>
  <c r="V196" i="9"/>
  <c r="V188" i="9"/>
  <c r="H179" i="9"/>
  <c r="W179" i="9" s="1"/>
  <c r="V163" i="9"/>
  <c r="S166" i="9"/>
  <c r="H5" i="9"/>
  <c r="W5" i="9" s="1"/>
  <c r="X5" i="9" s="1"/>
  <c r="N17" i="9"/>
  <c r="U17" i="9" s="1"/>
  <c r="V17" i="9"/>
  <c r="N35" i="9"/>
  <c r="R35" i="9" s="1"/>
  <c r="H35" i="9"/>
  <c r="W35" i="9" s="1"/>
  <c r="X35" i="9" s="1"/>
  <c r="V39" i="9"/>
  <c r="H47" i="9"/>
  <c r="W47" i="9" s="1"/>
  <c r="X47" i="9" s="1"/>
  <c r="H55" i="9"/>
  <c r="V55" i="9"/>
  <c r="V56" i="9"/>
  <c r="V74" i="9"/>
  <c r="H77" i="9"/>
  <c r="H78" i="9"/>
  <c r="W78" i="9" s="1"/>
  <c r="H84" i="9"/>
  <c r="L84" i="9" s="1"/>
  <c r="V84" i="9"/>
  <c r="V99" i="9"/>
  <c r="H104" i="9"/>
  <c r="W104" i="9" s="1"/>
  <c r="H153" i="9"/>
  <c r="W153" i="9" s="1"/>
  <c r="V172" i="9"/>
  <c r="H205" i="9"/>
  <c r="W205" i="9" s="1"/>
  <c r="S205" i="9"/>
  <c r="N19" i="9"/>
  <c r="W61" i="9"/>
  <c r="R12" i="9"/>
  <c r="H17" i="9"/>
  <c r="W17" i="9" s="1"/>
  <c r="X17" i="9" s="1"/>
  <c r="V15" i="9"/>
  <c r="U56" i="15"/>
  <c r="T56" i="15"/>
  <c r="L371" i="15"/>
  <c r="M371" i="15" s="1"/>
  <c r="N371" i="15" s="1"/>
  <c r="W237" i="15"/>
  <c r="L241" i="15"/>
  <c r="X241" i="15" s="1"/>
  <c r="L221" i="15"/>
  <c r="M221" i="15" s="1"/>
  <c r="N221" i="15" s="1"/>
  <c r="L282" i="15"/>
  <c r="M282" i="15" s="1"/>
  <c r="N282" i="15" s="1"/>
  <c r="U156" i="15"/>
  <c r="W262" i="15"/>
  <c r="T147" i="15"/>
  <c r="T182" i="15"/>
  <c r="T163" i="15"/>
  <c r="W399" i="15"/>
  <c r="X399" i="15" s="1"/>
  <c r="L293" i="15"/>
  <c r="X293" i="15" s="1"/>
  <c r="X297" i="15"/>
  <c r="L357" i="15"/>
  <c r="U45" i="15"/>
  <c r="U166" i="15"/>
  <c r="T43" i="15"/>
  <c r="W422" i="15"/>
  <c r="L422" i="15"/>
  <c r="M422" i="15" s="1"/>
  <c r="N422" i="15" s="1"/>
  <c r="T422" i="15" s="1"/>
  <c r="U342" i="15"/>
  <c r="L310" i="15"/>
  <c r="M310" i="15" s="1"/>
  <c r="N310" i="15" s="1"/>
  <c r="U310" i="15" s="1"/>
  <c r="W310" i="15"/>
  <c r="U187" i="15"/>
  <c r="T187" i="15"/>
  <c r="W438" i="15"/>
  <c r="L438" i="15"/>
  <c r="M438" i="15" s="1"/>
  <c r="N438" i="15" s="1"/>
  <c r="N57" i="15"/>
  <c r="T57" i="15" s="1"/>
  <c r="H371" i="10"/>
  <c r="L371" i="10" s="1"/>
  <c r="M371" i="10" s="1"/>
  <c r="N371" i="10" s="1"/>
  <c r="W229" i="10"/>
  <c r="W222" i="10"/>
  <c r="Y220" i="10"/>
  <c r="U35" i="9"/>
  <c r="L179" i="9"/>
  <c r="M179" i="9" s="1"/>
  <c r="N179" i="9" s="1"/>
  <c r="U179" i="9" s="1"/>
  <c r="M213" i="9"/>
  <c r="N213" i="9" s="1"/>
  <c r="U213" i="9" s="1"/>
  <c r="L8" i="5"/>
  <c r="H8" i="5"/>
  <c r="S10" i="5"/>
  <c r="H10" i="5"/>
  <c r="W10" i="5" s="1"/>
  <c r="X10" i="5" s="1"/>
  <c r="T52" i="17"/>
  <c r="U52" i="17" s="1"/>
  <c r="V52" i="17" s="1"/>
  <c r="R52" i="17"/>
  <c r="N50" i="17"/>
  <c r="O50" i="17" s="1"/>
  <c r="R7" i="17"/>
  <c r="R30" i="17"/>
  <c r="T31" i="17"/>
  <c r="U31" i="17" s="1"/>
  <c r="R31" i="17"/>
  <c r="M49" i="17"/>
  <c r="N49" i="17" s="1"/>
  <c r="O49" i="17" s="1"/>
  <c r="S49" i="17" s="1"/>
  <c r="T49" i="17"/>
  <c r="U49" i="17" s="1"/>
  <c r="R50" i="17"/>
  <c r="T50" i="17"/>
  <c r="U50" i="17" s="1"/>
  <c r="V50" i="17" s="1"/>
  <c r="O41" i="17"/>
  <c r="R23" i="17"/>
  <c r="R41" i="17"/>
  <c r="M31" i="17"/>
  <c r="N31" i="17" s="1"/>
  <c r="O31" i="17" s="1"/>
  <c r="R49" i="17"/>
  <c r="M38" i="17"/>
  <c r="N38" i="17" s="1"/>
  <c r="O38" i="17" s="1"/>
  <c r="R10" i="17"/>
  <c r="T21" i="17"/>
  <c r="U21" i="17" s="1"/>
  <c r="V21" i="17" s="1"/>
  <c r="R21" i="17"/>
  <c r="R29" i="17"/>
  <c r="S29" i="17" s="1"/>
  <c r="T29" i="17"/>
  <c r="U29" i="17" s="1"/>
  <c r="M39" i="17"/>
  <c r="N39" i="17" s="1"/>
  <c r="O39" i="17" s="1"/>
  <c r="S39" i="17" s="1"/>
  <c r="T39" i="17"/>
  <c r="U39" i="17" s="1"/>
  <c r="O21" i="17"/>
  <c r="S21" i="17" s="1"/>
  <c r="T47" i="17"/>
  <c r="U47" i="17" s="1"/>
  <c r="R47" i="17"/>
  <c r="M34" i="17"/>
  <c r="N34" i="17" s="1"/>
  <c r="O34" i="17" s="1"/>
  <c r="S34" i="17" s="1"/>
  <c r="M24" i="17"/>
  <c r="T24" i="17"/>
  <c r="U24" i="17" s="1"/>
  <c r="R27" i="17"/>
  <c r="M27" i="17"/>
  <c r="M47" i="17"/>
  <c r="R48" i="17"/>
  <c r="M48" i="17"/>
  <c r="V48" i="17" s="1"/>
  <c r="M51" i="17"/>
  <c r="R51" i="17"/>
  <c r="N52" i="17"/>
  <c r="O52" i="17" s="1"/>
  <c r="S52" i="17" s="1"/>
  <c r="U255" i="16"/>
  <c r="W413" i="16"/>
  <c r="H56" i="16"/>
  <c r="W56" i="16" s="1"/>
  <c r="X56" i="16" s="1"/>
  <c r="V56" i="16"/>
  <c r="N68" i="16"/>
  <c r="H68" i="16"/>
  <c r="W68" i="16" s="1"/>
  <c r="X68" i="16" s="1"/>
  <c r="V68" i="16"/>
  <c r="N83" i="16"/>
  <c r="H90" i="16"/>
  <c r="W90" i="16" s="1"/>
  <c r="X90" i="16" s="1"/>
  <c r="N90" i="16"/>
  <c r="R90" i="16" s="1"/>
  <c r="H100" i="16"/>
  <c r="W100" i="16" s="1"/>
  <c r="X100" i="16" s="1"/>
  <c r="V100" i="16"/>
  <c r="H114" i="16"/>
  <c r="W114" i="16" s="1"/>
  <c r="X114" i="16" s="1"/>
  <c r="V114" i="16"/>
  <c r="V119" i="16"/>
  <c r="H119" i="16"/>
  <c r="W119" i="16" s="1"/>
  <c r="X119" i="16" s="1"/>
  <c r="V169" i="16"/>
  <c r="V175" i="16"/>
  <c r="H194" i="16"/>
  <c r="W194" i="16" s="1"/>
  <c r="V210" i="16"/>
  <c r="V216" i="16"/>
  <c r="H217" i="16"/>
  <c r="L217" i="16" s="1"/>
  <c r="M217" i="16" s="1"/>
  <c r="N217" i="16" s="1"/>
  <c r="U217" i="16" s="1"/>
  <c r="V217" i="16"/>
  <c r="H226" i="16"/>
  <c r="L226" i="16" s="1"/>
  <c r="H240" i="16"/>
  <c r="W240" i="16" s="1"/>
  <c r="H248" i="16"/>
  <c r="L248" i="16" s="1"/>
  <c r="M248" i="16" s="1"/>
  <c r="N248" i="16" s="1"/>
  <c r="H249" i="16"/>
  <c r="W249" i="16" s="1"/>
  <c r="V249" i="16"/>
  <c r="H252" i="16"/>
  <c r="V252" i="16"/>
  <c r="H266" i="16"/>
  <c r="W266" i="16" s="1"/>
  <c r="V266" i="16"/>
  <c r="H270" i="16"/>
  <c r="L270" i="16" s="1"/>
  <c r="V270" i="16"/>
  <c r="S442" i="16"/>
  <c r="H449" i="16"/>
  <c r="S449" i="16"/>
  <c r="V451" i="16"/>
  <c r="V455" i="16"/>
  <c r="V457" i="16"/>
  <c r="R65" i="16"/>
  <c r="R69" i="16"/>
  <c r="L237" i="16"/>
  <c r="R89" i="16"/>
  <c r="N173" i="16"/>
  <c r="L235" i="16"/>
  <c r="H455" i="16"/>
  <c r="H442" i="16"/>
  <c r="W421" i="16"/>
  <c r="L421" i="16"/>
  <c r="M421" i="16" s="1"/>
  <c r="N421" i="16" s="1"/>
  <c r="H453" i="16"/>
  <c r="H126" i="16"/>
  <c r="W126" i="16" s="1"/>
  <c r="X126" i="16" s="1"/>
  <c r="H111" i="16"/>
  <c r="W111" i="16" s="1"/>
  <c r="X111" i="16" s="1"/>
  <c r="M435" i="16"/>
  <c r="N435" i="16" s="1"/>
  <c r="V261" i="16"/>
  <c r="V257" i="16"/>
  <c r="V241" i="16"/>
  <c r="H115" i="16"/>
  <c r="W115" i="16" s="1"/>
  <c r="X115" i="16" s="1"/>
  <c r="V80" i="16"/>
  <c r="V14" i="16"/>
  <c r="H37" i="16"/>
  <c r="W37" i="16" s="1"/>
  <c r="V37" i="16"/>
  <c r="H42" i="16"/>
  <c r="W42" i="16" s="1"/>
  <c r="X42" i="16" s="1"/>
  <c r="H50" i="16"/>
  <c r="W50" i="16" s="1"/>
  <c r="X50" i="16" s="1"/>
  <c r="V50" i="16"/>
  <c r="V131" i="16"/>
  <c r="H136" i="16"/>
  <c r="W136" i="16" s="1"/>
  <c r="X136" i="16" s="1"/>
  <c r="N157" i="16"/>
  <c r="R157" i="16" s="1"/>
  <c r="V157" i="16"/>
  <c r="V164" i="16"/>
  <c r="V185" i="16"/>
  <c r="H185" i="16"/>
  <c r="V231" i="16"/>
  <c r="H231" i="16"/>
  <c r="W231" i="16" s="1"/>
  <c r="V273" i="16"/>
  <c r="W282" i="16"/>
  <c r="L282" i="16"/>
  <c r="V285" i="16"/>
  <c r="H309" i="16"/>
  <c r="V309" i="16"/>
  <c r="H312" i="16"/>
  <c r="W312" i="16" s="1"/>
  <c r="H324" i="16"/>
  <c r="H326" i="16"/>
  <c r="V351" i="16"/>
  <c r="H365" i="16"/>
  <c r="V372" i="16"/>
  <c r="L372" i="16"/>
  <c r="V373" i="16"/>
  <c r="H407" i="16"/>
  <c r="W407" i="16" s="1"/>
  <c r="R40" i="16"/>
  <c r="N139" i="16"/>
  <c r="H283" i="16"/>
  <c r="W283" i="16" s="1"/>
  <c r="V330" i="16"/>
  <c r="V345" i="16"/>
  <c r="V346" i="16"/>
  <c r="H402" i="16"/>
  <c r="L402" i="16" s="1"/>
  <c r="V402" i="16"/>
  <c r="V418" i="16"/>
  <c r="N21" i="16"/>
  <c r="N29" i="16"/>
  <c r="U29" i="16" s="1"/>
  <c r="N53" i="16"/>
  <c r="N72" i="16"/>
  <c r="U72" i="16" s="1"/>
  <c r="N73" i="16"/>
  <c r="U73" i="16" s="1"/>
  <c r="N76" i="16"/>
  <c r="N97" i="16"/>
  <c r="U97" i="16" s="1"/>
  <c r="N100" i="16"/>
  <c r="T100" i="16" s="1"/>
  <c r="N113" i="16"/>
  <c r="H320" i="16"/>
  <c r="V320" i="16"/>
  <c r="V398" i="16"/>
  <c r="H398" i="16"/>
  <c r="W398" i="16" s="1"/>
  <c r="H417" i="16"/>
  <c r="W417" i="16" s="1"/>
  <c r="S417" i="16"/>
  <c r="H448" i="16"/>
  <c r="T244" i="16"/>
  <c r="W294" i="16"/>
  <c r="T116" i="16"/>
  <c r="M300" i="16"/>
  <c r="N300" i="16" s="1"/>
  <c r="U300" i="16" s="1"/>
  <c r="W241" i="16"/>
  <c r="L241" i="16"/>
  <c r="M241" i="16" s="1"/>
  <c r="N241" i="16" s="1"/>
  <c r="L202" i="16"/>
  <c r="L254" i="16"/>
  <c r="X254" i="16" s="1"/>
  <c r="L332" i="16"/>
  <c r="X332" i="16" s="1"/>
  <c r="U495" i="15"/>
  <c r="L512" i="15"/>
  <c r="M512" i="15" s="1"/>
  <c r="N512" i="15" s="1"/>
  <c r="H491" i="15"/>
  <c r="L491" i="15" s="1"/>
  <c r="M491" i="15" s="1"/>
  <c r="N491" i="15" s="1"/>
  <c r="U491" i="15" s="1"/>
  <c r="V491" i="15"/>
  <c r="S478" i="15"/>
  <c r="V478" i="15"/>
  <c r="S466" i="15"/>
  <c r="V466" i="15"/>
  <c r="V354" i="15"/>
  <c r="H354" i="15"/>
  <c r="L354" i="15" s="1"/>
  <c r="M354" i="15" s="1"/>
  <c r="N354" i="15" s="1"/>
  <c r="V346" i="15"/>
  <c r="H346" i="15"/>
  <c r="W346" i="15" s="1"/>
  <c r="V338" i="15"/>
  <c r="V326" i="15"/>
  <c r="L326" i="15"/>
  <c r="M326" i="15" s="1"/>
  <c r="N326" i="15" s="1"/>
  <c r="U326" i="15" s="1"/>
  <c r="H291" i="15"/>
  <c r="V291" i="15"/>
  <c r="H278" i="15"/>
  <c r="W278" i="15" s="1"/>
  <c r="H518" i="15"/>
  <c r="L518" i="15" s="1"/>
  <c r="M518" i="15" s="1"/>
  <c r="N518" i="15" s="1"/>
  <c r="H527" i="15"/>
  <c r="L527" i="15" s="1"/>
  <c r="M527" i="15" s="1"/>
  <c r="N527" i="15" s="1"/>
  <c r="L506" i="15"/>
  <c r="M506" i="15" s="1"/>
  <c r="N506" i="15" s="1"/>
  <c r="S499" i="15"/>
  <c r="H499" i="15"/>
  <c r="V390" i="15"/>
  <c r="H319" i="15"/>
  <c r="L319" i="15" s="1"/>
  <c r="V305" i="15"/>
  <c r="H305" i="15"/>
  <c r="H299" i="15"/>
  <c r="L299" i="15" s="1"/>
  <c r="M299" i="15" s="1"/>
  <c r="N299" i="15" s="1"/>
  <c r="W294" i="15"/>
  <c r="L294" i="15"/>
  <c r="V267" i="15"/>
  <c r="H267" i="15"/>
  <c r="L267" i="15" s="1"/>
  <c r="M267" i="15" s="1"/>
  <c r="N267" i="15" s="1"/>
  <c r="V258" i="15"/>
  <c r="H199" i="15"/>
  <c r="W199" i="15" s="1"/>
  <c r="V199" i="15"/>
  <c r="H187" i="15"/>
  <c r="W187" i="15" s="1"/>
  <c r="X187" i="15" s="1"/>
  <c r="V187" i="15"/>
  <c r="V179" i="15"/>
  <c r="H179" i="15"/>
  <c r="W179" i="15" s="1"/>
  <c r="X179" i="15" s="1"/>
  <c r="N111" i="15"/>
  <c r="U111" i="15" s="1"/>
  <c r="V111" i="15"/>
  <c r="H75" i="15"/>
  <c r="W75" i="15" s="1"/>
  <c r="X75" i="15" s="1"/>
  <c r="V75" i="15"/>
  <c r="H515" i="15"/>
  <c r="L515" i="15" s="1"/>
  <c r="M515" i="15" s="1"/>
  <c r="N515" i="15" s="1"/>
  <c r="T250" i="15"/>
  <c r="M265" i="15"/>
  <c r="N265" i="15" s="1"/>
  <c r="W446" i="15"/>
  <c r="X446" i="15" s="1"/>
  <c r="T9" i="15"/>
  <c r="L279" i="15"/>
  <c r="X279" i="15" s="1"/>
  <c r="T92" i="15"/>
  <c r="U92" i="15"/>
  <c r="M454" i="15"/>
  <c r="N454" i="15" s="1"/>
  <c r="U454" i="15" s="1"/>
  <c r="U178" i="15"/>
  <c r="L378" i="15"/>
  <c r="M378" i="15" s="1"/>
  <c r="N378" i="15" s="1"/>
  <c r="U378" i="15" s="1"/>
  <c r="W378" i="15"/>
  <c r="W266" i="15"/>
  <c r="L266" i="15"/>
  <c r="M266" i="15" s="1"/>
  <c r="N266" i="15" s="1"/>
  <c r="L386" i="15"/>
  <c r="M386" i="15" s="1"/>
  <c r="N386" i="15" s="1"/>
  <c r="L458" i="15"/>
  <c r="W458" i="15"/>
  <c r="W366" i="15"/>
  <c r="L366" i="15"/>
  <c r="M366" i="15" s="1"/>
  <c r="N366" i="15" s="1"/>
  <c r="T170" i="14"/>
  <c r="U170" i="14"/>
  <c r="T136" i="14"/>
  <c r="U136" i="14"/>
  <c r="U119" i="14"/>
  <c r="X126" i="14"/>
  <c r="R115" i="14"/>
  <c r="T115" i="14"/>
  <c r="R91" i="14"/>
  <c r="T91" i="14"/>
  <c r="U107" i="14"/>
  <c r="R107" i="14"/>
  <c r="U21" i="14"/>
  <c r="T21" i="14"/>
  <c r="X179" i="14"/>
  <c r="M179" i="14"/>
  <c r="N179" i="14" s="1"/>
  <c r="T179" i="14" s="1"/>
  <c r="M172" i="14"/>
  <c r="N172" i="14"/>
  <c r="X172" i="14"/>
  <c r="H13" i="14"/>
  <c r="W13" i="14" s="1"/>
  <c r="X13" i="14" s="1"/>
  <c r="V13" i="14"/>
  <c r="F201" i="14"/>
  <c r="N33" i="14"/>
  <c r="H33" i="14"/>
  <c r="W33" i="14" s="1"/>
  <c r="X33" i="14" s="1"/>
  <c r="V33" i="14"/>
  <c r="N38" i="14"/>
  <c r="H38" i="14"/>
  <c r="W38" i="14" s="1"/>
  <c r="X38" i="14" s="1"/>
  <c r="H73" i="14"/>
  <c r="W73" i="14" s="1"/>
  <c r="X73" i="14" s="1"/>
  <c r="N73" i="14"/>
  <c r="V82" i="14"/>
  <c r="H82" i="14"/>
  <c r="W82" i="14"/>
  <c r="X82" i="14" s="1"/>
  <c r="N131" i="14"/>
  <c r="H131" i="14"/>
  <c r="W131" i="14" s="1"/>
  <c r="X131" i="14" s="1"/>
  <c r="V144" i="14"/>
  <c r="H144" i="14"/>
  <c r="H146" i="14"/>
  <c r="W146" i="14" s="1"/>
  <c r="V146" i="14"/>
  <c r="H148" i="14"/>
  <c r="W148" i="14" s="1"/>
  <c r="V148" i="14"/>
  <c r="X165" i="14"/>
  <c r="H166" i="14"/>
  <c r="W166" i="14" s="1"/>
  <c r="H180" i="14"/>
  <c r="W180" i="14" s="1"/>
  <c r="V180" i="14"/>
  <c r="H185" i="14"/>
  <c r="L185" i="14" s="1"/>
  <c r="V185" i="14"/>
  <c r="H191" i="14"/>
  <c r="W191" i="14" s="1"/>
  <c r="V191" i="14"/>
  <c r="H192" i="14"/>
  <c r="W192" i="14"/>
  <c r="X192" i="14" s="1"/>
  <c r="V193" i="14"/>
  <c r="U194" i="14"/>
  <c r="U177" i="14"/>
  <c r="M126" i="14"/>
  <c r="N126" i="14" s="1"/>
  <c r="X156" i="14"/>
  <c r="R110" i="14"/>
  <c r="U29" i="14"/>
  <c r="R39" i="14"/>
  <c r="N165" i="14"/>
  <c r="L143" i="14"/>
  <c r="X143" i="14" s="1"/>
  <c r="R21" i="14"/>
  <c r="X136" i="14"/>
  <c r="X153" i="14"/>
  <c r="T44" i="14"/>
  <c r="N82" i="14"/>
  <c r="T42" i="14"/>
  <c r="U42" i="14"/>
  <c r="T36" i="14"/>
  <c r="R36" i="14"/>
  <c r="V110" i="14"/>
  <c r="X157" i="14"/>
  <c r="L176" i="14"/>
  <c r="U12" i="14"/>
  <c r="U91" i="14"/>
  <c r="L145" i="14"/>
  <c r="X145" i="14" s="1"/>
  <c r="R35" i="14"/>
  <c r="H193" i="14"/>
  <c r="W193" i="14" s="1"/>
  <c r="X193" i="14" s="1"/>
  <c r="T53" i="14"/>
  <c r="R53" i="14"/>
  <c r="V38" i="14"/>
  <c r="W147" i="14"/>
  <c r="L147" i="14"/>
  <c r="T24" i="14"/>
  <c r="R24" i="14"/>
  <c r="U25" i="14"/>
  <c r="R25" i="14"/>
  <c r="V145" i="14"/>
  <c r="V192" i="14"/>
  <c r="M167" i="14"/>
  <c r="N167" i="14" s="1"/>
  <c r="X167" i="14"/>
  <c r="V166" i="14"/>
  <c r="W162" i="14"/>
  <c r="L162" i="14"/>
  <c r="M162" i="14" s="1"/>
  <c r="N162" i="14" s="1"/>
  <c r="V14" i="14"/>
  <c r="H14" i="14"/>
  <c r="W14" i="14" s="1"/>
  <c r="X14" i="14"/>
  <c r="H23" i="14"/>
  <c r="W23" i="14" s="1"/>
  <c r="X23" i="14" s="1"/>
  <c r="V23" i="14"/>
  <c r="V27" i="14"/>
  <c r="N27" i="14"/>
  <c r="N28" i="14"/>
  <c r="H29" i="14"/>
  <c r="W29" i="14" s="1"/>
  <c r="X29" i="14" s="1"/>
  <c r="V29" i="14"/>
  <c r="H34" i="14"/>
  <c r="W34" i="14" s="1"/>
  <c r="X34" i="14" s="1"/>
  <c r="N34" i="14"/>
  <c r="N50" i="14"/>
  <c r="H50" i="14"/>
  <c r="W50" i="14" s="1"/>
  <c r="X50" i="14" s="1"/>
  <c r="V50" i="14"/>
  <c r="N112" i="14"/>
  <c r="H112" i="14"/>
  <c r="W112" i="14" s="1"/>
  <c r="X112" i="14" s="1"/>
  <c r="V127" i="14"/>
  <c r="L127" i="14"/>
  <c r="M127" i="14" s="1"/>
  <c r="N127" i="14" s="1"/>
  <c r="H137" i="14"/>
  <c r="W137" i="14"/>
  <c r="V137" i="14"/>
  <c r="H188" i="14"/>
  <c r="V188" i="14"/>
  <c r="L190" i="14"/>
  <c r="W190" i="14"/>
  <c r="X119" i="14"/>
  <c r="N71" i="14"/>
  <c r="N13" i="14"/>
  <c r="N14" i="14"/>
  <c r="R14" i="14" s="1"/>
  <c r="T14" i="14"/>
  <c r="N20" i="14"/>
  <c r="U20" i="14" s="1"/>
  <c r="N22" i="14"/>
  <c r="U22" i="14" s="1"/>
  <c r="N23" i="14"/>
  <c r="R23" i="14" s="1"/>
  <c r="N41" i="14"/>
  <c r="T41" i="14" s="1"/>
  <c r="N46" i="14"/>
  <c r="N51" i="14"/>
  <c r="N54" i="14"/>
  <c r="N59" i="14"/>
  <c r="N70" i="14"/>
  <c r="N81" i="14"/>
  <c r="U81" i="14" s="1"/>
  <c r="N87" i="14"/>
  <c r="N89" i="14"/>
  <c r="N90" i="14"/>
  <c r="N92" i="14"/>
  <c r="N97" i="14"/>
  <c r="T97" i="14" s="1"/>
  <c r="N98" i="14"/>
  <c r="R98" i="14" s="1"/>
  <c r="N102" i="14"/>
  <c r="U159" i="14"/>
  <c r="T159" i="14"/>
  <c r="U168" i="14"/>
  <c r="T168" i="14"/>
  <c r="M161" i="14"/>
  <c r="N161" i="14" s="1"/>
  <c r="X161" i="14"/>
  <c r="M128" i="14"/>
  <c r="N128" i="14" s="1"/>
  <c r="X128" i="14"/>
  <c r="R106" i="14"/>
  <c r="U106" i="14"/>
  <c r="R15" i="14"/>
  <c r="T15" i="14"/>
  <c r="M154" i="14"/>
  <c r="N154" i="14" s="1"/>
  <c r="T154" i="14" s="1"/>
  <c r="X154" i="14"/>
  <c r="W196" i="14"/>
  <c r="L196" i="14"/>
  <c r="M196" i="14" s="1"/>
  <c r="N196" i="14" s="1"/>
  <c r="R76" i="14"/>
  <c r="T76" i="14"/>
  <c r="T9" i="14"/>
  <c r="U9" i="14"/>
  <c r="M164" i="14"/>
  <c r="N164" i="14"/>
  <c r="X164" i="14"/>
  <c r="L138" i="14"/>
  <c r="W138" i="14"/>
  <c r="U101" i="14"/>
  <c r="T101" i="14"/>
  <c r="R68" i="14"/>
  <c r="U68" i="14"/>
  <c r="T108" i="14"/>
  <c r="U108" i="14"/>
  <c r="T187" i="14"/>
  <c r="U187" i="14"/>
  <c r="W124" i="14"/>
  <c r="L124" i="14"/>
  <c r="W118" i="14"/>
  <c r="L118" i="14"/>
  <c r="L163" i="14"/>
  <c r="W163" i="14"/>
  <c r="M120" i="14"/>
  <c r="N120" i="14" s="1"/>
  <c r="U158" i="14"/>
  <c r="W120" i="14"/>
  <c r="X120" i="14" s="1"/>
  <c r="R27" i="14"/>
  <c r="U15" i="14"/>
  <c r="X159" i="14"/>
  <c r="X182" i="14"/>
  <c r="M121" i="14"/>
  <c r="N121" i="14" s="1"/>
  <c r="X121" i="14"/>
  <c r="R9" i="14"/>
  <c r="T182" i="14"/>
  <c r="U86" i="14"/>
  <c r="T86" i="14"/>
  <c r="L189" i="14"/>
  <c r="X189" i="14" s="1"/>
  <c r="T157" i="14"/>
  <c r="U157" i="14"/>
  <c r="R60" i="14"/>
  <c r="U60" i="14"/>
  <c r="X135" i="14"/>
  <c r="U76" i="14"/>
  <c r="U95" i="14"/>
  <c r="T95" i="14"/>
  <c r="T96" i="14"/>
  <c r="U96" i="14"/>
  <c r="R96" i="14"/>
  <c r="R75" i="14"/>
  <c r="U75" i="14"/>
  <c r="T75" i="14"/>
  <c r="W8" i="14"/>
  <c r="T7" i="14"/>
  <c r="U7" i="14"/>
  <c r="T174" i="14"/>
  <c r="U174" i="14"/>
  <c r="T13" i="14"/>
  <c r="U14" i="14"/>
  <c r="T54" i="14"/>
  <c r="U102" i="14"/>
  <c r="R102" i="14"/>
  <c r="T102" i="14"/>
  <c r="R85" i="14"/>
  <c r="U85" i="14"/>
  <c r="W197" i="14"/>
  <c r="L197" i="14"/>
  <c r="M197" i="14" s="1"/>
  <c r="N197" i="14" s="1"/>
  <c r="W175" i="14"/>
  <c r="L175" i="14"/>
  <c r="T11" i="14"/>
  <c r="U11" i="14"/>
  <c r="W134" i="14"/>
  <c r="X134" i="14" s="1"/>
  <c r="L134" i="14"/>
  <c r="L129" i="14"/>
  <c r="W129" i="14"/>
  <c r="L141" i="14"/>
  <c r="W141" i="14"/>
  <c r="L181" i="14"/>
  <c r="W181" i="14"/>
  <c r="X181" i="14" s="1"/>
  <c r="W184" i="14"/>
  <c r="L184" i="14"/>
  <c r="W186" i="14"/>
  <c r="L186" i="14"/>
  <c r="W123" i="14"/>
  <c r="L123" i="14"/>
  <c r="W117" i="14"/>
  <c r="L117" i="14"/>
  <c r="L173" i="14"/>
  <c r="X173" i="14" s="1"/>
  <c r="W173" i="14"/>
  <c r="W155" i="14"/>
  <c r="L155" i="14"/>
  <c r="U43" i="14"/>
  <c r="T43" i="14"/>
  <c r="L137" i="14"/>
  <c r="X352" i="13"/>
  <c r="U223" i="13"/>
  <c r="T223" i="13"/>
  <c r="T79" i="13"/>
  <c r="U317" i="13"/>
  <c r="T317" i="13"/>
  <c r="U196" i="13"/>
  <c r="U299" i="13"/>
  <c r="M349" i="13"/>
  <c r="N349" i="13"/>
  <c r="U349" i="13" s="1"/>
  <c r="T275" i="13"/>
  <c r="U275" i="13"/>
  <c r="T268" i="13"/>
  <c r="U268" i="13"/>
  <c r="M319" i="13"/>
  <c r="N319" i="13" s="1"/>
  <c r="X54" i="13"/>
  <c r="X348" i="13"/>
  <c r="M348" i="13"/>
  <c r="N348" i="13" s="1"/>
  <c r="T103" i="13"/>
  <c r="X207" i="13"/>
  <c r="T152" i="13"/>
  <c r="U152" i="13"/>
  <c r="L328" i="13"/>
  <c r="W328" i="13"/>
  <c r="T145" i="13"/>
  <c r="R145" i="13"/>
  <c r="R86" i="13"/>
  <c r="T86" i="13"/>
  <c r="W364" i="13"/>
  <c r="T156" i="13"/>
  <c r="U156" i="13"/>
  <c r="U83" i="13"/>
  <c r="R83" i="13"/>
  <c r="U7" i="13"/>
  <c r="T7" i="13"/>
  <c r="W241" i="13"/>
  <c r="L241" i="13"/>
  <c r="T109" i="13"/>
  <c r="R109" i="13"/>
  <c r="L355" i="13"/>
  <c r="M355" i="13" s="1"/>
  <c r="N355" i="13" s="1"/>
  <c r="U355" i="13" s="1"/>
  <c r="X181" i="13"/>
  <c r="W318" i="13"/>
  <c r="Y318" i="13" s="1"/>
  <c r="L318" i="13"/>
  <c r="W228" i="13"/>
  <c r="Y228" i="13" s="1"/>
  <c r="L228" i="13"/>
  <c r="T147" i="13"/>
  <c r="R147" i="13"/>
  <c r="U119" i="13"/>
  <c r="T119" i="13"/>
  <c r="X79" i="13"/>
  <c r="W77" i="13"/>
  <c r="X77" i="13" s="1"/>
  <c r="L77" i="13"/>
  <c r="T25" i="13"/>
  <c r="R25" i="13"/>
  <c r="U25" i="13"/>
  <c r="W190" i="13"/>
  <c r="L190" i="13"/>
  <c r="X190" i="13" s="1"/>
  <c r="M190" i="13"/>
  <c r="N190" i="13" s="1"/>
  <c r="T190" i="13" s="1"/>
  <c r="U47" i="13"/>
  <c r="R47" i="13"/>
  <c r="W205" i="13"/>
  <c r="L205" i="13"/>
  <c r="U141" i="13"/>
  <c r="R141" i="13"/>
  <c r="T141" i="13"/>
  <c r="W193" i="13"/>
  <c r="L193" i="13"/>
  <c r="X193" i="13" s="1"/>
  <c r="X281" i="13"/>
  <c r="Y281" i="13"/>
  <c r="W174" i="13"/>
  <c r="L174" i="13"/>
  <c r="M174" i="13" s="1"/>
  <c r="N174" i="13" s="1"/>
  <c r="U174" i="13" s="1"/>
  <c r="L188" i="13"/>
  <c r="W188" i="13"/>
  <c r="N14" i="13"/>
  <c r="R14" i="13" s="1"/>
  <c r="H14" i="13"/>
  <c r="W14" i="13" s="1"/>
  <c r="X14" i="13" s="1"/>
  <c r="H22" i="13"/>
  <c r="W22" i="13" s="1"/>
  <c r="X22" i="13" s="1"/>
  <c r="V22" i="13"/>
  <c r="V37" i="13"/>
  <c r="H37" i="13"/>
  <c r="W37" i="13" s="1"/>
  <c r="X37" i="13" s="1"/>
  <c r="V42" i="13"/>
  <c r="H42" i="13"/>
  <c r="W42" i="13" s="1"/>
  <c r="X42" i="13" s="1"/>
  <c r="V44" i="13"/>
  <c r="H44" i="13"/>
  <c r="W44" i="13" s="1"/>
  <c r="X44" i="13" s="1"/>
  <c r="H198" i="13"/>
  <c r="L198" i="13" s="1"/>
  <c r="M198" i="13" s="1"/>
  <c r="N198" i="13" s="1"/>
  <c r="U198" i="13" s="1"/>
  <c r="V198" i="13"/>
  <c r="H199" i="13"/>
  <c r="W199" i="13" s="1"/>
  <c r="H208" i="13"/>
  <c r="L208" i="13" s="1"/>
  <c r="V208" i="13"/>
  <c r="V215" i="13"/>
  <c r="H215" i="13"/>
  <c r="W225" i="13"/>
  <c r="L225" i="13"/>
  <c r="X225" i="13" s="1"/>
  <c r="H233" i="13"/>
  <c r="W233" i="13" s="1"/>
  <c r="V233" i="13"/>
  <c r="L233" i="13"/>
  <c r="V236" i="13"/>
  <c r="H243" i="13"/>
  <c r="W243" i="13" s="1"/>
  <c r="V243" i="13"/>
  <c r="V247" i="13"/>
  <c r="L247" i="13"/>
  <c r="M247" i="13" s="1"/>
  <c r="W267" i="13"/>
  <c r="V270" i="13"/>
  <c r="H270" i="13"/>
  <c r="W270" i="13" s="1"/>
  <c r="H271" i="13"/>
  <c r="W271" i="13" s="1"/>
  <c r="H283" i="13"/>
  <c r="V283" i="13"/>
  <c r="H291" i="13"/>
  <c r="W291" i="13" s="1"/>
  <c r="S291" i="13"/>
  <c r="H295" i="13"/>
  <c r="W295" i="13" s="1"/>
  <c r="S295" i="13"/>
  <c r="V295" i="13"/>
  <c r="H297" i="13"/>
  <c r="W297" i="13" s="1"/>
  <c r="V297" i="13"/>
  <c r="V300" i="13"/>
  <c r="H300" i="13"/>
  <c r="W300" i="13" s="1"/>
  <c r="S306" i="13"/>
  <c r="V306" i="13"/>
  <c r="H308" i="13"/>
  <c r="L308" i="13" s="1"/>
  <c r="S308" i="13"/>
  <c r="V308" i="13"/>
  <c r="S311" i="13"/>
  <c r="H311" i="13"/>
  <c r="W311" i="13" s="1"/>
  <c r="H320" i="13"/>
  <c r="S320" i="13"/>
  <c r="V320" i="13"/>
  <c r="S329" i="13"/>
  <c r="H329" i="13"/>
  <c r="L329" i="13" s="1"/>
  <c r="V329" i="13"/>
  <c r="V331" i="13"/>
  <c r="S340" i="13"/>
  <c r="H340" i="13"/>
  <c r="W340" i="13" s="1"/>
  <c r="V340" i="13"/>
  <c r="S342" i="13"/>
  <c r="H342" i="13"/>
  <c r="L342" i="13" s="1"/>
  <c r="M342" i="13" s="1"/>
  <c r="N342" i="13" s="1"/>
  <c r="S344" i="13"/>
  <c r="H344" i="13"/>
  <c r="W344" i="13" s="1"/>
  <c r="V344" i="13"/>
  <c r="S346" i="13"/>
  <c r="H346" i="13"/>
  <c r="V358" i="13"/>
  <c r="H358" i="13"/>
  <c r="V360" i="13"/>
  <c r="S360" i="13"/>
  <c r="H360" i="13"/>
  <c r="S366" i="13"/>
  <c r="V366" i="13"/>
  <c r="W366" i="13" s="1"/>
  <c r="L366" i="13"/>
  <c r="S369" i="13"/>
  <c r="H369" i="13"/>
  <c r="W371" i="13"/>
  <c r="H374" i="13"/>
  <c r="L374" i="13" s="1"/>
  <c r="V374" i="13"/>
  <c r="S374" i="13"/>
  <c r="S376" i="13"/>
  <c r="H376" i="13"/>
  <c r="W376" i="13" s="1"/>
  <c r="V382" i="13"/>
  <c r="H382" i="13"/>
  <c r="H417" i="13"/>
  <c r="L417" i="13" s="1"/>
  <c r="M417" i="13" s="1"/>
  <c r="N417" i="13" s="1"/>
  <c r="H422" i="13"/>
  <c r="L422" i="13" s="1"/>
  <c r="M422" i="13" s="1"/>
  <c r="N422" i="13" s="1"/>
  <c r="F447" i="13"/>
  <c r="X343" i="13"/>
  <c r="U287" i="13"/>
  <c r="M321" i="13"/>
  <c r="N321" i="13" s="1"/>
  <c r="R66" i="13"/>
  <c r="M305" i="13"/>
  <c r="N305" i="13" s="1"/>
  <c r="M294" i="13"/>
  <c r="N294" i="13"/>
  <c r="X287" i="13"/>
  <c r="M280" i="13"/>
  <c r="N280" i="13" s="1"/>
  <c r="U280" i="13" s="1"/>
  <c r="R103" i="13"/>
  <c r="R21" i="13"/>
  <c r="R44" i="13"/>
  <c r="L207" i="13"/>
  <c r="M207" i="13"/>
  <c r="N207" i="13" s="1"/>
  <c r="T207" i="13" s="1"/>
  <c r="L339" i="13"/>
  <c r="Y339" i="13" s="1"/>
  <c r="W235" i="13"/>
  <c r="Y235" i="13" s="1"/>
  <c r="T9" i="13"/>
  <c r="W349" i="13"/>
  <c r="Y349" i="13" s="1"/>
  <c r="N247" i="13"/>
  <c r="U342" i="13"/>
  <c r="R85" i="13"/>
  <c r="R95" i="13"/>
  <c r="Y223" i="13"/>
  <c r="X299" i="13"/>
  <c r="U105" i="13"/>
  <c r="T23" i="13"/>
  <c r="Y221" i="13"/>
  <c r="U63" i="13"/>
  <c r="X284" i="13"/>
  <c r="R75" i="13"/>
  <c r="T16" i="13"/>
  <c r="N32" i="13"/>
  <c r="T32" i="13" s="1"/>
  <c r="L323" i="13"/>
  <c r="V350" i="13"/>
  <c r="L306" i="13"/>
  <c r="Y306" i="13" s="1"/>
  <c r="L325" i="13"/>
  <c r="M325" i="13" s="1"/>
  <c r="N325" i="13" s="1"/>
  <c r="U145" i="13"/>
  <c r="U147" i="13"/>
  <c r="T98" i="13"/>
  <c r="L376" i="13"/>
  <c r="M203" i="13"/>
  <c r="N203" i="13" s="1"/>
  <c r="U203" i="13" s="1"/>
  <c r="V346" i="13"/>
  <c r="H273" i="13"/>
  <c r="W273" i="13" s="1"/>
  <c r="U108" i="13"/>
  <c r="W185" i="13"/>
  <c r="L185" i="13"/>
  <c r="M185" i="13" s="1"/>
  <c r="N185" i="13"/>
  <c r="U185" i="13" s="1"/>
  <c r="W286" i="13"/>
  <c r="Y286" i="13" s="1"/>
  <c r="U109" i="13"/>
  <c r="R78" i="13"/>
  <c r="T78" i="13"/>
  <c r="X204" i="13"/>
  <c r="X63" i="13"/>
  <c r="W275" i="13"/>
  <c r="L231" i="13"/>
  <c r="Y231" i="13" s="1"/>
  <c r="T20" i="13"/>
  <c r="L372" i="13"/>
  <c r="X372" i="13" s="1"/>
  <c r="R7" i="13"/>
  <c r="L237" i="13"/>
  <c r="R156" i="13"/>
  <c r="T47" i="13"/>
  <c r="T5" i="13"/>
  <c r="H379" i="13"/>
  <c r="L379" i="13" s="1"/>
  <c r="M379" i="13" s="1"/>
  <c r="N379" i="13" s="1"/>
  <c r="V379" i="13"/>
  <c r="V291" i="13"/>
  <c r="V209" i="13"/>
  <c r="S331" i="13"/>
  <c r="W292" i="13"/>
  <c r="L292" i="13"/>
  <c r="W168" i="13"/>
  <c r="L168" i="13"/>
  <c r="T83" i="13"/>
  <c r="R119" i="13"/>
  <c r="V311" i="13"/>
  <c r="X65" i="13"/>
  <c r="L61" i="13"/>
  <c r="M61" i="13" s="1"/>
  <c r="N61" i="13" s="1"/>
  <c r="W61" i="13"/>
  <c r="R106" i="13"/>
  <c r="S382" i="13"/>
  <c r="S372" i="13"/>
  <c r="H272" i="13"/>
  <c r="H331" i="13"/>
  <c r="H32" i="13"/>
  <c r="W32" i="13" s="1"/>
  <c r="X32" i="13" s="1"/>
  <c r="S314" i="13"/>
  <c r="H234" i="13"/>
  <c r="W234" i="13"/>
  <c r="H28" i="13"/>
  <c r="W28" i="13"/>
  <c r="X28" i="13" s="1"/>
  <c r="W254" i="13"/>
  <c r="L254" i="13"/>
  <c r="M254" i="13" s="1"/>
  <c r="N254" i="13" s="1"/>
  <c r="H244" i="13"/>
  <c r="W244" i="13" s="1"/>
  <c r="H236" i="13"/>
  <c r="L236" i="13" s="1"/>
  <c r="V216" i="13"/>
  <c r="H302" i="13"/>
  <c r="S358" i="13"/>
  <c r="V342" i="13"/>
  <c r="R99" i="13"/>
  <c r="U99" i="13"/>
  <c r="V271" i="13"/>
  <c r="V237" i="13"/>
  <c r="L375" i="13"/>
  <c r="W375" i="13"/>
  <c r="Y375" i="13" s="1"/>
  <c r="W51" i="13"/>
  <c r="X51" i="13" s="1"/>
  <c r="L51" i="13"/>
  <c r="M51" i="13" s="1"/>
  <c r="N51" i="13" s="1"/>
  <c r="T127" i="13"/>
  <c r="R127" i="13"/>
  <c r="H47" i="13"/>
  <c r="W47" i="13" s="1"/>
  <c r="X47" i="13" s="1"/>
  <c r="V47" i="13"/>
  <c r="H52" i="13"/>
  <c r="W52" i="13" s="1"/>
  <c r="L55" i="13"/>
  <c r="W55" i="13"/>
  <c r="L59" i="13"/>
  <c r="H64" i="13"/>
  <c r="L64" i="13" s="1"/>
  <c r="M64" i="13" s="1"/>
  <c r="N64" i="13" s="1"/>
  <c r="V64" i="13"/>
  <c r="N82" i="13"/>
  <c r="T82" i="13" s="1"/>
  <c r="V82" i="13"/>
  <c r="H84" i="13"/>
  <c r="W84" i="13" s="1"/>
  <c r="X84" i="13" s="1"/>
  <c r="V84" i="13"/>
  <c r="V91" i="13"/>
  <c r="H91" i="13"/>
  <c r="W91" i="13"/>
  <c r="X91" i="13" s="1"/>
  <c r="V100" i="13"/>
  <c r="H100" i="13"/>
  <c r="W100" i="13" s="1"/>
  <c r="X100" i="13" s="1"/>
  <c r="V108" i="13"/>
  <c r="H108" i="13"/>
  <c r="W108" i="13"/>
  <c r="X108" i="13" s="1"/>
  <c r="N121" i="13"/>
  <c r="U121" i="13" s="1"/>
  <c r="V121" i="13"/>
  <c r="V124" i="13"/>
  <c r="H124" i="13"/>
  <c r="W124" i="13" s="1"/>
  <c r="X124" i="13"/>
  <c r="H139" i="13"/>
  <c r="W139" i="13" s="1"/>
  <c r="X139" i="13" s="1"/>
  <c r="V139" i="13"/>
  <c r="T140" i="13"/>
  <c r="R140" i="13"/>
  <c r="H141" i="13"/>
  <c r="W141" i="13" s="1"/>
  <c r="X141" i="13" s="1"/>
  <c r="V141" i="13"/>
  <c r="W353" i="13"/>
  <c r="Y353" i="13" s="1"/>
  <c r="Y282" i="13"/>
  <c r="X197" i="13"/>
  <c r="Y268" i="13"/>
  <c r="T337" i="13"/>
  <c r="X232" i="13"/>
  <c r="H10" i="13"/>
  <c r="W10" i="13" s="1"/>
  <c r="V10" i="13"/>
  <c r="N10" i="13"/>
  <c r="T10" i="13" s="1"/>
  <c r="H18" i="13"/>
  <c r="W18" i="13" s="1"/>
  <c r="X18" i="13" s="1"/>
  <c r="V18" i="13"/>
  <c r="V33" i="13"/>
  <c r="H33" i="13"/>
  <c r="W33" i="13" s="1"/>
  <c r="X33" i="13" s="1"/>
  <c r="V45" i="13"/>
  <c r="H45" i="13"/>
  <c r="W45" i="13" s="1"/>
  <c r="X45" i="13" s="1"/>
  <c r="H88" i="13"/>
  <c r="W88" i="13" s="1"/>
  <c r="X88" i="13" s="1"/>
  <c r="V88" i="13"/>
  <c r="N88" i="13"/>
  <c r="H99" i="13"/>
  <c r="W99" i="13" s="1"/>
  <c r="X99" i="13" s="1"/>
  <c r="V99" i="13"/>
  <c r="H118" i="13"/>
  <c r="W118" i="13" s="1"/>
  <c r="X118" i="13" s="1"/>
  <c r="V118" i="13"/>
  <c r="N126" i="13"/>
  <c r="R126" i="13" s="1"/>
  <c r="V126" i="13"/>
  <c r="H127" i="13"/>
  <c r="W127" i="13" s="1"/>
  <c r="X127" i="13" s="1"/>
  <c r="V127" i="13"/>
  <c r="H136" i="13"/>
  <c r="W136" i="13" s="1"/>
  <c r="X136" i="13" s="1"/>
  <c r="N136" i="13"/>
  <c r="V184" i="13"/>
  <c r="L184" i="13"/>
  <c r="V195" i="13"/>
  <c r="L195" i="13"/>
  <c r="M195" i="13" s="1"/>
  <c r="N195" i="13" s="1"/>
  <c r="V255" i="13"/>
  <c r="H255" i="13"/>
  <c r="W255" i="13" s="1"/>
  <c r="V278" i="13"/>
  <c r="H278" i="13"/>
  <c r="L278" i="13" s="1"/>
  <c r="M278" i="13" s="1"/>
  <c r="N278" i="13" s="1"/>
  <c r="H392" i="13"/>
  <c r="L392" i="13" s="1"/>
  <c r="M392" i="13" s="1"/>
  <c r="N392" i="13" s="1"/>
  <c r="W368" i="13"/>
  <c r="N18" i="13"/>
  <c r="U18" i="13" s="1"/>
  <c r="N19" i="13"/>
  <c r="T19" i="13" s="1"/>
  <c r="N22" i="13"/>
  <c r="N28" i="13"/>
  <c r="T28" i="13" s="1"/>
  <c r="N33" i="13"/>
  <c r="U33" i="13" s="1"/>
  <c r="N37" i="13"/>
  <c r="N38" i="13"/>
  <c r="R38" i="13" s="1"/>
  <c r="N41" i="13"/>
  <c r="R41" i="13" s="1"/>
  <c r="N42" i="13"/>
  <c r="N45" i="13"/>
  <c r="N81" i="13"/>
  <c r="U81" i="13" s="1"/>
  <c r="N91" i="13"/>
  <c r="N100" i="13"/>
  <c r="N112" i="13"/>
  <c r="T112" i="13" s="1"/>
  <c r="N118" i="13"/>
  <c r="T118" i="13" s="1"/>
  <c r="N124" i="13"/>
  <c r="N169" i="13"/>
  <c r="V169" i="13"/>
  <c r="X334" i="13"/>
  <c r="H387" i="13"/>
  <c r="L387" i="13" s="1"/>
  <c r="M387" i="13" s="1"/>
  <c r="N387" i="13" s="1"/>
  <c r="R54" i="13"/>
  <c r="U281" i="13"/>
  <c r="T281" i="13"/>
  <c r="T71" i="13"/>
  <c r="U71" i="13"/>
  <c r="U163" i="13"/>
  <c r="T163" i="13"/>
  <c r="U204" i="13"/>
  <c r="T204" i="13"/>
  <c r="U343" i="13"/>
  <c r="U207" i="13"/>
  <c r="U235" i="13"/>
  <c r="U269" i="13"/>
  <c r="X235" i="13"/>
  <c r="U282" i="13"/>
  <c r="R53" i="13"/>
  <c r="T53" i="13"/>
  <c r="U65" i="13"/>
  <c r="T69" i="13"/>
  <c r="R69" i="13"/>
  <c r="U69" i="13"/>
  <c r="U284" i="13"/>
  <c r="W379" i="13"/>
  <c r="Y379" i="13" s="1"/>
  <c r="L310" i="13"/>
  <c r="W310" i="13"/>
  <c r="L165" i="13"/>
  <c r="W165" i="13"/>
  <c r="W304" i="13"/>
  <c r="L304" i="13"/>
  <c r="M304" i="13" s="1"/>
  <c r="N304" i="13" s="1"/>
  <c r="R139" i="13"/>
  <c r="T139" i="13"/>
  <c r="U139" i="13"/>
  <c r="L264" i="13"/>
  <c r="W264" i="13"/>
  <c r="L177" i="13"/>
  <c r="W177" i="13"/>
  <c r="U84" i="13"/>
  <c r="T111" i="13"/>
  <c r="R111" i="13"/>
  <c r="U111" i="13"/>
  <c r="T154" i="13"/>
  <c r="R154" i="13"/>
  <c r="W252" i="13"/>
  <c r="L252" i="13"/>
  <c r="W248" i="13"/>
  <c r="L248" i="13"/>
  <c r="M248" i="13" s="1"/>
  <c r="N248" i="13" s="1"/>
  <c r="T248" i="13" s="1"/>
  <c r="W210" i="13"/>
  <c r="L210" i="13"/>
  <c r="T128" i="13"/>
  <c r="R128" i="13"/>
  <c r="U128" i="13"/>
  <c r="W347" i="13"/>
  <c r="L347" i="13"/>
  <c r="W256" i="13"/>
  <c r="Y256" i="13" s="1"/>
  <c r="L256" i="13"/>
  <c r="W251" i="13"/>
  <c r="L251" i="13"/>
  <c r="L57" i="13"/>
  <c r="W57" i="13"/>
  <c r="X57" i="13" s="1"/>
  <c r="L62" i="13"/>
  <c r="W62" i="13"/>
  <c r="Y299" i="13"/>
  <c r="Y287" i="13"/>
  <c r="X230" i="13"/>
  <c r="L312" i="13"/>
  <c r="M312" i="13" s="1"/>
  <c r="N312" i="13" s="1"/>
  <c r="L353" i="13"/>
  <c r="X353" i="13" s="1"/>
  <c r="X69" i="13"/>
  <c r="W335" i="13"/>
  <c r="Y335" i="13" s="1"/>
  <c r="U144" i="13"/>
  <c r="X282" i="13"/>
  <c r="Y323" i="13"/>
  <c r="U130" i="13"/>
  <c r="X268" i="13"/>
  <c r="T120" i="13"/>
  <c r="L187" i="13"/>
  <c r="X317" i="13"/>
  <c r="X316" i="13"/>
  <c r="U110" i="13"/>
  <c r="M232" i="13"/>
  <c r="N232" i="13" s="1"/>
  <c r="T170" i="13"/>
  <c r="U78" i="13"/>
  <c r="R13" i="13"/>
  <c r="U75" i="13"/>
  <c r="L240" i="13"/>
  <c r="M240" i="13" s="1"/>
  <c r="N240" i="13" s="1"/>
  <c r="R108" i="13"/>
  <c r="M197" i="13"/>
  <c r="N197" i="13" s="1"/>
  <c r="U229" i="13"/>
  <c r="T191" i="13"/>
  <c r="M201" i="13"/>
  <c r="N201" i="13" s="1"/>
  <c r="T84" i="13"/>
  <c r="M266" i="13"/>
  <c r="N266" i="13" s="1"/>
  <c r="T266" i="13" s="1"/>
  <c r="Y219" i="13"/>
  <c r="X219" i="13"/>
  <c r="Y229" i="13"/>
  <c r="X229" i="13"/>
  <c r="W351" i="13"/>
  <c r="W356" i="13"/>
  <c r="L356" i="13"/>
  <c r="W68" i="13"/>
  <c r="X68" i="13" s="1"/>
  <c r="L68" i="13"/>
  <c r="L322" i="13"/>
  <c r="W322" i="13"/>
  <c r="L365" i="13"/>
  <c r="W365" i="13"/>
  <c r="R26" i="13"/>
  <c r="T26" i="13"/>
  <c r="U138" i="13"/>
  <c r="R138" i="13"/>
  <c r="R97" i="13"/>
  <c r="T97" i="13"/>
  <c r="L213" i="13"/>
  <c r="W213" i="13"/>
  <c r="X213" i="13" s="1"/>
  <c r="L202" i="13"/>
  <c r="X202" i="13" s="1"/>
  <c r="W202" i="13"/>
  <c r="L211" i="13"/>
  <c r="M211" i="13" s="1"/>
  <c r="N211" i="13" s="1"/>
  <c r="W211" i="13"/>
  <c r="L336" i="13"/>
  <c r="W336" i="13"/>
  <c r="W301" i="13"/>
  <c r="L301" i="13"/>
  <c r="U28" i="13"/>
  <c r="L56" i="13"/>
  <c r="W56" i="13"/>
  <c r="T81" i="13"/>
  <c r="R82" i="13"/>
  <c r="U82" i="13"/>
  <c r="L332" i="13"/>
  <c r="Y332" i="13"/>
  <c r="M228" i="13"/>
  <c r="N228" i="13" s="1"/>
  <c r="T228" i="13" s="1"/>
  <c r="U27" i="13"/>
  <c r="T27" i="13"/>
  <c r="L209" i="13"/>
  <c r="W209" i="13"/>
  <c r="X383" i="13"/>
  <c r="X315" i="13"/>
  <c r="M315" i="13"/>
  <c r="N315" i="13" s="1"/>
  <c r="L76" i="13"/>
  <c r="M76" i="13" s="1"/>
  <c r="N76" i="13" s="1"/>
  <c r="W76" i="13"/>
  <c r="R153" i="13"/>
  <c r="T153" i="13"/>
  <c r="W362" i="13"/>
  <c r="L362" i="13"/>
  <c r="T123" i="13"/>
  <c r="R123" i="13"/>
  <c r="W259" i="13"/>
  <c r="X259" i="13" s="1"/>
  <c r="L259" i="13"/>
  <c r="M259" i="13" s="1"/>
  <c r="N259" i="13" s="1"/>
  <c r="M330" i="13"/>
  <c r="N330" i="13" s="1"/>
  <c r="X330" i="13"/>
  <c r="L50" i="13"/>
  <c r="W50" i="13"/>
  <c r="R49" i="13"/>
  <c r="T49" i="13"/>
  <c r="T99" i="13"/>
  <c r="U142" i="13"/>
  <c r="T142" i="13"/>
  <c r="W186" i="13"/>
  <c r="L186" i="13"/>
  <c r="M186" i="13" s="1"/>
  <c r="N186" i="13" s="1"/>
  <c r="W227" i="13"/>
  <c r="L227" i="13"/>
  <c r="X227" i="13" s="1"/>
  <c r="L326" i="13"/>
  <c r="W326" i="13"/>
  <c r="X333" i="13"/>
  <c r="M333" i="13"/>
  <c r="N333" i="13" s="1"/>
  <c r="X49" i="13"/>
  <c r="L369" i="10"/>
  <c r="M369" i="10" s="1"/>
  <c r="N369" i="10" s="1"/>
  <c r="U49" i="10"/>
  <c r="H18" i="10"/>
  <c r="W18" i="10" s="1"/>
  <c r="X18" i="10" s="1"/>
  <c r="L331" i="10"/>
  <c r="M331" i="10" s="1"/>
  <c r="N331" i="10" s="1"/>
  <c r="H28" i="10"/>
  <c r="W28" i="10" s="1"/>
  <c r="X28" i="10" s="1"/>
  <c r="N28" i="10"/>
  <c r="T28" i="10" s="1"/>
  <c r="V28" i="10"/>
  <c r="H70" i="10"/>
  <c r="W70" i="10" s="1"/>
  <c r="X70" i="10" s="1"/>
  <c r="V70" i="10"/>
  <c r="H94" i="10"/>
  <c r="W94" i="10" s="1"/>
  <c r="X94" i="10" s="1"/>
  <c r="N94" i="10"/>
  <c r="U94" i="10" s="1"/>
  <c r="H7" i="10"/>
  <c r="V7" i="10"/>
  <c r="N12" i="10"/>
  <c r="H12" i="10"/>
  <c r="W12" i="10" s="1"/>
  <c r="X12" i="10" s="1"/>
  <c r="V16" i="10"/>
  <c r="N16" i="10"/>
  <c r="R16" i="10" s="1"/>
  <c r="H41" i="10"/>
  <c r="W41" i="10" s="1"/>
  <c r="X41" i="10" s="1"/>
  <c r="V41" i="10"/>
  <c r="V53" i="10"/>
  <c r="N53" i="10"/>
  <c r="U53" i="10" s="1"/>
  <c r="H121" i="10"/>
  <c r="W121" i="10" s="1"/>
  <c r="X121" i="10" s="1"/>
  <c r="V121" i="10"/>
  <c r="V343" i="10"/>
  <c r="H125" i="10"/>
  <c r="W125" i="10" s="1"/>
  <c r="X125" i="10" s="1"/>
  <c r="V334" i="10"/>
  <c r="H233" i="10"/>
  <c r="V182" i="10"/>
  <c r="H130" i="10"/>
  <c r="W130" i="10" s="1"/>
  <c r="X130" i="10" s="1"/>
  <c r="H269" i="10"/>
  <c r="L269" i="10" s="1"/>
  <c r="M269" i="10" s="1"/>
  <c r="V180" i="10"/>
  <c r="S343" i="10"/>
  <c r="H301" i="10"/>
  <c r="W301" i="10" s="1"/>
  <c r="N5" i="10"/>
  <c r="T5" i="10" s="1"/>
  <c r="H343" i="10"/>
  <c r="N41" i="10"/>
  <c r="T41" i="10" s="1"/>
  <c r="N133" i="10"/>
  <c r="T133" i="10" s="1"/>
  <c r="N141" i="10"/>
  <c r="T141" i="10" s="1"/>
  <c r="U352" i="10"/>
  <c r="T44" i="10"/>
  <c r="U44" i="10"/>
  <c r="L225" i="10"/>
  <c r="L226" i="10"/>
  <c r="X226" i="10" s="1"/>
  <c r="W242" i="10"/>
  <c r="L216" i="10"/>
  <c r="M216" i="10" s="1"/>
  <c r="N216" i="10" s="1"/>
  <c r="W216" i="10"/>
  <c r="M314" i="10"/>
  <c r="N314" i="10" s="1"/>
  <c r="T314" i="10" s="1"/>
  <c r="L180" i="10"/>
  <c r="M180" i="10" s="1"/>
  <c r="N180" i="10" s="1"/>
  <c r="W180" i="10"/>
  <c r="T88" i="9"/>
  <c r="L177" i="9"/>
  <c r="X177" i="9" s="1"/>
  <c r="L205" i="9"/>
  <c r="M205" i="9" s="1"/>
  <c r="N205" i="9" s="1"/>
  <c r="W77" i="9"/>
  <c r="L66" i="9"/>
  <c r="W66" i="9"/>
  <c r="H116" i="9"/>
  <c r="L116" i="9" s="1"/>
  <c r="V116" i="9"/>
  <c r="V125" i="9"/>
  <c r="V132" i="9"/>
  <c r="H138" i="9"/>
  <c r="L138" i="9" s="1"/>
  <c r="V138" i="9"/>
  <c r="V141" i="9"/>
  <c r="H168" i="9"/>
  <c r="W168" i="9" s="1"/>
  <c r="V174" i="9"/>
  <c r="S174" i="9"/>
  <c r="S180" i="9"/>
  <c r="H180" i="9"/>
  <c r="W180" i="9" s="1"/>
  <c r="S182" i="9"/>
  <c r="V182" i="9"/>
  <c r="V184" i="9"/>
  <c r="S186" i="9"/>
  <c r="H186" i="9"/>
  <c r="L186" i="9" s="1"/>
  <c r="M186" i="9" s="1"/>
  <c r="N186" i="9" s="1"/>
  <c r="V186" i="9"/>
  <c r="V200" i="9"/>
  <c r="H200" i="9"/>
  <c r="L200" i="9" s="1"/>
  <c r="S207" i="9"/>
  <c r="S214" i="9"/>
  <c r="V214" i="9"/>
  <c r="W214" i="9" s="1"/>
  <c r="X214" i="9" s="1"/>
  <c r="V177" i="9"/>
  <c r="V171" i="9"/>
  <c r="T120" i="9"/>
  <c r="L115" i="9"/>
  <c r="X115" i="9" s="1"/>
  <c r="L139" i="9"/>
  <c r="H141" i="9"/>
  <c r="W141" i="9" s="1"/>
  <c r="S200" i="9"/>
  <c r="L76" i="9"/>
  <c r="X76" i="9" s="1"/>
  <c r="H126" i="9"/>
  <c r="L126" i="9" s="1"/>
  <c r="M126" i="9" s="1"/>
  <c r="N126" i="9" s="1"/>
  <c r="T126" i="9" s="1"/>
  <c r="H182" i="9"/>
  <c r="W182" i="9"/>
  <c r="H174" i="9"/>
  <c r="U46" i="9"/>
  <c r="L70" i="9"/>
  <c r="W70" i="9"/>
  <c r="V18" i="9"/>
  <c r="H18" i="9"/>
  <c r="W18" i="9" s="1"/>
  <c r="X18" i="9" s="1"/>
  <c r="N18" i="9"/>
  <c r="U18" i="9" s="1"/>
  <c r="V25" i="9"/>
  <c r="H25" i="9"/>
  <c r="W25" i="9" s="1"/>
  <c r="X25" i="9" s="1"/>
  <c r="H28" i="9"/>
  <c r="W28" i="9" s="1"/>
  <c r="X28" i="9" s="1"/>
  <c r="N28" i="9"/>
  <c r="U28" i="9" s="1"/>
  <c r="V28" i="9"/>
  <c r="N30" i="9"/>
  <c r="R30" i="9" s="1"/>
  <c r="H30" i="9"/>
  <c r="W30" i="9" s="1"/>
  <c r="X30" i="9" s="1"/>
  <c r="H32" i="9"/>
  <c r="N41" i="9"/>
  <c r="V41" i="9"/>
  <c r="H41" i="9"/>
  <c r="W41" i="9" s="1"/>
  <c r="X41" i="9" s="1"/>
  <c r="V49" i="9"/>
  <c r="H49" i="9"/>
  <c r="W49" i="9" s="1"/>
  <c r="X49" i="9" s="1"/>
  <c r="N49" i="9"/>
  <c r="R49" i="9" s="1"/>
  <c r="H68" i="9"/>
  <c r="V68" i="9"/>
  <c r="V79" i="9"/>
  <c r="V90" i="9"/>
  <c r="H90" i="9"/>
  <c r="W90" i="9" s="1"/>
  <c r="H145" i="9"/>
  <c r="L145" i="9" s="1"/>
  <c r="M145" i="9" s="1"/>
  <c r="N145" i="9" s="1"/>
  <c r="V145" i="9"/>
  <c r="N50" i="9"/>
  <c r="T50" i="9" s="1"/>
  <c r="H50" i="9"/>
  <c r="W50" i="9"/>
  <c r="X50" i="9" s="1"/>
  <c r="H86" i="9"/>
  <c r="W86" i="9" s="1"/>
  <c r="V86" i="9"/>
  <c r="N10" i="9"/>
  <c r="R10" i="9" s="1"/>
  <c r="N25" i="9"/>
  <c r="N38" i="9"/>
  <c r="R38" i="9" s="1"/>
  <c r="L181" i="9"/>
  <c r="X181" i="9" s="1"/>
  <c r="W195" i="9"/>
  <c r="X195" i="9"/>
  <c r="S7" i="8"/>
  <c r="H5" i="8"/>
  <c r="H7" i="8"/>
  <c r="W7" i="8" s="1"/>
  <c r="L5" i="8"/>
  <c r="M5" i="8" s="1"/>
  <c r="N5" i="8" s="1"/>
  <c r="L7" i="8"/>
  <c r="M7" i="8" s="1"/>
  <c r="N7" i="8" s="1"/>
  <c r="X5" i="7"/>
  <c r="R9" i="7"/>
  <c r="W9" i="7"/>
  <c r="X9" i="7" s="1"/>
  <c r="N9" i="7"/>
  <c r="U9" i="7" s="1"/>
  <c r="F15" i="7"/>
  <c r="H6" i="6"/>
  <c r="F25" i="3" s="1"/>
  <c r="W8" i="5"/>
  <c r="D7" i="3"/>
  <c r="S41" i="17"/>
  <c r="V38" i="17"/>
  <c r="N47" i="17"/>
  <c r="O47" i="17" s="1"/>
  <c r="N27" i="17"/>
  <c r="O27" i="17" s="1"/>
  <c r="S27" i="17" s="1"/>
  <c r="N51" i="17"/>
  <c r="O51" i="17" s="1"/>
  <c r="S51" i="17" s="1"/>
  <c r="N24" i="17"/>
  <c r="O24" i="17" s="1"/>
  <c r="S24" i="17" s="1"/>
  <c r="L417" i="16"/>
  <c r="U113" i="16"/>
  <c r="W402" i="16"/>
  <c r="L273" i="16"/>
  <c r="M273" i="16" s="1"/>
  <c r="N273" i="16" s="1"/>
  <c r="L231" i="16"/>
  <c r="M231" i="16" s="1"/>
  <c r="N231" i="16" s="1"/>
  <c r="U231" i="16" s="1"/>
  <c r="X235" i="16"/>
  <c r="M235" i="16"/>
  <c r="N235" i="16" s="1"/>
  <c r="L283" i="16"/>
  <c r="M283" i="16" s="1"/>
  <c r="N283" i="16" s="1"/>
  <c r="M282" i="16"/>
  <c r="N282" i="16" s="1"/>
  <c r="X421" i="16"/>
  <c r="L453" i="16"/>
  <c r="W226" i="16"/>
  <c r="M254" i="16"/>
  <c r="N254" i="16" s="1"/>
  <c r="T254" i="16" s="1"/>
  <c r="W267" i="15"/>
  <c r="L346" i="15"/>
  <c r="X346" i="15" s="1"/>
  <c r="R59" i="14"/>
  <c r="U59" i="14"/>
  <c r="T59" i="14"/>
  <c r="R51" i="14"/>
  <c r="U51" i="14"/>
  <c r="T51" i="14"/>
  <c r="R41" i="14"/>
  <c r="U41" i="14"/>
  <c r="R22" i="14"/>
  <c r="T22" i="14"/>
  <c r="U71" i="14"/>
  <c r="T71" i="14"/>
  <c r="R71" i="14"/>
  <c r="R112" i="14"/>
  <c r="U112" i="14"/>
  <c r="T112" i="14"/>
  <c r="T34" i="14"/>
  <c r="R34" i="14"/>
  <c r="U34" i="14"/>
  <c r="R28" i="14"/>
  <c r="T28" i="14"/>
  <c r="M147" i="14"/>
  <c r="N147" i="14" s="1"/>
  <c r="X147" i="14"/>
  <c r="M145" i="14"/>
  <c r="N145" i="14" s="1"/>
  <c r="U145" i="14" s="1"/>
  <c r="M143" i="14"/>
  <c r="N143" i="14" s="1"/>
  <c r="L191" i="14"/>
  <c r="M185" i="14"/>
  <c r="N185" i="14" s="1"/>
  <c r="U131" i="14"/>
  <c r="T131" i="14"/>
  <c r="T38" i="14"/>
  <c r="R38" i="14"/>
  <c r="U38" i="14"/>
  <c r="T172" i="14"/>
  <c r="U172" i="14"/>
  <c r="U89" i="14"/>
  <c r="U82" i="14"/>
  <c r="R90" i="14"/>
  <c r="U90" i="14"/>
  <c r="T90" i="14"/>
  <c r="T70" i="14"/>
  <c r="U70" i="14"/>
  <c r="R70" i="14"/>
  <c r="T46" i="14"/>
  <c r="U46" i="14"/>
  <c r="R46" i="14"/>
  <c r="M190" i="14"/>
  <c r="N190" i="14" s="1"/>
  <c r="X190" i="14"/>
  <c r="T50" i="14"/>
  <c r="R50" i="14"/>
  <c r="U50" i="14"/>
  <c r="U27" i="14"/>
  <c r="T27" i="14"/>
  <c r="X162" i="14"/>
  <c r="L146" i="14"/>
  <c r="M146" i="14" s="1"/>
  <c r="N146" i="14" s="1"/>
  <c r="U165" i="14"/>
  <c r="T165" i="14"/>
  <c r="T126" i="14"/>
  <c r="U126" i="14"/>
  <c r="L193" i="14"/>
  <c r="M193" i="14" s="1"/>
  <c r="N193" i="14" s="1"/>
  <c r="L192" i="14"/>
  <c r="M192" i="14" s="1"/>
  <c r="N192" i="14" s="1"/>
  <c r="L180" i="14"/>
  <c r="M180" i="14" s="1"/>
  <c r="N180" i="14" s="1"/>
  <c r="L166" i="14"/>
  <c r="M166" i="14" s="1"/>
  <c r="N166" i="14" s="1"/>
  <c r="W144" i="14"/>
  <c r="X144" i="14" s="1"/>
  <c r="L144" i="14"/>
  <c r="M144" i="14" s="1"/>
  <c r="N144" i="14" s="1"/>
  <c r="R73" i="14"/>
  <c r="T73" i="14"/>
  <c r="U73" i="14"/>
  <c r="U33" i="14"/>
  <c r="T33" i="14"/>
  <c r="R33" i="14"/>
  <c r="M137" i="14"/>
  <c r="N137" i="14" s="1"/>
  <c r="U137" i="14" s="1"/>
  <c r="X137" i="14"/>
  <c r="M181" i="14"/>
  <c r="N181" i="14" s="1"/>
  <c r="X129" i="14"/>
  <c r="M129" i="14"/>
  <c r="N129" i="14" s="1"/>
  <c r="T129" i="14" s="1"/>
  <c r="X8" i="14"/>
  <c r="X163" i="14"/>
  <c r="M163" i="14"/>
  <c r="N163" i="14"/>
  <c r="U163" i="14" s="1"/>
  <c r="M138" i="14"/>
  <c r="N138" i="14" s="1"/>
  <c r="X138" i="14"/>
  <c r="U164" i="14"/>
  <c r="T164" i="14"/>
  <c r="X155" i="14"/>
  <c r="M155" i="14"/>
  <c r="N155" i="14"/>
  <c r="M117" i="14"/>
  <c r="X117" i="14"/>
  <c r="M123" i="14"/>
  <c r="N123" i="14"/>
  <c r="X123" i="14"/>
  <c r="M186" i="14"/>
  <c r="N186" i="14"/>
  <c r="T186" i="14" s="1"/>
  <c r="X186" i="14"/>
  <c r="M184" i="14"/>
  <c r="N184" i="14" s="1"/>
  <c r="X184" i="14"/>
  <c r="M141" i="14"/>
  <c r="N141" i="14" s="1"/>
  <c r="T141" i="14" s="1"/>
  <c r="X141" i="14"/>
  <c r="M134" i="14"/>
  <c r="N134" i="14" s="1"/>
  <c r="X175" i="14"/>
  <c r="M175" i="14"/>
  <c r="N175" i="14"/>
  <c r="M118" i="14"/>
  <c r="N118" i="14"/>
  <c r="X118" i="14"/>
  <c r="X124" i="14"/>
  <c r="M124" i="14"/>
  <c r="N124" i="14"/>
  <c r="T128" i="14"/>
  <c r="U128" i="14"/>
  <c r="T161" i="14"/>
  <c r="U161" i="14"/>
  <c r="U169" i="13"/>
  <c r="T169" i="13"/>
  <c r="T33" i="13"/>
  <c r="R33" i="13"/>
  <c r="T22" i="13"/>
  <c r="R10" i="13"/>
  <c r="U10" i="13"/>
  <c r="M59" i="13"/>
  <c r="N59" i="13" s="1"/>
  <c r="R59" i="13" s="1"/>
  <c r="X59" i="13"/>
  <c r="M374" i="13"/>
  <c r="N374" i="13" s="1"/>
  <c r="T374" i="13" s="1"/>
  <c r="L331" i="13"/>
  <c r="M331" i="13" s="1"/>
  <c r="N331" i="13" s="1"/>
  <c r="W331" i="13"/>
  <c r="X168" i="13"/>
  <c r="M168" i="13"/>
  <c r="N168" i="13" s="1"/>
  <c r="Y275" i="13"/>
  <c r="X275" i="13"/>
  <c r="T203" i="13"/>
  <c r="R32" i="13"/>
  <c r="U32" i="13"/>
  <c r="T247" i="13"/>
  <c r="U247" i="13"/>
  <c r="T294" i="13"/>
  <c r="U294" i="13"/>
  <c r="U305" i="13"/>
  <c r="T305" i="13"/>
  <c r="L369" i="13"/>
  <c r="M369" i="13" s="1"/>
  <c r="N369" i="13" s="1"/>
  <c r="T369" i="13" s="1"/>
  <c r="W369" i="13"/>
  <c r="L311" i="13"/>
  <c r="M311" i="13" s="1"/>
  <c r="N311" i="13" s="1"/>
  <c r="M233" i="13"/>
  <c r="N233" i="13" s="1"/>
  <c r="T233" i="13" s="1"/>
  <c r="T198" i="13"/>
  <c r="T174" i="13"/>
  <c r="M77" i="13"/>
  <c r="N77" i="13"/>
  <c r="M318" i="13"/>
  <c r="N318" i="13"/>
  <c r="U318" i="13" s="1"/>
  <c r="X231" i="13"/>
  <c r="Y247" i="13"/>
  <c r="Y325" i="13"/>
  <c r="Y326" i="13"/>
  <c r="U126" i="13"/>
  <c r="X228" i="13"/>
  <c r="R81" i="13"/>
  <c r="W346" i="13"/>
  <c r="X247" i="13"/>
  <c r="T185" i="13"/>
  <c r="T54" i="13"/>
  <c r="T91" i="13"/>
  <c r="U91" i="13"/>
  <c r="R91" i="13"/>
  <c r="T45" i="13"/>
  <c r="R45" i="13"/>
  <c r="U45" i="13"/>
  <c r="U41" i="13"/>
  <c r="T41" i="13"/>
  <c r="W278" i="13"/>
  <c r="L255" i="13"/>
  <c r="M255" i="13" s="1"/>
  <c r="N255" i="13" s="1"/>
  <c r="X195" i="13"/>
  <c r="M184" i="13"/>
  <c r="N184" i="13" s="1"/>
  <c r="X184" i="13"/>
  <c r="T136" i="13"/>
  <c r="U136" i="13"/>
  <c r="R136" i="13"/>
  <c r="R88" i="13"/>
  <c r="U88" i="13"/>
  <c r="T88" i="13"/>
  <c r="W64" i="13"/>
  <c r="M55" i="13"/>
  <c r="N55" i="13" s="1"/>
  <c r="U55" i="13" s="1"/>
  <c r="M375" i="13"/>
  <c r="N375" i="13" s="1"/>
  <c r="L291" i="13"/>
  <c r="L272" i="13"/>
  <c r="W272" i="13"/>
  <c r="L340" i="13"/>
  <c r="X340" i="13" s="1"/>
  <c r="X185" i="13"/>
  <c r="L234" i="13"/>
  <c r="Y234" i="13" s="1"/>
  <c r="M323" i="13"/>
  <c r="N323" i="13"/>
  <c r="T323" i="13" s="1"/>
  <c r="X323" i="13"/>
  <c r="W374" i="13"/>
  <c r="L320" i="13"/>
  <c r="M320" i="13" s="1"/>
  <c r="N320" i="13" s="1"/>
  <c r="W320" i="13"/>
  <c r="L295" i="13"/>
  <c r="M295" i="13" s="1"/>
  <c r="N295" i="13" s="1"/>
  <c r="L270" i="13"/>
  <c r="M267" i="13"/>
  <c r="N267" i="13" s="1"/>
  <c r="L243" i="13"/>
  <c r="M243" i="13" s="1"/>
  <c r="N243" i="13" s="1"/>
  <c r="U243" i="13" s="1"/>
  <c r="M225" i="13"/>
  <c r="N225" i="13" s="1"/>
  <c r="T225" i="13" s="1"/>
  <c r="L215" i="13"/>
  <c r="M215" i="13" s="1"/>
  <c r="N215" i="13" s="1"/>
  <c r="W215" i="13"/>
  <c r="X215" i="13" s="1"/>
  <c r="M208" i="13"/>
  <c r="N208" i="13" s="1"/>
  <c r="T208" i="13" s="1"/>
  <c r="L199" i="13"/>
  <c r="X199" i="13" s="1"/>
  <c r="U14" i="13"/>
  <c r="T14" i="13"/>
  <c r="M188" i="13"/>
  <c r="N188" i="13" s="1"/>
  <c r="X188" i="13"/>
  <c r="X174" i="13"/>
  <c r="X205" i="13"/>
  <c r="M205" i="13"/>
  <c r="N205" i="13" s="1"/>
  <c r="U205" i="13" s="1"/>
  <c r="U190" i="13"/>
  <c r="X286" i="13"/>
  <c r="X306" i="13"/>
  <c r="X241" i="13"/>
  <c r="M241" i="13"/>
  <c r="N241" i="13" s="1"/>
  <c r="U241" i="13" s="1"/>
  <c r="M328" i="13"/>
  <c r="N328" i="13" s="1"/>
  <c r="X328" i="13"/>
  <c r="M227" i="13"/>
  <c r="N227" i="13" s="1"/>
  <c r="M50" i="13"/>
  <c r="X50" i="13"/>
  <c r="T330" i="13"/>
  <c r="U330" i="13"/>
  <c r="M301" i="13"/>
  <c r="N301" i="13" s="1"/>
  <c r="X301" i="13"/>
  <c r="X240" i="13"/>
  <c r="M353" i="13"/>
  <c r="N353" i="13" s="1"/>
  <c r="T353" i="13" s="1"/>
  <c r="M57" i="13"/>
  <c r="N57" i="13" s="1"/>
  <c r="M252" i="13"/>
  <c r="N252" i="13"/>
  <c r="U252" i="13" s="1"/>
  <c r="X252" i="13"/>
  <c r="M177" i="13"/>
  <c r="N177" i="13" s="1"/>
  <c r="X177" i="13"/>
  <c r="X264" i="13"/>
  <c r="M264" i="13"/>
  <c r="N264" i="13" s="1"/>
  <c r="T264" i="13" s="1"/>
  <c r="M165" i="13"/>
  <c r="N165" i="13" s="1"/>
  <c r="X165" i="13"/>
  <c r="M310" i="13"/>
  <c r="N310" i="13"/>
  <c r="U310" i="13" s="1"/>
  <c r="X310" i="13"/>
  <c r="Y240" i="13"/>
  <c r="X326" i="13"/>
  <c r="M326" i="13"/>
  <c r="N326" i="13" s="1"/>
  <c r="Y227" i="13"/>
  <c r="X76" i="13"/>
  <c r="M332" i="13"/>
  <c r="N332" i="13" s="1"/>
  <c r="X332" i="13"/>
  <c r="X56" i="13"/>
  <c r="M56" i="13"/>
  <c r="N56" i="13" s="1"/>
  <c r="Y301" i="13"/>
  <c r="M336" i="13"/>
  <c r="N336" i="13" s="1"/>
  <c r="T336" i="13" s="1"/>
  <c r="M202" i="13"/>
  <c r="N202" i="13" s="1"/>
  <c r="T202" i="13" s="1"/>
  <c r="M213" i="13"/>
  <c r="N213" i="13" s="1"/>
  <c r="T213" i="13" s="1"/>
  <c r="Y322" i="13"/>
  <c r="M68" i="13"/>
  <c r="N68" i="13" s="1"/>
  <c r="U68" i="13" s="1"/>
  <c r="M356" i="13"/>
  <c r="N356" i="13" s="1"/>
  <c r="T201" i="13"/>
  <c r="U201" i="13"/>
  <c r="T232" i="13"/>
  <c r="U232" i="13"/>
  <c r="M187" i="13"/>
  <c r="N187" i="13"/>
  <c r="U187" i="13" s="1"/>
  <c r="X187" i="13"/>
  <c r="X312" i="13"/>
  <c r="M256" i="13"/>
  <c r="N256" i="13" s="1"/>
  <c r="X256" i="13"/>
  <c r="Y252" i="13"/>
  <c r="Y264" i="13"/>
  <c r="Y304" i="13"/>
  <c r="Y310" i="13"/>
  <c r="X335" i="13"/>
  <c r="U38" i="9"/>
  <c r="L86" i="9"/>
  <c r="M86" i="9" s="1"/>
  <c r="N86" i="9" s="1"/>
  <c r="U50" i="9"/>
  <c r="U49" i="9"/>
  <c r="L174" i="9"/>
  <c r="W174" i="9"/>
  <c r="W200" i="9"/>
  <c r="L180" i="9"/>
  <c r="M180" i="9" s="1"/>
  <c r="N180" i="9" s="1"/>
  <c r="U41" i="9"/>
  <c r="R18" i="9"/>
  <c r="X139" i="9"/>
  <c r="M139" i="9"/>
  <c r="N139" i="9" s="1"/>
  <c r="L182" i="9"/>
  <c r="M182" i="9" s="1"/>
  <c r="N182" i="9" s="1"/>
  <c r="W138" i="9"/>
  <c r="X138" i="9" s="1"/>
  <c r="M116" i="9"/>
  <c r="N116" i="9" s="1"/>
  <c r="M66" i="9"/>
  <c r="N66" i="9" s="1"/>
  <c r="H9" i="8"/>
  <c r="F26" i="3" s="1"/>
  <c r="W5" i="8"/>
  <c r="U254" i="16"/>
  <c r="X180" i="14"/>
  <c r="M191" i="14"/>
  <c r="N191" i="14"/>
  <c r="U191" i="14" s="1"/>
  <c r="X191" i="14"/>
  <c r="T145" i="14"/>
  <c r="U166" i="14"/>
  <c r="T166" i="14"/>
  <c r="T124" i="14"/>
  <c r="U124" i="14"/>
  <c r="U141" i="14"/>
  <c r="U186" i="14"/>
  <c r="T155" i="14"/>
  <c r="U155" i="14"/>
  <c r="T163" i="14"/>
  <c r="U129" i="14"/>
  <c r="N117" i="14"/>
  <c r="T117" i="14" s="1"/>
  <c r="M270" i="13"/>
  <c r="N270" i="13" s="1"/>
  <c r="U270" i="13" s="1"/>
  <c r="X270" i="13"/>
  <c r="M272" i="13"/>
  <c r="N272" i="13" s="1"/>
  <c r="T272" i="13" s="1"/>
  <c r="X291" i="13"/>
  <c r="M291" i="13"/>
  <c r="N291" i="13" s="1"/>
  <c r="T291" i="13" s="1"/>
  <c r="Y295" i="13"/>
  <c r="M199" i="13"/>
  <c r="N199" i="13"/>
  <c r="U199" i="13" s="1"/>
  <c r="U208" i="13"/>
  <c r="X320" i="13"/>
  <c r="Y320" i="13"/>
  <c r="M234" i="13"/>
  <c r="N234" i="13" s="1"/>
  <c r="X234" i="13"/>
  <c r="M340" i="13"/>
  <c r="N340" i="13" s="1"/>
  <c r="T340" i="13" s="1"/>
  <c r="T318" i="13"/>
  <c r="X331" i="13"/>
  <c r="Y291" i="13"/>
  <c r="T57" i="13"/>
  <c r="U353" i="13"/>
  <c r="N50" i="13"/>
  <c r="T50" i="13" s="1"/>
  <c r="U264" i="13"/>
  <c r="M138" i="9"/>
  <c r="N138" i="9" s="1"/>
  <c r="U180" i="14"/>
  <c r="T180" i="14"/>
  <c r="U117" i="14"/>
  <c r="U272" i="13"/>
  <c r="U50" i="13"/>
  <c r="T278" i="13" l="1"/>
  <c r="U278" i="13"/>
  <c r="U315" i="13"/>
  <c r="T315" i="13"/>
  <c r="T72" i="13"/>
  <c r="U72" i="13"/>
  <c r="R72" i="13"/>
  <c r="T254" i="13"/>
  <c r="U254" i="13"/>
  <c r="T144" i="14"/>
  <c r="U144" i="14"/>
  <c r="U195" i="13"/>
  <c r="T195" i="13"/>
  <c r="T295" i="13"/>
  <c r="U295" i="13"/>
  <c r="U326" i="13"/>
  <c r="T326" i="13"/>
  <c r="U51" i="13"/>
  <c r="R51" i="13"/>
  <c r="T51" i="13"/>
  <c r="U301" i="13"/>
  <c r="T301" i="13"/>
  <c r="U333" i="13"/>
  <c r="T333" i="13"/>
  <c r="T211" i="13"/>
  <c r="U211" i="13"/>
  <c r="U127" i="14"/>
  <c r="T127" i="14"/>
  <c r="U311" i="13"/>
  <c r="T311" i="13"/>
  <c r="U259" i="13"/>
  <c r="T259" i="13"/>
  <c r="U193" i="14"/>
  <c r="T193" i="14"/>
  <c r="T312" i="13"/>
  <c r="U312" i="13"/>
  <c r="T185" i="14"/>
  <c r="U185" i="14"/>
  <c r="T184" i="13"/>
  <c r="U184" i="13"/>
  <c r="T121" i="14"/>
  <c r="U121" i="14"/>
  <c r="U331" i="13"/>
  <c r="T331" i="13"/>
  <c r="T255" i="13"/>
  <c r="U255" i="13"/>
  <c r="T64" i="13"/>
  <c r="R64" i="13"/>
  <c r="U64" i="13"/>
  <c r="X243" i="13"/>
  <c r="Y243" i="13"/>
  <c r="T304" i="13"/>
  <c r="U304" i="13"/>
  <c r="T186" i="13"/>
  <c r="U186" i="13"/>
  <c r="T256" i="13"/>
  <c r="U256" i="13"/>
  <c r="U215" i="13"/>
  <c r="T215" i="13"/>
  <c r="U146" i="14"/>
  <c r="T146" i="14"/>
  <c r="T147" i="14"/>
  <c r="U147" i="14"/>
  <c r="M329" i="13"/>
  <c r="N329" i="13" s="1"/>
  <c r="U329" i="13" s="1"/>
  <c r="X64" i="13"/>
  <c r="W145" i="9"/>
  <c r="W116" i="9"/>
  <c r="M339" i="13"/>
  <c r="N339" i="13" s="1"/>
  <c r="T20" i="14"/>
  <c r="M467" i="15"/>
  <c r="N467" i="15" s="1"/>
  <c r="U467" i="15" s="1"/>
  <c r="X467" i="15"/>
  <c r="L309" i="13"/>
  <c r="W309" i="13"/>
  <c r="L273" i="13"/>
  <c r="R118" i="13"/>
  <c r="R20" i="14"/>
  <c r="U98" i="14"/>
  <c r="W93" i="9"/>
  <c r="L93" i="9"/>
  <c r="M93" i="9" s="1"/>
  <c r="N93" i="9" s="1"/>
  <c r="M136" i="9"/>
  <c r="N136" i="9" s="1"/>
  <c r="X136" i="9"/>
  <c r="U119" i="15"/>
  <c r="R119" i="15"/>
  <c r="U79" i="13"/>
  <c r="R79" i="13"/>
  <c r="X66" i="9"/>
  <c r="X179" i="9"/>
  <c r="M279" i="13"/>
  <c r="N279" i="13" s="1"/>
  <c r="T279" i="13" s="1"/>
  <c r="X279" i="13"/>
  <c r="M189" i="13"/>
  <c r="N189" i="13" s="1"/>
  <c r="X189" i="13"/>
  <c r="L246" i="13"/>
  <c r="M246" i="13" s="1"/>
  <c r="N246" i="13" s="1"/>
  <c r="W246" i="13"/>
  <c r="T56" i="14"/>
  <c r="R56" i="14"/>
  <c r="U56" i="14"/>
  <c r="R53" i="17"/>
  <c r="M53" i="17"/>
  <c r="N53" i="17" s="1"/>
  <c r="O53" i="17" s="1"/>
  <c r="U96" i="13"/>
  <c r="R96" i="13"/>
  <c r="T96" i="13"/>
  <c r="U154" i="14"/>
  <c r="X8" i="5"/>
  <c r="T329" i="13"/>
  <c r="T217" i="13"/>
  <c r="U217" i="13"/>
  <c r="W239" i="13"/>
  <c r="L239" i="13"/>
  <c r="U57" i="14"/>
  <c r="R57" i="14"/>
  <c r="U225" i="13"/>
  <c r="X166" i="14"/>
  <c r="R50" i="13"/>
  <c r="Y272" i="13"/>
  <c r="X318" i="13"/>
  <c r="T18" i="13"/>
  <c r="Y356" i="13"/>
  <c r="Y233" i="13"/>
  <c r="R13" i="14"/>
  <c r="U13" i="14"/>
  <c r="L439" i="15"/>
  <c r="W439" i="15"/>
  <c r="Y348" i="13"/>
  <c r="M76" i="9"/>
  <c r="N76" i="9" s="1"/>
  <c r="R18" i="13"/>
  <c r="U118" i="13"/>
  <c r="U221" i="13"/>
  <c r="Y255" i="13"/>
  <c r="T89" i="14"/>
  <c r="R89" i="14"/>
  <c r="U16" i="14"/>
  <c r="T16" i="14"/>
  <c r="R16" i="14"/>
  <c r="X146" i="14"/>
  <c r="T252" i="13"/>
  <c r="T241" i="13"/>
  <c r="Y331" i="13"/>
  <c r="U97" i="14"/>
  <c r="W318" i="10"/>
  <c r="L318" i="10"/>
  <c r="M318" i="10" s="1"/>
  <c r="N318" i="10" s="1"/>
  <c r="U318" i="10" s="1"/>
  <c r="M222" i="13"/>
  <c r="N222" i="13" s="1"/>
  <c r="T137" i="13"/>
  <c r="U137" i="13"/>
  <c r="R137" i="13"/>
  <c r="T137" i="14"/>
  <c r="T28" i="9"/>
  <c r="U228" i="13"/>
  <c r="R97" i="14"/>
  <c r="T25" i="9"/>
  <c r="R25" i="9"/>
  <c r="X55" i="13"/>
  <c r="X72" i="13"/>
  <c r="W185" i="14"/>
  <c r="W455" i="16"/>
  <c r="W253" i="13"/>
  <c r="Y253" i="13" s="1"/>
  <c r="L253" i="13"/>
  <c r="T132" i="13"/>
  <c r="U132" i="13"/>
  <c r="R132" i="13"/>
  <c r="R58" i="14"/>
  <c r="T58" i="14"/>
  <c r="U58" i="14"/>
  <c r="Y312" i="13"/>
  <c r="X185" i="14"/>
  <c r="W407" i="15"/>
  <c r="L407" i="15"/>
  <c r="T65" i="13"/>
  <c r="R65" i="13"/>
  <c r="R6" i="11"/>
  <c r="R18" i="11" s="1"/>
  <c r="W6" i="11"/>
  <c r="H18" i="11"/>
  <c r="F11" i="3" s="1"/>
  <c r="U11" i="13"/>
  <c r="R11" i="13"/>
  <c r="R113" i="13"/>
  <c r="U113" i="13"/>
  <c r="T113" i="13"/>
  <c r="M276" i="13"/>
  <c r="N276" i="13" s="1"/>
  <c r="X276" i="13"/>
  <c r="Y276" i="13"/>
  <c r="L363" i="15"/>
  <c r="M363" i="15" s="1"/>
  <c r="N363" i="15" s="1"/>
  <c r="W363" i="15"/>
  <c r="W410" i="15"/>
  <c r="L410" i="15"/>
  <c r="M410" i="15" s="1"/>
  <c r="N410" i="15" s="1"/>
  <c r="U410" i="15" s="1"/>
  <c r="R161" i="13"/>
  <c r="U161" i="13"/>
  <c r="U94" i="14"/>
  <c r="R94" i="14"/>
  <c r="T94" i="14"/>
  <c r="W91" i="9"/>
  <c r="L91" i="9"/>
  <c r="W212" i="13"/>
  <c r="L212" i="13"/>
  <c r="U336" i="13"/>
  <c r="U323" i="13"/>
  <c r="U202" i="13"/>
  <c r="X304" i="13"/>
  <c r="W329" i="13"/>
  <c r="Y329" i="13" s="1"/>
  <c r="L52" i="13"/>
  <c r="M193" i="13"/>
  <c r="N193" i="13" s="1"/>
  <c r="T81" i="14"/>
  <c r="T111" i="15"/>
  <c r="N48" i="17"/>
  <c r="O48" i="17" s="1"/>
  <c r="S48" i="17" s="1"/>
  <c r="T161" i="13"/>
  <c r="Y270" i="13"/>
  <c r="W208" i="13"/>
  <c r="X208" i="13" s="1"/>
  <c r="Y328" i="13"/>
  <c r="U54" i="14"/>
  <c r="R54" i="14"/>
  <c r="W188" i="14"/>
  <c r="L188" i="14"/>
  <c r="M188" i="14" s="1"/>
  <c r="N188" i="14" s="1"/>
  <c r="T188" i="14" s="1"/>
  <c r="X397" i="15"/>
  <c r="X339" i="13"/>
  <c r="R68" i="13"/>
  <c r="Y259" i="13"/>
  <c r="L244" i="13"/>
  <c r="M244" i="13" s="1"/>
  <c r="N244" i="13" s="1"/>
  <c r="X237" i="16"/>
  <c r="M237" i="16"/>
  <c r="N237" i="16" s="1"/>
  <c r="U21" i="13"/>
  <c r="T21" i="13"/>
  <c r="T104" i="13"/>
  <c r="U104" i="13"/>
  <c r="W195" i="14"/>
  <c r="L195" i="14"/>
  <c r="M195" i="14" s="1"/>
  <c r="N195" i="14" s="1"/>
  <c r="T187" i="13"/>
  <c r="X255" i="13"/>
  <c r="X295" i="13"/>
  <c r="X211" i="13"/>
  <c r="X325" i="13"/>
  <c r="T98" i="14"/>
  <c r="V34" i="17"/>
  <c r="R185" i="13"/>
  <c r="W176" i="9"/>
  <c r="L176" i="9"/>
  <c r="W443" i="16"/>
  <c r="L443" i="16"/>
  <c r="M214" i="13"/>
  <c r="N214" i="13" s="1"/>
  <c r="X214" i="13"/>
  <c r="T64" i="14"/>
  <c r="R64" i="14"/>
  <c r="U64" i="14"/>
  <c r="R81" i="14"/>
  <c r="L148" i="14"/>
  <c r="W345" i="15"/>
  <c r="S31" i="17"/>
  <c r="T10" i="5"/>
  <c r="L124" i="9"/>
  <c r="W258" i="13"/>
  <c r="Y258" i="13" s="1"/>
  <c r="L258" i="13"/>
  <c r="W142" i="14"/>
  <c r="L142" i="14"/>
  <c r="T191" i="14"/>
  <c r="X186" i="13"/>
  <c r="X278" i="13"/>
  <c r="L297" i="13"/>
  <c r="Y297" i="13" s="1"/>
  <c r="T270" i="13"/>
  <c r="M173" i="14"/>
  <c r="N173" i="14" s="1"/>
  <c r="W308" i="13"/>
  <c r="Y308" i="13" s="1"/>
  <c r="Y241" i="13"/>
  <c r="U83" i="16"/>
  <c r="R83" i="16"/>
  <c r="Y238" i="13"/>
  <c r="T36" i="9"/>
  <c r="T342" i="13"/>
  <c r="L437" i="15"/>
  <c r="M437" i="15" s="1"/>
  <c r="N437" i="15" s="1"/>
  <c r="X249" i="13"/>
  <c r="W191" i="16"/>
  <c r="N10" i="5"/>
  <c r="U10" i="5" s="1"/>
  <c r="T157" i="13"/>
  <c r="U16" i="13"/>
  <c r="T106" i="13"/>
  <c r="L386" i="13"/>
  <c r="W222" i="13"/>
  <c r="Y222" i="13" s="1"/>
  <c r="U120" i="13"/>
  <c r="R112" i="16"/>
  <c r="L139" i="14"/>
  <c r="X201" i="13"/>
  <c r="W217" i="13"/>
  <c r="X217" i="13" s="1"/>
  <c r="T125" i="13"/>
  <c r="W75" i="13"/>
  <c r="X75" i="13" s="1"/>
  <c r="V26" i="13"/>
  <c r="U24" i="13"/>
  <c r="L162" i="13"/>
  <c r="M162" i="13" s="1"/>
  <c r="N162" i="13" s="1"/>
  <c r="N116" i="13"/>
  <c r="T65" i="14"/>
  <c r="G25" i="3"/>
  <c r="F10" i="2"/>
  <c r="X218" i="13"/>
  <c r="X191" i="13"/>
  <c r="H10" i="7"/>
  <c r="W10" i="7" s="1"/>
  <c r="N9" i="9"/>
  <c r="H92" i="9"/>
  <c r="T114" i="9"/>
  <c r="N160" i="10"/>
  <c r="V239" i="13"/>
  <c r="T12" i="14"/>
  <c r="S422" i="16"/>
  <c r="R63" i="15"/>
  <c r="X313" i="13"/>
  <c r="U146" i="13"/>
  <c r="U107" i="13"/>
  <c r="L152" i="14"/>
  <c r="V217" i="9"/>
  <c r="L206" i="13"/>
  <c r="W280" i="13"/>
  <c r="Y280" i="13" s="1"/>
  <c r="V258" i="13"/>
  <c r="H6" i="13"/>
  <c r="W6" i="13" s="1"/>
  <c r="X6" i="13" s="1"/>
  <c r="W178" i="14"/>
  <c r="D26" i="3"/>
  <c r="B31" i="3"/>
  <c r="N89" i="13"/>
  <c r="R122" i="13"/>
  <c r="L351" i="13"/>
  <c r="L363" i="13"/>
  <c r="N84" i="14"/>
  <c r="L199" i="14"/>
  <c r="M199" i="14" s="1"/>
  <c r="N199" i="14" s="1"/>
  <c r="H422" i="16"/>
  <c r="T38" i="9"/>
  <c r="T168" i="16"/>
  <c r="S7" i="17"/>
  <c r="L281" i="15"/>
  <c r="M281" i="15" s="1"/>
  <c r="N281" i="15" s="1"/>
  <c r="U281" i="15" s="1"/>
  <c r="V16" i="17"/>
  <c r="T47" i="14"/>
  <c r="T6" i="11"/>
  <c r="Y220" i="13"/>
  <c r="L293" i="13"/>
  <c r="L67" i="13"/>
  <c r="M67" i="13" s="1"/>
  <c r="N67" i="13" s="1"/>
  <c r="Y266" i="13"/>
  <c r="R159" i="13"/>
  <c r="Y315" i="13"/>
  <c r="L238" i="13"/>
  <c r="M238" i="13" s="1"/>
  <c r="N238" i="13" s="1"/>
  <c r="H44" i="16"/>
  <c r="W44" i="16" s="1"/>
  <c r="X44" i="16" s="1"/>
  <c r="R8" i="12"/>
  <c r="S8" i="12" s="1"/>
  <c r="N6" i="13"/>
  <c r="H113" i="13"/>
  <c r="W113" i="13" s="1"/>
  <c r="X113" i="13" s="1"/>
  <c r="T172" i="13"/>
  <c r="N11" i="16"/>
  <c r="R11" i="16" s="1"/>
  <c r="N33" i="16"/>
  <c r="N45" i="16"/>
  <c r="U45" i="16" s="1"/>
  <c r="N56" i="16"/>
  <c r="R56" i="16" s="1"/>
  <c r="H315" i="16"/>
  <c r="X210" i="13"/>
  <c r="U23" i="14"/>
  <c r="V27" i="17"/>
  <c r="R33" i="15"/>
  <c r="R62" i="15"/>
  <c r="V51" i="17"/>
  <c r="T130" i="13"/>
  <c r="X187" i="14"/>
  <c r="U74" i="14"/>
  <c r="U35" i="14"/>
  <c r="R98" i="13"/>
  <c r="Y324" i="13"/>
  <c r="V363" i="13"/>
  <c r="W363" i="13" s="1"/>
  <c r="Y363" i="13" s="1"/>
  <c r="W196" i="13"/>
  <c r="X196" i="13" s="1"/>
  <c r="W357" i="13"/>
  <c r="Y357" i="13" s="1"/>
  <c r="W6" i="7"/>
  <c r="T207" i="9"/>
  <c r="H18" i="14"/>
  <c r="W18" i="14" s="1"/>
  <c r="X18" i="14" s="1"/>
  <c r="W329" i="15"/>
  <c r="R113" i="15"/>
  <c r="U9" i="13"/>
  <c r="R131" i="13"/>
  <c r="L6" i="7"/>
  <c r="M6" i="7" s="1"/>
  <c r="N6" i="7" s="1"/>
  <c r="R23" i="13"/>
  <c r="R111" i="14"/>
  <c r="U114" i="14"/>
  <c r="U109" i="14"/>
  <c r="H7" i="7"/>
  <c r="N152" i="15"/>
  <c r="N121" i="16"/>
  <c r="L167" i="13"/>
  <c r="X167" i="13" s="1"/>
  <c r="U131" i="13"/>
  <c r="R12" i="13"/>
  <c r="Y343" i="13"/>
  <c r="R114" i="14"/>
  <c r="N44" i="16"/>
  <c r="T44" i="16" s="1"/>
  <c r="R109" i="14"/>
  <c r="Y321" i="13"/>
  <c r="U31" i="14"/>
  <c r="T111" i="14"/>
  <c r="L303" i="13"/>
  <c r="R20" i="13"/>
  <c r="U125" i="13"/>
  <c r="T12" i="13"/>
  <c r="N5" i="14"/>
  <c r="N18" i="14"/>
  <c r="T40" i="16"/>
  <c r="N52" i="16"/>
  <c r="T84" i="16"/>
  <c r="D30" i="3"/>
  <c r="W385" i="13"/>
  <c r="T31" i="14"/>
  <c r="M130" i="14"/>
  <c r="N130" i="14" s="1"/>
  <c r="U130" i="14" s="1"/>
  <c r="W381" i="13"/>
  <c r="X381" i="13" s="1"/>
  <c r="N37" i="10"/>
  <c r="N52" i="10"/>
  <c r="N134" i="10"/>
  <c r="L397" i="13"/>
  <c r="M397" i="13" s="1"/>
  <c r="N397" i="13" s="1"/>
  <c r="L406" i="13"/>
  <c r="M406" i="13" s="1"/>
  <c r="N406" i="13" s="1"/>
  <c r="X122" i="14"/>
  <c r="T39" i="14"/>
  <c r="Y284" i="13"/>
  <c r="H104" i="13"/>
  <c r="W104" i="13" s="1"/>
  <c r="X104" i="13" s="1"/>
  <c r="G11" i="3"/>
  <c r="F5" i="2"/>
  <c r="W5" i="6"/>
  <c r="L70" i="13"/>
  <c r="L288" i="13"/>
  <c r="Y288" i="13" s="1"/>
  <c r="X183" i="14"/>
  <c r="L169" i="14"/>
  <c r="H9" i="4"/>
  <c r="L6" i="8"/>
  <c r="M6" i="8" s="1"/>
  <c r="N6" i="8" s="1"/>
  <c r="T112" i="16"/>
  <c r="T255" i="16"/>
  <c r="H295" i="16"/>
  <c r="O9" i="17"/>
  <c r="S9" i="17" s="1"/>
  <c r="X61" i="9"/>
  <c r="W319" i="13"/>
  <c r="N47" i="9"/>
  <c r="N25" i="16"/>
  <c r="N59" i="16"/>
  <c r="U30" i="13"/>
  <c r="W78" i="13"/>
  <c r="D25" i="3"/>
  <c r="C31" i="3"/>
  <c r="W215" i="9"/>
  <c r="X215" i="9" s="1"/>
  <c r="S43" i="17"/>
  <c r="T477" i="15"/>
  <c r="Y377" i="13"/>
  <c r="W373" i="13"/>
  <c r="W245" i="13"/>
  <c r="L312" i="16"/>
  <c r="L394" i="13"/>
  <c r="M394" i="13" s="1"/>
  <c r="N394" i="13" s="1"/>
  <c r="L412" i="13"/>
  <c r="M412" i="13" s="1"/>
  <c r="N412" i="13" s="1"/>
  <c r="T217" i="16"/>
  <c r="S10" i="17"/>
  <c r="B10" i="18"/>
  <c r="T292" i="15"/>
  <c r="W479" i="15"/>
  <c r="X479" i="15" s="1"/>
  <c r="N48" i="15"/>
  <c r="N44" i="15"/>
  <c r="R44" i="15" s="1"/>
  <c r="T51" i="15"/>
  <c r="T83" i="15"/>
  <c r="T156" i="15"/>
  <c r="T178" i="15"/>
  <c r="N169" i="15"/>
  <c r="R169" i="15" s="1"/>
  <c r="V53" i="17"/>
  <c r="X199" i="14"/>
  <c r="X195" i="14"/>
  <c r="U373" i="13"/>
  <c r="T373" i="13"/>
  <c r="Y368" i="13"/>
  <c r="X375" i="13"/>
  <c r="X371" i="13"/>
  <c r="M372" i="13"/>
  <c r="N372" i="13" s="1"/>
  <c r="U372" i="13" s="1"/>
  <c r="X374" i="13"/>
  <c r="X386" i="13"/>
  <c r="U364" i="13"/>
  <c r="X364" i="13"/>
  <c r="R10" i="7"/>
  <c r="X10" i="7"/>
  <c r="M5" i="6"/>
  <c r="L347" i="16"/>
  <c r="W347" i="16"/>
  <c r="U33" i="16"/>
  <c r="T33" i="16"/>
  <c r="R33" i="16"/>
  <c r="U302" i="16"/>
  <c r="T302" i="16"/>
  <c r="R52" i="16"/>
  <c r="U52" i="16"/>
  <c r="U59" i="16"/>
  <c r="T59" i="16"/>
  <c r="T82" i="16"/>
  <c r="U82" i="16"/>
  <c r="R88" i="16"/>
  <c r="U88" i="16"/>
  <c r="T83" i="16"/>
  <c r="U116" i="16"/>
  <c r="H418" i="16"/>
  <c r="W418" i="16" s="1"/>
  <c r="L373" i="16"/>
  <c r="M373" i="16" s="1"/>
  <c r="N373" i="16" s="1"/>
  <c r="V312" i="16"/>
  <c r="V62" i="16"/>
  <c r="N14" i="16"/>
  <c r="U14" i="16" s="1"/>
  <c r="V223" i="16"/>
  <c r="U111" i="16"/>
  <c r="V335" i="16"/>
  <c r="N135" i="16"/>
  <c r="R135" i="16" s="1"/>
  <c r="L335" i="16"/>
  <c r="X335" i="16" s="1"/>
  <c r="V347" i="16"/>
  <c r="V314" i="16"/>
  <c r="W280" i="16"/>
  <c r="H143" i="16"/>
  <c r="W143" i="16" s="1"/>
  <c r="X143" i="16" s="1"/>
  <c r="L377" i="16"/>
  <c r="M377" i="16" s="1"/>
  <c r="N377" i="16" s="1"/>
  <c r="U377" i="16" s="1"/>
  <c r="H363" i="16"/>
  <c r="W363" i="16" s="1"/>
  <c r="H369" i="16"/>
  <c r="V110" i="16"/>
  <c r="X222" i="16"/>
  <c r="L314" i="16"/>
  <c r="X314" i="16" s="1"/>
  <c r="H298" i="16"/>
  <c r="W298" i="16" s="1"/>
  <c r="H321" i="16"/>
  <c r="X323" i="16"/>
  <c r="L343" i="16"/>
  <c r="H110" i="16"/>
  <c r="W110" i="16" s="1"/>
  <c r="X110" i="16" s="1"/>
  <c r="H355" i="16"/>
  <c r="L355" i="16" s="1"/>
  <c r="W217" i="16"/>
  <c r="X217" i="16" s="1"/>
  <c r="L219" i="16"/>
  <c r="M219" i="16" s="1"/>
  <c r="N219" i="16" s="1"/>
  <c r="U219" i="16" s="1"/>
  <c r="M323" i="16"/>
  <c r="N323" i="16" s="1"/>
  <c r="V147" i="16"/>
  <c r="V118" i="16"/>
  <c r="V428" i="16"/>
  <c r="V321" i="16"/>
  <c r="V444" i="16"/>
  <c r="V432" i="16"/>
  <c r="L387" i="16"/>
  <c r="X387" i="16" s="1"/>
  <c r="H375" i="16"/>
  <c r="H385" i="16"/>
  <c r="W385" i="16" s="1"/>
  <c r="V381" i="16"/>
  <c r="V135" i="16"/>
  <c r="V106" i="16"/>
  <c r="H5" i="16"/>
  <c r="W5" i="16" s="1"/>
  <c r="X5" i="16" s="1"/>
  <c r="N10" i="16"/>
  <c r="U10" i="16" s="1"/>
  <c r="N18" i="16"/>
  <c r="R18" i="16" s="1"/>
  <c r="N36" i="16"/>
  <c r="T36" i="16" s="1"/>
  <c r="N42" i="16"/>
  <c r="R42" i="16" s="1"/>
  <c r="N106" i="16"/>
  <c r="N115" i="16"/>
  <c r="R115" i="16" s="1"/>
  <c r="N131" i="16"/>
  <c r="N147" i="16"/>
  <c r="N155" i="16"/>
  <c r="T155" i="16" s="1"/>
  <c r="T231" i="16"/>
  <c r="T283" i="16"/>
  <c r="R100" i="16"/>
  <c r="L381" i="16"/>
  <c r="M381" i="16" s="1"/>
  <c r="N381" i="16" s="1"/>
  <c r="T381" i="16" s="1"/>
  <c r="L195" i="16"/>
  <c r="X431" i="16"/>
  <c r="V387" i="16"/>
  <c r="V177" i="16"/>
  <c r="T279" i="16"/>
  <c r="X435" i="16"/>
  <c r="H367" i="16"/>
  <c r="V377" i="16"/>
  <c r="V155" i="16"/>
  <c r="V28" i="16"/>
  <c r="H58" i="16"/>
  <c r="W58" i="16" s="1"/>
  <c r="X58" i="16" s="1"/>
  <c r="N51" i="16"/>
  <c r="U51" i="16" s="1"/>
  <c r="N55" i="16"/>
  <c r="N134" i="16"/>
  <c r="R134" i="16" s="1"/>
  <c r="N138" i="16"/>
  <c r="T138" i="16" s="1"/>
  <c r="W146" i="9"/>
  <c r="L146" i="9"/>
  <c r="M200" i="9"/>
  <c r="N200" i="9" s="1"/>
  <c r="U200" i="9" s="1"/>
  <c r="X200" i="9"/>
  <c r="U125" i="9"/>
  <c r="T125" i="9"/>
  <c r="R34" i="9"/>
  <c r="T34" i="9"/>
  <c r="H85" i="9"/>
  <c r="W85" i="9" s="1"/>
  <c r="V85" i="9"/>
  <c r="H103" i="9"/>
  <c r="W103" i="9" s="1"/>
  <c r="V103" i="9"/>
  <c r="V144" i="9"/>
  <c r="H144" i="9"/>
  <c r="H148" i="9"/>
  <c r="W148" i="9" s="1"/>
  <c r="V148" i="9"/>
  <c r="V158" i="9"/>
  <c r="H158" i="9"/>
  <c r="V162" i="9"/>
  <c r="H162" i="9"/>
  <c r="S203" i="9"/>
  <c r="V203" i="9"/>
  <c r="H203" i="9"/>
  <c r="W203" i="9" s="1"/>
  <c r="V211" i="9"/>
  <c r="H211" i="9"/>
  <c r="T49" i="9"/>
  <c r="U25" i="9"/>
  <c r="L85" i="9"/>
  <c r="H150" i="9"/>
  <c r="W150" i="9" s="1"/>
  <c r="V207" i="9"/>
  <c r="W207" i="9" s="1"/>
  <c r="X207" i="9" s="1"/>
  <c r="H99" i="9"/>
  <c r="W99" i="9" s="1"/>
  <c r="R9" i="9"/>
  <c r="X120" i="9"/>
  <c r="H87" i="9"/>
  <c r="L87" i="9" s="1"/>
  <c r="M87" i="9" s="1"/>
  <c r="N87" i="9" s="1"/>
  <c r="R48" i="9"/>
  <c r="T48" i="9"/>
  <c r="S211" i="9"/>
  <c r="H73" i="9"/>
  <c r="W73" i="9" s="1"/>
  <c r="L73" i="9"/>
  <c r="M73" i="9" s="1"/>
  <c r="N73" i="9" s="1"/>
  <c r="V75" i="9"/>
  <c r="H75" i="9"/>
  <c r="L96" i="9"/>
  <c r="M96" i="9" s="1"/>
  <c r="N96" i="9" s="1"/>
  <c r="W96" i="9"/>
  <c r="H127" i="9"/>
  <c r="V127" i="9"/>
  <c r="V131" i="9"/>
  <c r="H131" i="9"/>
  <c r="H137" i="9"/>
  <c r="W137" i="9" s="1"/>
  <c r="V137" i="9"/>
  <c r="L137" i="9"/>
  <c r="X208" i="9"/>
  <c r="R28" i="9"/>
  <c r="M115" i="9"/>
  <c r="N115" i="9" s="1"/>
  <c r="R36" i="9"/>
  <c r="V105" i="9"/>
  <c r="N5" i="9"/>
  <c r="U5" i="9" s="1"/>
  <c r="V146" i="9"/>
  <c r="L129" i="9"/>
  <c r="W71" i="9"/>
  <c r="V115" i="9"/>
  <c r="V216" i="9"/>
  <c r="S215" i="9"/>
  <c r="T215" i="9" s="1"/>
  <c r="H133" i="9"/>
  <c r="W133" i="9" s="1"/>
  <c r="V123" i="9"/>
  <c r="H105" i="9"/>
  <c r="W105" i="9" s="1"/>
  <c r="V59" i="9"/>
  <c r="V24" i="9"/>
  <c r="H24" i="9"/>
  <c r="W24" i="9" s="1"/>
  <c r="X24" i="9" s="1"/>
  <c r="N24" i="9"/>
  <c r="V40" i="9"/>
  <c r="H40" i="9"/>
  <c r="W40" i="9" s="1"/>
  <c r="X40" i="9" s="1"/>
  <c r="L56" i="9"/>
  <c r="W56" i="9"/>
  <c r="V58" i="9"/>
  <c r="H58" i="9"/>
  <c r="W151" i="9"/>
  <c r="L151" i="9"/>
  <c r="X151" i="9" s="1"/>
  <c r="V165" i="9"/>
  <c r="H165" i="9"/>
  <c r="W165" i="9" s="1"/>
  <c r="L165" i="9"/>
  <c r="M165" i="9" s="1"/>
  <c r="N165" i="9" s="1"/>
  <c r="V175" i="9"/>
  <c r="H175" i="9"/>
  <c r="S178" i="9"/>
  <c r="H178" i="9"/>
  <c r="W178" i="9" s="1"/>
  <c r="V190" i="9"/>
  <c r="H190" i="9"/>
  <c r="W190" i="9" s="1"/>
  <c r="S198" i="9"/>
  <c r="H198" i="9"/>
  <c r="V198" i="9"/>
  <c r="S201" i="9"/>
  <c r="V201" i="9"/>
  <c r="W201" i="9" s="1"/>
  <c r="X106" i="9"/>
  <c r="M106" i="9"/>
  <c r="N106" i="9" s="1"/>
  <c r="U106" i="9" s="1"/>
  <c r="H60" i="9"/>
  <c r="W60" i="9" s="1"/>
  <c r="V60" i="9"/>
  <c r="H8" i="9"/>
  <c r="W8" i="9" s="1"/>
  <c r="X8" i="9" s="1"/>
  <c r="V8" i="9"/>
  <c r="H22" i="9"/>
  <c r="W22" i="9" s="1"/>
  <c r="X22" i="9" s="1"/>
  <c r="N22" i="9"/>
  <c r="H118" i="9"/>
  <c r="W118" i="9" s="1"/>
  <c r="V118" i="9"/>
  <c r="X86" i="9"/>
  <c r="X145" i="9"/>
  <c r="R19" i="9"/>
  <c r="T19" i="9"/>
  <c r="H140" i="9"/>
  <c r="M91" i="9"/>
  <c r="N91" i="9" s="1"/>
  <c r="U91" i="9" s="1"/>
  <c r="X91" i="9"/>
  <c r="N8" i="9"/>
  <c r="U8" i="9" s="1"/>
  <c r="N13" i="9"/>
  <c r="R13" i="9" s="1"/>
  <c r="H13" i="9"/>
  <c r="W13" i="9" s="1"/>
  <c r="V21" i="9"/>
  <c r="H21" i="9"/>
  <c r="W21" i="9" s="1"/>
  <c r="X21" i="9" s="1"/>
  <c r="L121" i="9"/>
  <c r="W121" i="9"/>
  <c r="H135" i="9"/>
  <c r="W135" i="9" s="1"/>
  <c r="V135" i="9"/>
  <c r="S185" i="9"/>
  <c r="V185" i="9"/>
  <c r="S189" i="9"/>
  <c r="V189" i="9"/>
  <c r="H189" i="9"/>
  <c r="W189" i="9" s="1"/>
  <c r="H204" i="9"/>
  <c r="L204" i="9" s="1"/>
  <c r="M204" i="9" s="1"/>
  <c r="N204" i="9" s="1"/>
  <c r="T204" i="9" s="1"/>
  <c r="V204" i="9"/>
  <c r="X182" i="9"/>
  <c r="X174" i="9"/>
  <c r="N102" i="9"/>
  <c r="H101" i="9"/>
  <c r="X70" i="9"/>
  <c r="L168" i="9"/>
  <c r="U126" i="9"/>
  <c r="T138" i="9"/>
  <c r="L141" i="9"/>
  <c r="N32" i="9"/>
  <c r="L53" i="9"/>
  <c r="S168" i="9"/>
  <c r="L77" i="9"/>
  <c r="X163" i="9"/>
  <c r="V73" i="9"/>
  <c r="U34" i="9"/>
  <c r="L196" i="9"/>
  <c r="W196" i="9"/>
  <c r="H171" i="9"/>
  <c r="W171" i="9" s="1"/>
  <c r="R6" i="9"/>
  <c r="N40" i="9"/>
  <c r="L135" i="9"/>
  <c r="X135" i="9" s="1"/>
  <c r="L211" i="9"/>
  <c r="M211" i="9" s="1"/>
  <c r="N211" i="9" s="1"/>
  <c r="U211" i="9" s="1"/>
  <c r="W167" i="9"/>
  <c r="L167" i="9"/>
  <c r="M167" i="9" s="1"/>
  <c r="N167" i="9" s="1"/>
  <c r="H113" i="9"/>
  <c r="W113" i="9" s="1"/>
  <c r="H64" i="9"/>
  <c r="V22" i="9"/>
  <c r="H185" i="9"/>
  <c r="W185" i="9" s="1"/>
  <c r="V48" i="9"/>
  <c r="V160" i="9"/>
  <c r="H67" i="9"/>
  <c r="V96" i="9"/>
  <c r="N23" i="9"/>
  <c r="U23" i="9" s="1"/>
  <c r="H31" i="9"/>
  <c r="W31" i="9" s="1"/>
  <c r="X31" i="9" s="1"/>
  <c r="N31" i="9"/>
  <c r="V31" i="9"/>
  <c r="N39" i="9"/>
  <c r="H39" i="9"/>
  <c r="W39" i="9" s="1"/>
  <c r="X39" i="9" s="1"/>
  <c r="N44" i="9"/>
  <c r="R44" i="9" s="1"/>
  <c r="V51" i="9"/>
  <c r="H51" i="9"/>
  <c r="W51" i="9" s="1"/>
  <c r="X51" i="9" s="1"/>
  <c r="V176" i="9"/>
  <c r="S176" i="9"/>
  <c r="S179" i="9"/>
  <c r="T179" i="9" s="1"/>
  <c r="V179" i="9"/>
  <c r="H183" i="9"/>
  <c r="W183" i="9" s="1"/>
  <c r="V183" i="9"/>
  <c r="X57" i="9"/>
  <c r="X122" i="9"/>
  <c r="V57" i="9"/>
  <c r="X82" i="9"/>
  <c r="U66" i="9"/>
  <c r="T66" i="9"/>
  <c r="U145" i="9"/>
  <c r="T145" i="9"/>
  <c r="U182" i="9"/>
  <c r="T182" i="9"/>
  <c r="T180" i="9"/>
  <c r="U180" i="9"/>
  <c r="U186" i="9"/>
  <c r="T186" i="9"/>
  <c r="U86" i="9"/>
  <c r="T86" i="9"/>
  <c r="U195" i="9"/>
  <c r="T195" i="9"/>
  <c r="R47" i="9"/>
  <c r="U47" i="9"/>
  <c r="X180" i="9"/>
  <c r="T199" i="9"/>
  <c r="M174" i="9"/>
  <c r="N174" i="9" s="1"/>
  <c r="T18" i="9"/>
  <c r="U10" i="9"/>
  <c r="L52" i="9"/>
  <c r="L190" i="9"/>
  <c r="M190" i="9" s="1"/>
  <c r="N190" i="9" s="1"/>
  <c r="U190" i="9" s="1"/>
  <c r="T82" i="9"/>
  <c r="U82" i="9"/>
  <c r="S197" i="9"/>
  <c r="H152" i="9"/>
  <c r="W152" i="9" s="1"/>
  <c r="V152" i="9"/>
  <c r="V154" i="9"/>
  <c r="L154" i="9"/>
  <c r="W160" i="9"/>
  <c r="L160" i="9"/>
  <c r="V169" i="9"/>
  <c r="H169" i="9"/>
  <c r="L169" i="9" s="1"/>
  <c r="M169" i="9" s="1"/>
  <c r="N169" i="9" s="1"/>
  <c r="S194" i="9"/>
  <c r="H194" i="9"/>
  <c r="W194" i="9" s="1"/>
  <c r="V194" i="9"/>
  <c r="H212" i="9"/>
  <c r="L212" i="9" s="1"/>
  <c r="M181" i="9"/>
  <c r="N181" i="9" s="1"/>
  <c r="M70" i="9"/>
  <c r="N70" i="9" s="1"/>
  <c r="T30" i="9"/>
  <c r="L90" i="9"/>
  <c r="T10" i="9"/>
  <c r="L79" i="9"/>
  <c r="L123" i="9"/>
  <c r="T47" i="9"/>
  <c r="T35" i="9"/>
  <c r="N7" i="9"/>
  <c r="R7" i="9" s="1"/>
  <c r="T91" i="9"/>
  <c r="L171" i="9"/>
  <c r="M171" i="9" s="1"/>
  <c r="N171" i="9" s="1"/>
  <c r="L108" i="9"/>
  <c r="W108" i="9"/>
  <c r="V13" i="9"/>
  <c r="T45" i="9"/>
  <c r="H172" i="9"/>
  <c r="U215" i="9"/>
  <c r="H72" i="9"/>
  <c r="W72" i="9" s="1"/>
  <c r="V72" i="9"/>
  <c r="H74" i="9"/>
  <c r="W74" i="9" s="1"/>
  <c r="V78" i="9"/>
  <c r="L78" i="9"/>
  <c r="M78" i="9" s="1"/>
  <c r="N78" i="9" s="1"/>
  <c r="T78" i="9" s="1"/>
  <c r="V80" i="9"/>
  <c r="H80" i="9"/>
  <c r="H95" i="9"/>
  <c r="W95" i="9" s="1"/>
  <c r="L95" i="9"/>
  <c r="V95" i="9"/>
  <c r="V128" i="9"/>
  <c r="L128" i="9"/>
  <c r="M128" i="9" s="1"/>
  <c r="N128" i="9" s="1"/>
  <c r="V130" i="9"/>
  <c r="L130" i="9"/>
  <c r="L134" i="9"/>
  <c r="M134" i="9" s="1"/>
  <c r="N134" i="9" s="1"/>
  <c r="W134" i="9"/>
  <c r="V143" i="9"/>
  <c r="H143" i="9"/>
  <c r="W143" i="9" s="1"/>
  <c r="H147" i="9"/>
  <c r="V147" i="9"/>
  <c r="V164" i="9"/>
  <c r="H164" i="9"/>
  <c r="W164" i="9" s="1"/>
  <c r="V166" i="9"/>
  <c r="L166" i="9"/>
  <c r="W173" i="9"/>
  <c r="L173" i="9"/>
  <c r="S184" i="9"/>
  <c r="L184" i="9"/>
  <c r="S187" i="9"/>
  <c r="V187" i="9"/>
  <c r="H187" i="9"/>
  <c r="V191" i="9"/>
  <c r="H191" i="9"/>
  <c r="S191" i="9"/>
  <c r="W110" i="9"/>
  <c r="L110" i="9"/>
  <c r="U44" i="9"/>
  <c r="T44" i="9"/>
  <c r="H197" i="9"/>
  <c r="W197" i="9" s="1"/>
  <c r="L197" i="9"/>
  <c r="H222" i="9"/>
  <c r="L222" i="9" s="1"/>
  <c r="M222" i="9" s="1"/>
  <c r="N222" i="9" s="1"/>
  <c r="U30" i="9"/>
  <c r="V197" i="9"/>
  <c r="S212" i="9"/>
  <c r="T51" i="9"/>
  <c r="H216" i="9"/>
  <c r="W186" i="9"/>
  <c r="X186" i="9" s="1"/>
  <c r="L225" i="9"/>
  <c r="M225" i="9" s="1"/>
  <c r="N225" i="9" s="1"/>
  <c r="M122" i="9"/>
  <c r="N122" i="9" s="1"/>
  <c r="U122" i="9" s="1"/>
  <c r="L103" i="9"/>
  <c r="M103" i="9" s="1"/>
  <c r="N103" i="9" s="1"/>
  <c r="W55" i="9"/>
  <c r="L55" i="9"/>
  <c r="M55" i="9" s="1"/>
  <c r="N55" i="9" s="1"/>
  <c r="T17" i="9"/>
  <c r="R17" i="9"/>
  <c r="S190" i="9"/>
  <c r="S169" i="9"/>
  <c r="M176" i="9"/>
  <c r="N176" i="9" s="1"/>
  <c r="X176" i="9"/>
  <c r="T12" i="9"/>
  <c r="U12" i="9"/>
  <c r="L133" i="9"/>
  <c r="W199" i="9"/>
  <c r="X199" i="9" s="1"/>
  <c r="N14" i="9"/>
  <c r="H14" i="9"/>
  <c r="W14" i="9" s="1"/>
  <c r="X14" i="9" s="1"/>
  <c r="V109" i="9"/>
  <c r="H109" i="9"/>
  <c r="W109" i="9" s="1"/>
  <c r="L111" i="9"/>
  <c r="W111" i="9"/>
  <c r="W126" i="9"/>
  <c r="X126" i="9" s="1"/>
  <c r="W125" i="9"/>
  <c r="X125" i="9" s="1"/>
  <c r="X112" i="9"/>
  <c r="N26" i="9"/>
  <c r="V26" i="9"/>
  <c r="H34" i="9"/>
  <c r="W34" i="9" s="1"/>
  <c r="X34" i="9" s="1"/>
  <c r="V34" i="9"/>
  <c r="V94" i="9"/>
  <c r="H94" i="9"/>
  <c r="H142" i="9"/>
  <c r="V142" i="9"/>
  <c r="V155" i="9"/>
  <c r="H155" i="9"/>
  <c r="W155" i="9" s="1"/>
  <c r="V157" i="9"/>
  <c r="L157" i="9"/>
  <c r="W161" i="9"/>
  <c r="S202" i="9"/>
  <c r="V202" i="9"/>
  <c r="W202" i="9" s="1"/>
  <c r="X202" i="9" s="1"/>
  <c r="V209" i="9"/>
  <c r="W209" i="9" s="1"/>
  <c r="L209" i="9"/>
  <c r="W213" i="9"/>
  <c r="X213" i="9" s="1"/>
  <c r="S219" i="9"/>
  <c r="L219" i="9"/>
  <c r="M219" i="9" s="1"/>
  <c r="N219" i="9" s="1"/>
  <c r="L220" i="9"/>
  <c r="M220" i="9" s="1"/>
  <c r="N220" i="9" s="1"/>
  <c r="X93" i="9"/>
  <c r="N15" i="9"/>
  <c r="N29" i="9"/>
  <c r="H29" i="9"/>
  <c r="W29" i="9" s="1"/>
  <c r="X29" i="9" s="1"/>
  <c r="N37" i="9"/>
  <c r="H37" i="9"/>
  <c r="W37" i="9" s="1"/>
  <c r="X37" i="9" s="1"/>
  <c r="V37" i="9"/>
  <c r="V63" i="9"/>
  <c r="H63" i="9"/>
  <c r="L98" i="9"/>
  <c r="V100" i="9"/>
  <c r="L100" i="9"/>
  <c r="M100" i="9" s="1"/>
  <c r="N100" i="9" s="1"/>
  <c r="U100" i="9" s="1"/>
  <c r="H193" i="9"/>
  <c r="W193" i="9" s="1"/>
  <c r="V193" i="9"/>
  <c r="S206" i="9"/>
  <c r="T206" i="9" s="1"/>
  <c r="V206" i="9"/>
  <c r="W206" i="9" s="1"/>
  <c r="X206" i="9" s="1"/>
  <c r="H210" i="9"/>
  <c r="V210" i="9"/>
  <c r="W88" i="9"/>
  <c r="X88" i="9" s="1"/>
  <c r="T214" i="9"/>
  <c r="N156" i="9"/>
  <c r="U156" i="9" s="1"/>
  <c r="L192" i="9"/>
  <c r="L201" i="9"/>
  <c r="M201" i="9" s="1"/>
  <c r="N201" i="9" s="1"/>
  <c r="V310" i="16"/>
  <c r="T235" i="16"/>
  <c r="U235" i="16"/>
  <c r="U421" i="16"/>
  <c r="T421" i="16"/>
  <c r="M332" i="16"/>
  <c r="N332" i="16" s="1"/>
  <c r="T332" i="16" s="1"/>
  <c r="L266" i="16"/>
  <c r="X266" i="16" s="1"/>
  <c r="T56" i="16"/>
  <c r="U110" i="16"/>
  <c r="R72" i="16"/>
  <c r="H340" i="16"/>
  <c r="W340" i="16" s="1"/>
  <c r="L365" i="16"/>
  <c r="W365" i="16"/>
  <c r="X365" i="16" s="1"/>
  <c r="M431" i="16"/>
  <c r="N431" i="16" s="1"/>
  <c r="W244" i="16"/>
  <c r="V212" i="16"/>
  <c r="M314" i="16"/>
  <c r="N314" i="16" s="1"/>
  <c r="W201" i="16"/>
  <c r="X201" i="16" s="1"/>
  <c r="N31" i="16"/>
  <c r="T31" i="16" s="1"/>
  <c r="H374" i="16"/>
  <c r="W374" i="16" s="1"/>
  <c r="W408" i="16"/>
  <c r="X408" i="16" s="1"/>
  <c r="N177" i="16"/>
  <c r="T177" i="16" s="1"/>
  <c r="V133" i="16"/>
  <c r="N225" i="16"/>
  <c r="T225" i="16" s="1"/>
  <c r="V225" i="16"/>
  <c r="H265" i="16"/>
  <c r="W265" i="16" s="1"/>
  <c r="V265" i="16"/>
  <c r="H267" i="16"/>
  <c r="V267" i="16"/>
  <c r="V389" i="16"/>
  <c r="H389" i="16"/>
  <c r="W389" i="16" s="1"/>
  <c r="H391" i="16"/>
  <c r="W391" i="16" s="1"/>
  <c r="V391" i="16"/>
  <c r="V403" i="16"/>
  <c r="H403" i="16"/>
  <c r="W403" i="16" s="1"/>
  <c r="S425" i="16"/>
  <c r="H425" i="16"/>
  <c r="V441" i="16"/>
  <c r="H441" i="16"/>
  <c r="W441" i="16" s="1"/>
  <c r="S445" i="16"/>
  <c r="V445" i="16"/>
  <c r="S453" i="16"/>
  <c r="V453" i="16"/>
  <c r="H457" i="16"/>
  <c r="L457" i="16" s="1"/>
  <c r="S457" i="16"/>
  <c r="L326" i="16"/>
  <c r="M326" i="16" s="1"/>
  <c r="N326" i="16" s="1"/>
  <c r="U326" i="16" s="1"/>
  <c r="W326" i="16"/>
  <c r="T435" i="16"/>
  <c r="U435" i="16"/>
  <c r="X219" i="16"/>
  <c r="M443" i="16"/>
  <c r="N443" i="16" s="1"/>
  <c r="X443" i="16"/>
  <c r="V171" i="16"/>
  <c r="H171" i="16"/>
  <c r="W171" i="16" s="1"/>
  <c r="X171" i="16" s="1"/>
  <c r="T18" i="16"/>
  <c r="U18" i="16"/>
  <c r="V27" i="16"/>
  <c r="H27" i="16"/>
  <c r="W27" i="16" s="1"/>
  <c r="X27" i="16" s="1"/>
  <c r="N27" i="16"/>
  <c r="T27" i="16" s="1"/>
  <c r="H35" i="16"/>
  <c r="W35" i="16" s="1"/>
  <c r="X35" i="16" s="1"/>
  <c r="N35" i="16"/>
  <c r="T35" i="16" s="1"/>
  <c r="V35" i="16"/>
  <c r="T42" i="16"/>
  <c r="H47" i="16"/>
  <c r="W47" i="16" s="1"/>
  <c r="X47" i="16" s="1"/>
  <c r="V47" i="16"/>
  <c r="N47" i="16"/>
  <c r="H105" i="16"/>
  <c r="W105" i="16" s="1"/>
  <c r="X105" i="16" s="1"/>
  <c r="V105" i="16"/>
  <c r="H158" i="16"/>
  <c r="W158" i="16" s="1"/>
  <c r="X158" i="16" s="1"/>
  <c r="V158" i="16"/>
  <c r="H166" i="16"/>
  <c r="W166" i="16" s="1"/>
  <c r="X166" i="16" s="1"/>
  <c r="N166" i="16"/>
  <c r="T166" i="16" s="1"/>
  <c r="N171" i="16"/>
  <c r="H173" i="16"/>
  <c r="W173" i="16" s="1"/>
  <c r="X173" i="16" s="1"/>
  <c r="V173" i="16"/>
  <c r="H203" i="16"/>
  <c r="W203" i="16" s="1"/>
  <c r="V203" i="16"/>
  <c r="H304" i="16"/>
  <c r="W304" i="16" s="1"/>
  <c r="L328" i="16"/>
  <c r="V328" i="16"/>
  <c r="L330" i="16"/>
  <c r="M330" i="16" s="1"/>
  <c r="N330" i="16" s="1"/>
  <c r="W330" i="16"/>
  <c r="H336" i="16"/>
  <c r="W336" i="16" s="1"/>
  <c r="V336" i="16"/>
  <c r="H338" i="16"/>
  <c r="W338" i="16" s="1"/>
  <c r="H342" i="16"/>
  <c r="W342" i="16" s="1"/>
  <c r="V344" i="16"/>
  <c r="V348" i="16"/>
  <c r="H348" i="16"/>
  <c r="W348" i="16" s="1"/>
  <c r="H350" i="16"/>
  <c r="W350" i="16" s="1"/>
  <c r="V354" i="16"/>
  <c r="H354" i="16"/>
  <c r="W354" i="16" s="1"/>
  <c r="H356" i="16"/>
  <c r="V356" i="16"/>
  <c r="V358" i="16"/>
  <c r="H358" i="16"/>
  <c r="V360" i="16"/>
  <c r="H360" i="16"/>
  <c r="V362" i="16"/>
  <c r="H362" i="16"/>
  <c r="W362" i="16" s="1"/>
  <c r="V378" i="16"/>
  <c r="H378" i="16"/>
  <c r="H386" i="16"/>
  <c r="W386" i="16" s="1"/>
  <c r="V386" i="16"/>
  <c r="T45" i="16"/>
  <c r="R45" i="16"/>
  <c r="W351" i="16"/>
  <c r="X351" i="16" s="1"/>
  <c r="L351" i="16"/>
  <c r="L344" i="16"/>
  <c r="M344" i="16" s="1"/>
  <c r="N344" i="16" s="1"/>
  <c r="W344" i="16"/>
  <c r="T222" i="16"/>
  <c r="U222" i="16"/>
  <c r="T72" i="16"/>
  <c r="T219" i="16"/>
  <c r="M387" i="16"/>
  <c r="N387" i="16" s="1"/>
  <c r="T387" i="16" s="1"/>
  <c r="W448" i="16"/>
  <c r="L448" i="16"/>
  <c r="M448" i="16" s="1"/>
  <c r="N448" i="16" s="1"/>
  <c r="T448" i="16" s="1"/>
  <c r="R29" i="16"/>
  <c r="T29" i="16"/>
  <c r="L253" i="16"/>
  <c r="X253" i="16" s="1"/>
  <c r="U42" i="16"/>
  <c r="U174" i="16"/>
  <c r="T174" i="16"/>
  <c r="W396" i="16"/>
  <c r="L396" i="16"/>
  <c r="V17" i="16"/>
  <c r="H8" i="16"/>
  <c r="W8" i="16" s="1"/>
  <c r="X8" i="16" s="1"/>
  <c r="V8" i="16"/>
  <c r="F466" i="16"/>
  <c r="H16" i="16"/>
  <c r="W16" i="16" s="1"/>
  <c r="X16" i="16" s="1"/>
  <c r="V16" i="16"/>
  <c r="H26" i="16"/>
  <c r="W26" i="16" s="1"/>
  <c r="X26" i="16" s="1"/>
  <c r="V26" i="16"/>
  <c r="H30" i="16"/>
  <c r="W30" i="16" s="1"/>
  <c r="X30" i="16" s="1"/>
  <c r="V30" i="16"/>
  <c r="N30" i="16"/>
  <c r="T30" i="16" s="1"/>
  <c r="V34" i="16"/>
  <c r="H34" i="16"/>
  <c r="W34" i="16" s="1"/>
  <c r="X34" i="16" s="1"/>
  <c r="H101" i="16"/>
  <c r="W101" i="16" s="1"/>
  <c r="X101" i="16" s="1"/>
  <c r="V101" i="16"/>
  <c r="H104" i="16"/>
  <c r="W104" i="16" s="1"/>
  <c r="X104" i="16" s="1"/>
  <c r="N104" i="16"/>
  <c r="U104" i="16" s="1"/>
  <c r="N125" i="16"/>
  <c r="H125" i="16"/>
  <c r="W125" i="16" s="1"/>
  <c r="X125" i="16" s="1"/>
  <c r="V125" i="16"/>
  <c r="H137" i="16"/>
  <c r="W137" i="16" s="1"/>
  <c r="X137" i="16" s="1"/>
  <c r="V137" i="16"/>
  <c r="H146" i="16"/>
  <c r="W146" i="16" s="1"/>
  <c r="X146" i="16" s="1"/>
  <c r="V146" i="16"/>
  <c r="N146" i="16"/>
  <c r="R147" i="16"/>
  <c r="U147" i="16"/>
  <c r="N158" i="16"/>
  <c r="U158" i="16" s="1"/>
  <c r="V172" i="16"/>
  <c r="H172" i="16"/>
  <c r="W172" i="16" s="1"/>
  <c r="X172" i="16" s="1"/>
  <c r="H176" i="16"/>
  <c r="W176" i="16" s="1"/>
  <c r="X176" i="16" s="1"/>
  <c r="V176" i="16"/>
  <c r="N182" i="16"/>
  <c r="U182" i="16" s="1"/>
  <c r="H208" i="16"/>
  <c r="W208" i="16" s="1"/>
  <c r="V208" i="16"/>
  <c r="V238" i="16"/>
  <c r="H238" i="16"/>
  <c r="V242" i="16"/>
  <c r="H242" i="16"/>
  <c r="W242" i="16" s="1"/>
  <c r="V246" i="16"/>
  <c r="H246" i="16"/>
  <c r="T139" i="16"/>
  <c r="T247" i="16"/>
  <c r="U85" i="16"/>
  <c r="R85" i="16"/>
  <c r="H53" i="16"/>
  <c r="W53" i="16" s="1"/>
  <c r="X53" i="16" s="1"/>
  <c r="H36" i="16"/>
  <c r="W36" i="16" s="1"/>
  <c r="X36" i="16" s="1"/>
  <c r="V36" i="16"/>
  <c r="N48" i="16"/>
  <c r="V48" i="16"/>
  <c r="H52" i="16"/>
  <c r="W52" i="16" s="1"/>
  <c r="X52" i="16" s="1"/>
  <c r="V52" i="16"/>
  <c r="N67" i="16"/>
  <c r="T67" i="16" s="1"/>
  <c r="N75" i="16"/>
  <c r="U75" i="16" s="1"/>
  <c r="H86" i="16"/>
  <c r="W86" i="16" s="1"/>
  <c r="X86" i="16" s="1"/>
  <c r="V86" i="16"/>
  <c r="N153" i="16"/>
  <c r="U153" i="16" s="1"/>
  <c r="V251" i="16"/>
  <c r="H251" i="16"/>
  <c r="H257" i="16"/>
  <c r="W257" i="16" s="1"/>
  <c r="H261" i="16"/>
  <c r="W261" i="16" s="1"/>
  <c r="T37" i="16"/>
  <c r="X402" i="16"/>
  <c r="L412" i="16"/>
  <c r="M412" i="16" s="1"/>
  <c r="N412" i="16" s="1"/>
  <c r="T412" i="16" s="1"/>
  <c r="W412" i="16"/>
  <c r="H49" i="16"/>
  <c r="W49" i="16" s="1"/>
  <c r="X49" i="16" s="1"/>
  <c r="V49" i="16"/>
  <c r="H71" i="16"/>
  <c r="W71" i="16" s="1"/>
  <c r="X71" i="16" s="1"/>
  <c r="V71" i="16"/>
  <c r="T85" i="16"/>
  <c r="N101" i="16"/>
  <c r="V124" i="16"/>
  <c r="H124" i="16"/>
  <c r="W124" i="16" s="1"/>
  <c r="X124" i="16" s="1"/>
  <c r="H132" i="16"/>
  <c r="W132" i="16" s="1"/>
  <c r="X132" i="16" s="1"/>
  <c r="V132" i="16"/>
  <c r="N133" i="16"/>
  <c r="T133" i="16" s="1"/>
  <c r="H145" i="16"/>
  <c r="W145" i="16" s="1"/>
  <c r="X145" i="16" s="1"/>
  <c r="V145" i="16"/>
  <c r="H278" i="16"/>
  <c r="V278" i="16"/>
  <c r="V280" i="16"/>
  <c r="N280" i="16"/>
  <c r="H284" i="16"/>
  <c r="V284" i="16"/>
  <c r="N41" i="16"/>
  <c r="U41" i="16" s="1"/>
  <c r="N58" i="16"/>
  <c r="N62" i="16"/>
  <c r="N87" i="16"/>
  <c r="T88" i="16"/>
  <c r="H98" i="16"/>
  <c r="W98" i="16" s="1"/>
  <c r="X98" i="16" s="1"/>
  <c r="N128" i="16"/>
  <c r="R128" i="16" s="1"/>
  <c r="N145" i="16"/>
  <c r="T145" i="16" s="1"/>
  <c r="N151" i="16"/>
  <c r="U151" i="16" s="1"/>
  <c r="N152" i="16"/>
  <c r="U152" i="16" s="1"/>
  <c r="N165" i="16"/>
  <c r="T165" i="16" s="1"/>
  <c r="N169" i="16"/>
  <c r="R169" i="16" s="1"/>
  <c r="N172" i="16"/>
  <c r="T172" i="16" s="1"/>
  <c r="N176" i="16"/>
  <c r="U176" i="16" s="1"/>
  <c r="H291" i="16"/>
  <c r="W291" i="16" s="1"/>
  <c r="X302" i="16"/>
  <c r="T69" i="16"/>
  <c r="T15" i="16"/>
  <c r="N32" i="16"/>
  <c r="R32" i="16" s="1"/>
  <c r="N50" i="16"/>
  <c r="X226" i="16"/>
  <c r="M226" i="16"/>
  <c r="N226" i="16" s="1"/>
  <c r="U226" i="16" s="1"/>
  <c r="M270" i="16"/>
  <c r="N270" i="16" s="1"/>
  <c r="U270" i="16" s="1"/>
  <c r="L345" i="16"/>
  <c r="M345" i="16" s="1"/>
  <c r="N345" i="16" s="1"/>
  <c r="W345" i="16"/>
  <c r="X372" i="16"/>
  <c r="M372" i="16"/>
  <c r="N372" i="16" s="1"/>
  <c r="R47" i="16"/>
  <c r="U47" i="16"/>
  <c r="M416" i="16"/>
  <c r="N416" i="16" s="1"/>
  <c r="X416" i="16"/>
  <c r="R82" i="16"/>
  <c r="M417" i="16"/>
  <c r="N417" i="16" s="1"/>
  <c r="T417" i="16" s="1"/>
  <c r="X417" i="16"/>
  <c r="X292" i="16"/>
  <c r="W432" i="16"/>
  <c r="L432" i="16"/>
  <c r="R99" i="16"/>
  <c r="U99" i="16"/>
  <c r="V161" i="16"/>
  <c r="N161" i="16"/>
  <c r="W388" i="16"/>
  <c r="L388" i="16"/>
  <c r="M388" i="16" s="1"/>
  <c r="N388" i="16" s="1"/>
  <c r="M365" i="16"/>
  <c r="N365" i="16" s="1"/>
  <c r="U365" i="16" s="1"/>
  <c r="U146" i="16"/>
  <c r="R146" i="16"/>
  <c r="X312" i="16"/>
  <c r="M312" i="16"/>
  <c r="N312" i="16" s="1"/>
  <c r="U290" i="16"/>
  <c r="T290" i="16"/>
  <c r="R132" i="16"/>
  <c r="U132" i="16"/>
  <c r="W445" i="16"/>
  <c r="L445" i="16"/>
  <c r="M445" i="16" s="1"/>
  <c r="N445" i="16" s="1"/>
  <c r="L426" i="16"/>
  <c r="M426" i="16" s="1"/>
  <c r="N426" i="16" s="1"/>
  <c r="T426" i="16" s="1"/>
  <c r="W426" i="16"/>
  <c r="L317" i="16"/>
  <c r="W317" i="16"/>
  <c r="V139" i="16"/>
  <c r="H139" i="16"/>
  <c r="W139" i="16" s="1"/>
  <c r="X139" i="16" s="1"/>
  <c r="T146" i="16"/>
  <c r="V188" i="16"/>
  <c r="H188" i="16"/>
  <c r="W188" i="16" s="1"/>
  <c r="L188" i="16"/>
  <c r="V190" i="16"/>
  <c r="H190" i="16"/>
  <c r="W190" i="16" s="1"/>
  <c r="L194" i="16"/>
  <c r="V196" i="16"/>
  <c r="H196" i="16"/>
  <c r="W196" i="16" s="1"/>
  <c r="H198" i="16"/>
  <c r="W198" i="16" s="1"/>
  <c r="V198" i="16"/>
  <c r="V200" i="16"/>
  <c r="H200" i="16"/>
  <c r="L200" i="16" s="1"/>
  <c r="M200" i="16" s="1"/>
  <c r="N200" i="16" s="1"/>
  <c r="U200" i="16" s="1"/>
  <c r="H214" i="16"/>
  <c r="W214" i="16" s="1"/>
  <c r="V214" i="16"/>
  <c r="H216" i="16"/>
  <c r="W216" i="16" s="1"/>
  <c r="L216" i="16"/>
  <c r="X216" i="16" s="1"/>
  <c r="H218" i="16"/>
  <c r="V218" i="16"/>
  <c r="H405" i="16"/>
  <c r="L405" i="16" s="1"/>
  <c r="V405" i="16"/>
  <c r="L407" i="16"/>
  <c r="H409" i="16"/>
  <c r="W409" i="16" s="1"/>
  <c r="V409" i="16"/>
  <c r="H411" i="16"/>
  <c r="W411" i="16" s="1"/>
  <c r="V411" i="16"/>
  <c r="S411" i="16"/>
  <c r="V415" i="16"/>
  <c r="S415" i="16"/>
  <c r="H415" i="16"/>
  <c r="W415" i="16" s="1"/>
  <c r="W422" i="16"/>
  <c r="L422" i="16"/>
  <c r="W270" i="16"/>
  <c r="X270" i="16" s="1"/>
  <c r="T136" i="16"/>
  <c r="R73" i="16"/>
  <c r="T73" i="16"/>
  <c r="U53" i="16"/>
  <c r="R53" i="16"/>
  <c r="V194" i="16"/>
  <c r="R68" i="16"/>
  <c r="T68" i="16"/>
  <c r="U68" i="16"/>
  <c r="R44" i="16"/>
  <c r="R168" i="16"/>
  <c r="U168" i="16"/>
  <c r="R104" i="16"/>
  <c r="W423" i="16"/>
  <c r="L423" i="16"/>
  <c r="M423" i="16" s="1"/>
  <c r="N423" i="16" s="1"/>
  <c r="M335" i="16"/>
  <c r="N335" i="16" s="1"/>
  <c r="U335" i="16" s="1"/>
  <c r="R114" i="16"/>
  <c r="U114" i="16"/>
  <c r="T114" i="16"/>
  <c r="L393" i="16"/>
  <c r="W393" i="16"/>
  <c r="H102" i="16"/>
  <c r="W102" i="16" s="1"/>
  <c r="X102" i="16" s="1"/>
  <c r="N102" i="16"/>
  <c r="T102" i="16" s="1"/>
  <c r="V102" i="16"/>
  <c r="H271" i="16"/>
  <c r="W271" i="16" s="1"/>
  <c r="V271" i="16"/>
  <c r="H275" i="16"/>
  <c r="W275" i="16" s="1"/>
  <c r="V275" i="16"/>
  <c r="H281" i="16"/>
  <c r="V281" i="16"/>
  <c r="H285" i="16"/>
  <c r="W285" i="16" s="1"/>
  <c r="H287" i="16"/>
  <c r="W287" i="16" s="1"/>
  <c r="V287" i="16"/>
  <c r="H325" i="16"/>
  <c r="V325" i="16"/>
  <c r="H327" i="16"/>
  <c r="V327" i="16"/>
  <c r="V329" i="16"/>
  <c r="H329" i="16"/>
  <c r="W329" i="16" s="1"/>
  <c r="H339" i="16"/>
  <c r="V339" i="16"/>
  <c r="V341" i="16"/>
  <c r="H341" i="16"/>
  <c r="W341" i="16" s="1"/>
  <c r="V434" i="16"/>
  <c r="H434" i="16"/>
  <c r="S434" i="16"/>
  <c r="S438" i="16"/>
  <c r="H438" i="16"/>
  <c r="W438" i="16" s="1"/>
  <c r="H446" i="16"/>
  <c r="W446" i="16" s="1"/>
  <c r="S446" i="16"/>
  <c r="V446" i="16"/>
  <c r="H450" i="16"/>
  <c r="S450" i="16"/>
  <c r="V450" i="16"/>
  <c r="H454" i="16"/>
  <c r="L454" i="16" s="1"/>
  <c r="M454" i="16" s="1"/>
  <c r="N454" i="16" s="1"/>
  <c r="V454" i="16"/>
  <c r="S458" i="16"/>
  <c r="H458" i="16"/>
  <c r="U136" i="16"/>
  <c r="L398" i="16"/>
  <c r="X398" i="16" s="1"/>
  <c r="L394" i="16"/>
  <c r="V407" i="16"/>
  <c r="L309" i="16"/>
  <c r="W309" i="16"/>
  <c r="W453" i="16"/>
  <c r="X453" i="16" s="1"/>
  <c r="L223" i="16"/>
  <c r="M223" i="16" s="1"/>
  <c r="N223" i="16" s="1"/>
  <c r="W223" i="16"/>
  <c r="T99" i="16"/>
  <c r="T10" i="16"/>
  <c r="L409" i="16"/>
  <c r="W199" i="16"/>
  <c r="L199" i="16"/>
  <c r="H192" i="16"/>
  <c r="W192" i="16" s="1"/>
  <c r="H39" i="16"/>
  <c r="W39" i="16" s="1"/>
  <c r="X39" i="16" s="1"/>
  <c r="V39" i="16"/>
  <c r="N39" i="16"/>
  <c r="R39" i="16" s="1"/>
  <c r="H66" i="16"/>
  <c r="W66" i="16" s="1"/>
  <c r="X66" i="16" s="1"/>
  <c r="N66" i="16"/>
  <c r="V66" i="16"/>
  <c r="V70" i="16"/>
  <c r="H70" i="16"/>
  <c r="W70" i="16" s="1"/>
  <c r="X70" i="16" s="1"/>
  <c r="V74" i="16"/>
  <c r="N74" i="16"/>
  <c r="V83" i="16"/>
  <c r="H83" i="16"/>
  <c r="W83" i="16" s="1"/>
  <c r="X83" i="16" s="1"/>
  <c r="X282" i="16"/>
  <c r="X413" i="16"/>
  <c r="U247" i="16"/>
  <c r="N206" i="16"/>
  <c r="T206" i="16" s="1"/>
  <c r="V206" i="16"/>
  <c r="W193" i="16"/>
  <c r="L193" i="16"/>
  <c r="H117" i="16"/>
  <c r="W117" i="16" s="1"/>
  <c r="X117" i="16" s="1"/>
  <c r="V117" i="16"/>
  <c r="V140" i="16"/>
  <c r="H140" i="16"/>
  <c r="W140" i="16" s="1"/>
  <c r="X140" i="16" s="1"/>
  <c r="N140" i="16"/>
  <c r="H205" i="16"/>
  <c r="W205" i="16" s="1"/>
  <c r="V221" i="16"/>
  <c r="H221" i="16"/>
  <c r="H306" i="16"/>
  <c r="W306" i="16" s="1"/>
  <c r="H313" i="16"/>
  <c r="V313" i="16"/>
  <c r="V322" i="16"/>
  <c r="L322" i="16"/>
  <c r="M322" i="16" s="1"/>
  <c r="N322" i="16" s="1"/>
  <c r="H424" i="16"/>
  <c r="W424" i="16" s="1"/>
  <c r="V424" i="16"/>
  <c r="X322" i="16"/>
  <c r="L303" i="16"/>
  <c r="W303" i="16"/>
  <c r="W220" i="16"/>
  <c r="L220" i="16"/>
  <c r="M220" i="16" s="1"/>
  <c r="N220" i="16" s="1"/>
  <c r="H10" i="16"/>
  <c r="W10" i="16" s="1"/>
  <c r="X10" i="16" s="1"/>
  <c r="V10" i="16"/>
  <c r="V18" i="16"/>
  <c r="H18" i="16"/>
  <c r="W18" i="16" s="1"/>
  <c r="X18" i="16" s="1"/>
  <c r="H94" i="16"/>
  <c r="W94" i="16" s="1"/>
  <c r="X94" i="16" s="1"/>
  <c r="V94" i="16"/>
  <c r="H141" i="16"/>
  <c r="W141" i="16" s="1"/>
  <c r="X141" i="16" s="1"/>
  <c r="N141" i="16"/>
  <c r="U141" i="16" s="1"/>
  <c r="H213" i="16"/>
  <c r="W213" i="16" s="1"/>
  <c r="V213" i="16"/>
  <c r="V229" i="16"/>
  <c r="H229" i="16"/>
  <c r="W229" i="16" s="1"/>
  <c r="V245" i="16"/>
  <c r="H245" i="16"/>
  <c r="X247" i="16"/>
  <c r="W251" i="16"/>
  <c r="L251" i="16"/>
  <c r="M251" i="16" s="1"/>
  <c r="N251" i="16" s="1"/>
  <c r="T251" i="16" s="1"/>
  <c r="L427" i="16"/>
  <c r="X427" i="16" s="1"/>
  <c r="W427" i="16"/>
  <c r="X255" i="16"/>
  <c r="T293" i="16"/>
  <c r="V103" i="16"/>
  <c r="N103" i="16"/>
  <c r="V15" i="16"/>
  <c r="H15" i="16"/>
  <c r="W15" i="16" s="1"/>
  <c r="X15" i="16" s="1"/>
  <c r="N19" i="16"/>
  <c r="T19" i="16" s="1"/>
  <c r="H19" i="16"/>
  <c r="W19" i="16" s="1"/>
  <c r="X19" i="16" s="1"/>
  <c r="V23" i="16"/>
  <c r="H23" i="16"/>
  <c r="W23" i="16" s="1"/>
  <c r="X23" i="16" s="1"/>
  <c r="N38" i="16"/>
  <c r="V51" i="16"/>
  <c r="H51" i="16"/>
  <c r="W51" i="16" s="1"/>
  <c r="X51" i="16" s="1"/>
  <c r="H78" i="16"/>
  <c r="W78" i="16" s="1"/>
  <c r="X78" i="16" s="1"/>
  <c r="V78" i="16"/>
  <c r="H82" i="16"/>
  <c r="W82" i="16" s="1"/>
  <c r="X82" i="16" s="1"/>
  <c r="V82" i="16"/>
  <c r="H108" i="16"/>
  <c r="W108" i="16" s="1"/>
  <c r="X108" i="16" s="1"/>
  <c r="V108" i="16"/>
  <c r="H154" i="16"/>
  <c r="W154" i="16" s="1"/>
  <c r="X154" i="16" s="1"/>
  <c r="V154" i="16"/>
  <c r="N159" i="16"/>
  <c r="V159" i="16"/>
  <c r="H160" i="16"/>
  <c r="W160" i="16" s="1"/>
  <c r="X160" i="16" s="1"/>
  <c r="V160" i="16"/>
  <c r="N160" i="16"/>
  <c r="T160" i="16" s="1"/>
  <c r="H181" i="16"/>
  <c r="W181" i="16" s="1"/>
  <c r="H256" i="16"/>
  <c r="V256" i="16"/>
  <c r="H258" i="16"/>
  <c r="V258" i="16"/>
  <c r="H262" i="16"/>
  <c r="V262" i="16"/>
  <c r="H370" i="16"/>
  <c r="V370" i="16"/>
  <c r="V376" i="16"/>
  <c r="H376" i="16"/>
  <c r="V380" i="16"/>
  <c r="H380" i="16"/>
  <c r="V382" i="16"/>
  <c r="H382" i="16"/>
  <c r="L384" i="16"/>
  <c r="H397" i="16"/>
  <c r="V397" i="16"/>
  <c r="H401" i="16"/>
  <c r="W401" i="16" s="1"/>
  <c r="N9" i="16"/>
  <c r="T9" i="16" s="1"/>
  <c r="V9" i="16"/>
  <c r="N13" i="16"/>
  <c r="T13" i="16" s="1"/>
  <c r="V13" i="16"/>
  <c r="N63" i="16"/>
  <c r="H84" i="16"/>
  <c r="W84" i="16" s="1"/>
  <c r="X84" i="16" s="1"/>
  <c r="V84" i="16"/>
  <c r="V89" i="16"/>
  <c r="H89" i="16"/>
  <c r="W89" i="16" s="1"/>
  <c r="X89" i="16" s="1"/>
  <c r="H99" i="16"/>
  <c r="W99" i="16" s="1"/>
  <c r="X99" i="16" s="1"/>
  <c r="V99" i="16"/>
  <c r="T111" i="16"/>
  <c r="H129" i="16"/>
  <c r="W129" i="16" s="1"/>
  <c r="X129" i="16" s="1"/>
  <c r="N129" i="16"/>
  <c r="T129" i="16" s="1"/>
  <c r="V162" i="16"/>
  <c r="H162" i="16"/>
  <c r="W162" i="16" s="1"/>
  <c r="X162" i="16" s="1"/>
  <c r="H170" i="16"/>
  <c r="W170" i="16" s="1"/>
  <c r="X170" i="16" s="1"/>
  <c r="V170" i="16"/>
  <c r="T171" i="16"/>
  <c r="H180" i="16"/>
  <c r="V180" i="16"/>
  <c r="L298" i="16"/>
  <c r="V353" i="16"/>
  <c r="H353" i="16"/>
  <c r="H357" i="16"/>
  <c r="V357" i="16"/>
  <c r="V359" i="16"/>
  <c r="H359" i="16"/>
  <c r="V361" i="16"/>
  <c r="H361" i="16"/>
  <c r="N92" i="16"/>
  <c r="R92" i="16" s="1"/>
  <c r="N95" i="16"/>
  <c r="U95" i="16" s="1"/>
  <c r="N96" i="16"/>
  <c r="T97" i="16"/>
  <c r="T154" i="16"/>
  <c r="N164" i="16"/>
  <c r="R164" i="16" s="1"/>
  <c r="T170" i="16"/>
  <c r="H296" i="16"/>
  <c r="N105" i="16"/>
  <c r="N108" i="16"/>
  <c r="N117" i="16"/>
  <c r="N122" i="16"/>
  <c r="T122" i="16" s="1"/>
  <c r="V215" i="16"/>
  <c r="T292" i="16"/>
  <c r="T241" i="16"/>
  <c r="U241" i="16"/>
  <c r="M355" i="16"/>
  <c r="N355" i="16" s="1"/>
  <c r="X231" i="16"/>
  <c r="M266" i="16"/>
  <c r="N266" i="16" s="1"/>
  <c r="U248" i="16"/>
  <c r="T248" i="16"/>
  <c r="U282" i="16"/>
  <c r="T282" i="16"/>
  <c r="M202" i="16"/>
  <c r="N202" i="16" s="1"/>
  <c r="X202" i="16"/>
  <c r="X294" i="16"/>
  <c r="M294" i="16"/>
  <c r="N294" i="16" s="1"/>
  <c r="U294" i="16" s="1"/>
  <c r="U260" i="16"/>
  <c r="T260" i="16"/>
  <c r="U145" i="16"/>
  <c r="T182" i="16"/>
  <c r="V186" i="16"/>
  <c r="H186" i="16"/>
  <c r="W186" i="16" s="1"/>
  <c r="V230" i="16"/>
  <c r="H230" i="16"/>
  <c r="W230" i="16" s="1"/>
  <c r="H289" i="16"/>
  <c r="W289" i="16" s="1"/>
  <c r="V289" i="16"/>
  <c r="R110" i="16"/>
  <c r="H130" i="16"/>
  <c r="W130" i="16" s="1"/>
  <c r="X130" i="16" s="1"/>
  <c r="V130" i="16"/>
  <c r="R25" i="16"/>
  <c r="U25" i="16"/>
  <c r="T25" i="16"/>
  <c r="M195" i="16"/>
  <c r="N195" i="16" s="1"/>
  <c r="X195" i="16"/>
  <c r="T128" i="16"/>
  <c r="X283" i="16"/>
  <c r="W442" i="16"/>
  <c r="L442" i="16"/>
  <c r="H451" i="16"/>
  <c r="W451" i="16" s="1"/>
  <c r="R46" i="16"/>
  <c r="U46" i="16"/>
  <c r="T135" i="16"/>
  <c r="U135" i="16"/>
  <c r="V456" i="16"/>
  <c r="W456" i="16" s="1"/>
  <c r="S456" i="16"/>
  <c r="L456" i="16"/>
  <c r="M437" i="16"/>
  <c r="N437" i="16" s="1"/>
  <c r="U437" i="16" s="1"/>
  <c r="W375" i="16"/>
  <c r="L375" i="16"/>
  <c r="U78" i="16"/>
  <c r="T78" i="16"/>
  <c r="V127" i="16"/>
  <c r="H127" i="16"/>
  <c r="W127" i="16" s="1"/>
  <c r="X127" i="16" s="1"/>
  <c r="V184" i="16"/>
  <c r="H184" i="16"/>
  <c r="V224" i="16"/>
  <c r="H224" i="16"/>
  <c r="W224" i="16" s="1"/>
  <c r="V301" i="16"/>
  <c r="L301" i="16"/>
  <c r="M301" i="16" s="1"/>
  <c r="N301" i="16" s="1"/>
  <c r="W310" i="16"/>
  <c r="N310" i="16"/>
  <c r="H447" i="16"/>
  <c r="W447" i="16" s="1"/>
  <c r="V447" i="16"/>
  <c r="T157" i="16"/>
  <c r="R78" i="16"/>
  <c r="X260" i="16"/>
  <c r="U293" i="16"/>
  <c r="W349" i="16"/>
  <c r="L349" i="16"/>
  <c r="T6" i="16"/>
  <c r="U6" i="16"/>
  <c r="W233" i="16"/>
  <c r="L233" i="16"/>
  <c r="M201" i="16"/>
  <c r="N201" i="16" s="1"/>
  <c r="M404" i="16"/>
  <c r="N404" i="16" s="1"/>
  <c r="X404" i="16"/>
  <c r="W378" i="16"/>
  <c r="L378" i="16"/>
  <c r="W410" i="16"/>
  <c r="L410" i="16"/>
  <c r="S447" i="16"/>
  <c r="V91" i="16"/>
  <c r="U19" i="16"/>
  <c r="N61" i="16"/>
  <c r="V61" i="16"/>
  <c r="H61" i="16"/>
  <c r="W61" i="16" s="1"/>
  <c r="X61" i="16" s="1"/>
  <c r="R121" i="16"/>
  <c r="U121" i="16"/>
  <c r="H142" i="16"/>
  <c r="W142" i="16" s="1"/>
  <c r="X142" i="16" s="1"/>
  <c r="N142" i="16"/>
  <c r="R142" i="16" s="1"/>
  <c r="R152" i="16"/>
  <c r="T152" i="16"/>
  <c r="H156" i="16"/>
  <c r="W156" i="16" s="1"/>
  <c r="X156" i="16" s="1"/>
  <c r="N156" i="16"/>
  <c r="V156" i="16"/>
  <c r="N163" i="16"/>
  <c r="V163" i="16"/>
  <c r="H167" i="16"/>
  <c r="W167" i="16" s="1"/>
  <c r="X167" i="16" s="1"/>
  <c r="N167" i="16"/>
  <c r="L209" i="16"/>
  <c r="W209" i="16"/>
  <c r="H211" i="16"/>
  <c r="W211" i="16" s="1"/>
  <c r="V211" i="16"/>
  <c r="L214" i="16"/>
  <c r="V227" i="16"/>
  <c r="H227" i="16"/>
  <c r="W227" i="16" s="1"/>
  <c r="H232" i="16"/>
  <c r="W232" i="16" s="1"/>
  <c r="V232" i="16"/>
  <c r="L234" i="16"/>
  <c r="V234" i="16"/>
  <c r="V236" i="16"/>
  <c r="H236" i="16"/>
  <c r="W236" i="16" s="1"/>
  <c r="H272" i="16"/>
  <c r="W272" i="16" s="1"/>
  <c r="V272" i="16"/>
  <c r="H274" i="16"/>
  <c r="V274" i="16"/>
  <c r="H276" i="16"/>
  <c r="W276" i="16" s="1"/>
  <c r="V276" i="16"/>
  <c r="H286" i="16"/>
  <c r="W286" i="16" s="1"/>
  <c r="V286" i="16"/>
  <c r="H364" i="16"/>
  <c r="W364" i="16" s="1"/>
  <c r="V364" i="16"/>
  <c r="V366" i="16"/>
  <c r="L366" i="16"/>
  <c r="M366" i="16" s="1"/>
  <c r="N366" i="16" s="1"/>
  <c r="V368" i="16"/>
  <c r="V429" i="16"/>
  <c r="S429" i="16"/>
  <c r="H433" i="16"/>
  <c r="W433" i="16" s="1"/>
  <c r="S433" i="16"/>
  <c r="V433" i="16"/>
  <c r="S440" i="16"/>
  <c r="H452" i="16"/>
  <c r="V452" i="16"/>
  <c r="S452" i="16"/>
  <c r="T300" i="16"/>
  <c r="M398" i="16"/>
  <c r="N398" i="16" s="1"/>
  <c r="R14" i="16"/>
  <c r="X373" i="16"/>
  <c r="U139" i="16"/>
  <c r="U100" i="16"/>
  <c r="T62" i="16"/>
  <c r="U157" i="16"/>
  <c r="W355" i="16"/>
  <c r="X355" i="16" s="1"/>
  <c r="T11" i="16"/>
  <c r="R59" i="16"/>
  <c r="T46" i="16"/>
  <c r="N175" i="16"/>
  <c r="L215" i="16"/>
  <c r="H79" i="16"/>
  <c r="W79" i="16" s="1"/>
  <c r="X79" i="16" s="1"/>
  <c r="W185" i="16"/>
  <c r="L185" i="16"/>
  <c r="H164" i="16"/>
  <c r="W164" i="16" s="1"/>
  <c r="X164" i="16" s="1"/>
  <c r="T121" i="16"/>
  <c r="S451" i="16"/>
  <c r="W405" i="16"/>
  <c r="X405" i="16" s="1"/>
  <c r="T173" i="16"/>
  <c r="L252" i="16"/>
  <c r="W252" i="16"/>
  <c r="T443" i="16"/>
  <c r="U137" i="16"/>
  <c r="L212" i="16"/>
  <c r="U323" i="16"/>
  <c r="T323" i="16"/>
  <c r="N162" i="16"/>
  <c r="M405" i="16"/>
  <c r="N405" i="16" s="1"/>
  <c r="H168" i="16"/>
  <c r="W168" i="16" s="1"/>
  <c r="X168" i="16" s="1"/>
  <c r="V142" i="16"/>
  <c r="H368" i="16"/>
  <c r="W368" i="16" s="1"/>
  <c r="T71" i="16"/>
  <c r="U71" i="16"/>
  <c r="R71" i="16"/>
  <c r="M263" i="16"/>
  <c r="N263" i="16" s="1"/>
  <c r="X263" i="16"/>
  <c r="X241" i="16"/>
  <c r="R139" i="16"/>
  <c r="T53" i="16"/>
  <c r="U90" i="16"/>
  <c r="U96" i="16"/>
  <c r="U11" i="16"/>
  <c r="U37" i="16"/>
  <c r="R97" i="16"/>
  <c r="T176" i="16"/>
  <c r="T115" i="16"/>
  <c r="T335" i="16"/>
  <c r="X293" i="16"/>
  <c r="U443" i="16"/>
  <c r="N79" i="16"/>
  <c r="M253" i="16"/>
  <c r="N253" i="16" s="1"/>
  <c r="W437" i="16"/>
  <c r="X437" i="16" s="1"/>
  <c r="V167" i="16"/>
  <c r="W449" i="16"/>
  <c r="L449" i="16"/>
  <c r="H440" i="16"/>
  <c r="W440" i="16" s="1"/>
  <c r="T137" i="16"/>
  <c r="X331" i="16"/>
  <c r="M331" i="16"/>
  <c r="N331" i="16" s="1"/>
  <c r="T149" i="16"/>
  <c r="U149" i="16"/>
  <c r="R149" i="16"/>
  <c r="W250" i="16"/>
  <c r="L250" i="16"/>
  <c r="H444" i="16"/>
  <c r="N127" i="16"/>
  <c r="N91" i="16"/>
  <c r="W383" i="16"/>
  <c r="L383" i="16"/>
  <c r="M383" i="16" s="1"/>
  <c r="N383" i="16" s="1"/>
  <c r="W200" i="16"/>
  <c r="X200" i="16" s="1"/>
  <c r="X273" i="16"/>
  <c r="U412" i="16"/>
  <c r="U84" i="16"/>
  <c r="R84" i="16"/>
  <c r="U43" i="16"/>
  <c r="T43" i="16"/>
  <c r="R70" i="16"/>
  <c r="U70" i="16"/>
  <c r="U27" i="16"/>
  <c r="R27" i="16"/>
  <c r="L390" i="16"/>
  <c r="W390" i="16"/>
  <c r="H24" i="16"/>
  <c r="W24" i="16" s="1"/>
  <c r="X24" i="16" s="1"/>
  <c r="V24" i="16"/>
  <c r="N24" i="16"/>
  <c r="N22" i="16"/>
  <c r="V22" i="16"/>
  <c r="H32" i="16"/>
  <c r="W32" i="16" s="1"/>
  <c r="X32" i="16" s="1"/>
  <c r="V32" i="16"/>
  <c r="V43" i="16"/>
  <c r="H43" i="16"/>
  <c r="W43" i="16" s="1"/>
  <c r="X43" i="16" s="1"/>
  <c r="V45" i="16"/>
  <c r="H45" i="16"/>
  <c r="W45" i="16" s="1"/>
  <c r="X45" i="16" s="1"/>
  <c r="V54" i="16"/>
  <c r="H54" i="16"/>
  <c r="W54" i="16" s="1"/>
  <c r="X54" i="16" s="1"/>
  <c r="N60" i="16"/>
  <c r="V60" i="16"/>
  <c r="H60" i="16"/>
  <c r="W60" i="16" s="1"/>
  <c r="X60" i="16" s="1"/>
  <c r="H269" i="16"/>
  <c r="W269" i="16" s="1"/>
  <c r="V316" i="16"/>
  <c r="L316" i="16"/>
  <c r="V318" i="16"/>
  <c r="H318" i="16"/>
  <c r="H395" i="16"/>
  <c r="W395" i="16" s="1"/>
  <c r="V395" i="16"/>
  <c r="V399" i="16"/>
  <c r="H399" i="16"/>
  <c r="W399" i="16" s="1"/>
  <c r="V414" i="16"/>
  <c r="S414" i="16"/>
  <c r="H414" i="16"/>
  <c r="W414" i="16" s="1"/>
  <c r="S430" i="16"/>
  <c r="H430" i="16"/>
  <c r="W430" i="16" s="1"/>
  <c r="V430" i="16"/>
  <c r="X280" i="16"/>
  <c r="T392" i="16"/>
  <c r="U392" i="16"/>
  <c r="T178" i="16"/>
  <c r="U178" i="16"/>
  <c r="U170" i="16"/>
  <c r="R170" i="16"/>
  <c r="L354" i="16"/>
  <c r="W197" i="16"/>
  <c r="R51" i="16"/>
  <c r="T49" i="16"/>
  <c r="U49" i="16"/>
  <c r="V243" i="16"/>
  <c r="H243" i="16"/>
  <c r="W243" i="16" s="1"/>
  <c r="H264" i="16"/>
  <c r="W264" i="16" s="1"/>
  <c r="X268" i="16"/>
  <c r="M268" i="16"/>
  <c r="N268" i="16" s="1"/>
  <c r="H311" i="16"/>
  <c r="W311" i="16" s="1"/>
  <c r="V311" i="16"/>
  <c r="W315" i="16"/>
  <c r="L315" i="16"/>
  <c r="T132" i="16"/>
  <c r="T52" i="16"/>
  <c r="N5" i="16"/>
  <c r="T5" i="16" s="1"/>
  <c r="H122" i="16"/>
  <c r="W122" i="16" s="1"/>
  <c r="X122" i="16" s="1"/>
  <c r="N130" i="16"/>
  <c r="H277" i="16"/>
  <c r="V277" i="16"/>
  <c r="H319" i="16"/>
  <c r="V319" i="16"/>
  <c r="H419" i="16"/>
  <c r="V419" i="16"/>
  <c r="X400" i="16"/>
  <c r="T47" i="16"/>
  <c r="N20" i="16"/>
  <c r="V20" i="16"/>
  <c r="H20" i="16"/>
  <c r="W20" i="16" s="1"/>
  <c r="X20" i="16" s="1"/>
  <c r="H67" i="16"/>
  <c r="W67" i="16" s="1"/>
  <c r="X67" i="16" s="1"/>
  <c r="V67" i="16"/>
  <c r="H109" i="16"/>
  <c r="W109" i="16" s="1"/>
  <c r="X109" i="16" s="1"/>
  <c r="N109" i="16"/>
  <c r="N118" i="16"/>
  <c r="V189" i="16"/>
  <c r="H189" i="16"/>
  <c r="V297" i="16"/>
  <c r="H297" i="16"/>
  <c r="H308" i="16"/>
  <c r="W308" i="16" s="1"/>
  <c r="V371" i="16"/>
  <c r="H371" i="16"/>
  <c r="V379" i="16"/>
  <c r="H379" i="16"/>
  <c r="H6" i="16"/>
  <c r="W6" i="16" s="1"/>
  <c r="X6" i="16" s="1"/>
  <c r="V6" i="16"/>
  <c r="N8" i="16"/>
  <c r="N12" i="16"/>
  <c r="H12" i="16"/>
  <c r="W12" i="16" s="1"/>
  <c r="X12" i="16" s="1"/>
  <c r="N17" i="16"/>
  <c r="N23" i="16"/>
  <c r="N77" i="16"/>
  <c r="H259" i="16"/>
  <c r="W259" i="16" s="1"/>
  <c r="N81" i="16"/>
  <c r="N98" i="16"/>
  <c r="N126" i="16"/>
  <c r="V282" i="16"/>
  <c r="N26" i="16"/>
  <c r="N34" i="16"/>
  <c r="N80" i="16"/>
  <c r="N94" i="16"/>
  <c r="N124" i="16"/>
  <c r="N143" i="16"/>
  <c r="L9" i="8"/>
  <c r="W9" i="8"/>
  <c r="V156" i="9"/>
  <c r="U197" i="14"/>
  <c r="T197" i="14"/>
  <c r="X197" i="14"/>
  <c r="Y384" i="13"/>
  <c r="Y374" i="13"/>
  <c r="Y371" i="13"/>
  <c r="X366" i="13"/>
  <c r="U378" i="13"/>
  <c r="M386" i="13"/>
  <c r="N386" i="13" s="1"/>
  <c r="X365" i="13"/>
  <c r="X378" i="13"/>
  <c r="X359" i="13"/>
  <c r="T217" i="9"/>
  <c r="U217" i="9"/>
  <c r="U214" i="9"/>
  <c r="T7" i="8"/>
  <c r="U7" i="8"/>
  <c r="X7" i="8"/>
  <c r="X5" i="8"/>
  <c r="U6" i="7"/>
  <c r="T6" i="7"/>
  <c r="X6" i="7"/>
  <c r="T5" i="7"/>
  <c r="M8" i="5"/>
  <c r="N8" i="5" s="1"/>
  <c r="T8" i="5" s="1"/>
  <c r="M15" i="17"/>
  <c r="R15" i="17"/>
  <c r="R45" i="17"/>
  <c r="M45" i="17"/>
  <c r="T45" i="17"/>
  <c r="U45" i="17" s="1"/>
  <c r="R33" i="17"/>
  <c r="M33" i="17"/>
  <c r="T33" i="17"/>
  <c r="U33" i="17" s="1"/>
  <c r="R26" i="17"/>
  <c r="M26" i="17"/>
  <c r="T26" i="17"/>
  <c r="U26" i="17" s="1"/>
  <c r="R20" i="17"/>
  <c r="T20" i="17"/>
  <c r="U20" i="17" s="1"/>
  <c r="M20" i="17"/>
  <c r="S47" i="17"/>
  <c r="R42" i="17"/>
  <c r="S42" i="17" s="1"/>
  <c r="S38" i="17"/>
  <c r="M30" i="17"/>
  <c r="S50" i="17"/>
  <c r="M17" i="17"/>
  <c r="N17" i="17" s="1"/>
  <c r="O17" i="17" s="1"/>
  <c r="S17" i="17" s="1"/>
  <c r="V24" i="17"/>
  <c r="T42" i="17"/>
  <c r="U42" i="17" s="1"/>
  <c r="V42" i="17" s="1"/>
  <c r="S36" i="17"/>
  <c r="V43" i="17"/>
  <c r="V31" i="17"/>
  <c r="S53" i="17"/>
  <c r="O5" i="17"/>
  <c r="R5" i="5"/>
  <c r="R14" i="5" s="1"/>
  <c r="W5" i="5"/>
  <c r="L5" i="5"/>
  <c r="F14" i="5"/>
  <c r="U48" i="15"/>
  <c r="R48" i="15"/>
  <c r="U26" i="15"/>
  <c r="R26" i="15"/>
  <c r="T28" i="15"/>
  <c r="R28" i="15"/>
  <c r="T45" i="15"/>
  <c r="R45" i="15"/>
  <c r="R47" i="15"/>
  <c r="U47" i="15"/>
  <c r="U122" i="15"/>
  <c r="T122" i="15"/>
  <c r="L356" i="15"/>
  <c r="M356" i="15" s="1"/>
  <c r="N356" i="15" s="1"/>
  <c r="T356" i="15" s="1"/>
  <c r="W356" i="15"/>
  <c r="W308" i="15"/>
  <c r="L308" i="15"/>
  <c r="T280" i="15"/>
  <c r="U280" i="15"/>
  <c r="W272" i="15"/>
  <c r="L272" i="15"/>
  <c r="M272" i="15" s="1"/>
  <c r="N272" i="15" s="1"/>
  <c r="L200" i="15"/>
  <c r="W200" i="15"/>
  <c r="T48" i="15"/>
  <c r="W257" i="15"/>
  <c r="L236" i="15"/>
  <c r="R30" i="15"/>
  <c r="R42" i="15"/>
  <c r="T33" i="15"/>
  <c r="U43" i="15"/>
  <c r="T39" i="15"/>
  <c r="T115" i="15"/>
  <c r="L444" i="15"/>
  <c r="X444" i="15" s="1"/>
  <c r="T285" i="15"/>
  <c r="H204" i="15"/>
  <c r="W204" i="15" s="1"/>
  <c r="W283" i="15"/>
  <c r="S464" i="15"/>
  <c r="H472" i="15"/>
  <c r="V192" i="15"/>
  <c r="V200" i="15"/>
  <c r="V77" i="15"/>
  <c r="N61" i="15"/>
  <c r="U61" i="15" s="1"/>
  <c r="V212" i="15"/>
  <c r="V272" i="15"/>
  <c r="V296" i="15"/>
  <c r="V308" i="15"/>
  <c r="H340" i="15"/>
  <c r="L448" i="15"/>
  <c r="V452" i="15"/>
  <c r="V460" i="15"/>
  <c r="V288" i="15"/>
  <c r="H388" i="15"/>
  <c r="S480" i="15"/>
  <c r="V39" i="15"/>
  <c r="V19" i="15"/>
  <c r="V27" i="15"/>
  <c r="N104" i="15"/>
  <c r="H157" i="15"/>
  <c r="W157" i="15" s="1"/>
  <c r="X157" i="15" s="1"/>
  <c r="V236" i="15"/>
  <c r="L244" i="15"/>
  <c r="H260" i="15"/>
  <c r="L260" i="15" s="1"/>
  <c r="M260" i="15" s="1"/>
  <c r="N260" i="15" s="1"/>
  <c r="V348" i="15"/>
  <c r="V356" i="15"/>
  <c r="H376" i="15"/>
  <c r="W376" i="15" s="1"/>
  <c r="V185" i="15"/>
  <c r="H420" i="15"/>
  <c r="L420" i="15" s="1"/>
  <c r="M420" i="15" s="1"/>
  <c r="N420" i="15" s="1"/>
  <c r="N11" i="15"/>
  <c r="T11" i="15" s="1"/>
  <c r="N97" i="15"/>
  <c r="V93" i="15"/>
  <c r="L380" i="15"/>
  <c r="X380" i="15" s="1"/>
  <c r="V492" i="15"/>
  <c r="N129" i="15"/>
  <c r="R129" i="15" s="1"/>
  <c r="N137" i="15"/>
  <c r="N141" i="15"/>
  <c r="N153" i="15"/>
  <c r="R153" i="15" s="1"/>
  <c r="N157" i="15"/>
  <c r="N161" i="15"/>
  <c r="T161" i="15" s="1"/>
  <c r="N185" i="15"/>
  <c r="V475" i="15"/>
  <c r="L475" i="15"/>
  <c r="T30" i="15"/>
  <c r="N93" i="15"/>
  <c r="U93" i="15" s="1"/>
  <c r="W477" i="15"/>
  <c r="T281" i="15"/>
  <c r="R39" i="15"/>
  <c r="T130" i="15"/>
  <c r="L452" i="15"/>
  <c r="U78" i="15"/>
  <c r="N27" i="15"/>
  <c r="R27" i="15" s="1"/>
  <c r="V300" i="15"/>
  <c r="V464" i="15"/>
  <c r="N77" i="15"/>
  <c r="N188" i="15"/>
  <c r="H400" i="15"/>
  <c r="W400" i="15" s="1"/>
  <c r="L324" i="15"/>
  <c r="H276" i="15"/>
  <c r="W276" i="15" s="1"/>
  <c r="V292" i="15"/>
  <c r="V448" i="15"/>
  <c r="S460" i="15"/>
  <c r="H316" i="15"/>
  <c r="W316" i="15" s="1"/>
  <c r="V380" i="15"/>
  <c r="V161" i="15"/>
  <c r="V432" i="15"/>
  <c r="H69" i="15"/>
  <c r="W69" i="15" s="1"/>
  <c r="X69" i="15" s="1"/>
  <c r="V125" i="15"/>
  <c r="V137" i="15"/>
  <c r="N165" i="15"/>
  <c r="V244" i="15"/>
  <c r="H404" i="15"/>
  <c r="W404" i="15" s="1"/>
  <c r="V480" i="15"/>
  <c r="H11" i="15"/>
  <c r="W11" i="15" s="1"/>
  <c r="X11" i="15" s="1"/>
  <c r="V85" i="15"/>
  <c r="H97" i="15"/>
  <c r="W97" i="15" s="1"/>
  <c r="X97" i="15" s="1"/>
  <c r="T329" i="15"/>
  <c r="N19" i="15"/>
  <c r="U19" i="15" s="1"/>
  <c r="N125" i="15"/>
  <c r="R125" i="15" s="1"/>
  <c r="N212" i="15"/>
  <c r="S474" i="15"/>
  <c r="X432" i="15"/>
  <c r="T345" i="15"/>
  <c r="U140" i="15"/>
  <c r="W414" i="15"/>
  <c r="M289" i="15"/>
  <c r="N289" i="15" s="1"/>
  <c r="T289" i="15" s="1"/>
  <c r="T109" i="15"/>
  <c r="T405" i="15"/>
  <c r="L300" i="15"/>
  <c r="L288" i="15"/>
  <c r="M288" i="15" s="1"/>
  <c r="N288" i="15" s="1"/>
  <c r="N101" i="15"/>
  <c r="R101" i="15" s="1"/>
  <c r="L432" i="15"/>
  <c r="M432" i="15" s="1"/>
  <c r="N432" i="15" s="1"/>
  <c r="S456" i="15"/>
  <c r="S448" i="15"/>
  <c r="V324" i="15"/>
  <c r="H392" i="15"/>
  <c r="H15" i="15"/>
  <c r="W15" i="15" s="1"/>
  <c r="X15" i="15" s="1"/>
  <c r="V57" i="15"/>
  <c r="H384" i="15"/>
  <c r="W384" i="15" s="1"/>
  <c r="H116" i="15"/>
  <c r="W116" i="15" s="1"/>
  <c r="X116" i="15" s="1"/>
  <c r="N81" i="15"/>
  <c r="V220" i="15"/>
  <c r="T148" i="15"/>
  <c r="V141" i="15"/>
  <c r="V65" i="15"/>
  <c r="N59" i="15"/>
  <c r="V101" i="15"/>
  <c r="T349" i="13"/>
  <c r="X349" i="13"/>
  <c r="X482" i="15"/>
  <c r="U199" i="14"/>
  <c r="T199" i="14"/>
  <c r="T198" i="14"/>
  <c r="U198" i="14"/>
  <c r="X198" i="14"/>
  <c r="U196" i="14"/>
  <c r="T196" i="14"/>
  <c r="X196" i="14"/>
  <c r="U195" i="14"/>
  <c r="T195" i="14"/>
  <c r="Y386" i="13"/>
  <c r="U385" i="13"/>
  <c r="Y385" i="13"/>
  <c r="X385" i="13"/>
  <c r="U384" i="13"/>
  <c r="T384" i="13"/>
  <c r="X384" i="13"/>
  <c r="Y381" i="13"/>
  <c r="M381" i="13"/>
  <c r="N381" i="13" s="1"/>
  <c r="T379" i="13"/>
  <c r="U379" i="13"/>
  <c r="T375" i="13"/>
  <c r="U375" i="13"/>
  <c r="Y372" i="13"/>
  <c r="T372" i="13"/>
  <c r="M371" i="13"/>
  <c r="N371" i="13" s="1"/>
  <c r="U370" i="13"/>
  <c r="U369" i="13"/>
  <c r="X368" i="13"/>
  <c r="T368" i="13"/>
  <c r="T367" i="13"/>
  <c r="U367" i="13"/>
  <c r="Y367" i="13"/>
  <c r="M366" i="13"/>
  <c r="N366" i="13" s="1"/>
  <c r="T366" i="13" s="1"/>
  <c r="Y366" i="13"/>
  <c r="Y365" i="13"/>
  <c r="M365" i="13"/>
  <c r="N365" i="13" s="1"/>
  <c r="Y364" i="13"/>
  <c r="T359" i="13"/>
  <c r="M357" i="13"/>
  <c r="N357" i="13" s="1"/>
  <c r="T357" i="13" s="1"/>
  <c r="X356" i="13"/>
  <c r="X355" i="13"/>
  <c r="Y355" i="13"/>
  <c r="U352" i="13"/>
  <c r="T352" i="13"/>
  <c r="M208" i="9"/>
  <c r="N208" i="9" s="1"/>
  <c r="T208" i="9" s="1"/>
  <c r="U206" i="9"/>
  <c r="X205" i="9"/>
  <c r="U10" i="7"/>
  <c r="T10" i="7"/>
  <c r="U7" i="7"/>
  <c r="X11" i="5"/>
  <c r="T54" i="17"/>
  <c r="U54" i="17" s="1"/>
  <c r="M54" i="17"/>
  <c r="N54" i="17" s="1"/>
  <c r="O54" i="17" s="1"/>
  <c r="S54" i="17" s="1"/>
  <c r="G63" i="17"/>
  <c r="N57" i="17"/>
  <c r="O57" i="17" s="1"/>
  <c r="G60" i="17"/>
  <c r="N55" i="17"/>
  <c r="O55" i="17" s="1"/>
  <c r="R22" i="17"/>
  <c r="M22" i="17"/>
  <c r="T22" i="17"/>
  <c r="U22" i="17" s="1"/>
  <c r="T28" i="17"/>
  <c r="U28" i="17" s="1"/>
  <c r="M28" i="17"/>
  <c r="R28" i="17"/>
  <c r="M35" i="17"/>
  <c r="N35" i="17" s="1"/>
  <c r="O35" i="17" s="1"/>
  <c r="T35" i="17"/>
  <c r="U35" i="17" s="1"/>
  <c r="R35" i="17"/>
  <c r="M40" i="17"/>
  <c r="R40" i="17"/>
  <c r="T40" i="17"/>
  <c r="U40" i="17" s="1"/>
  <c r="M19" i="17"/>
  <c r="N19" i="17" s="1"/>
  <c r="O19" i="17" s="1"/>
  <c r="T19" i="17"/>
  <c r="U19" i="17" s="1"/>
  <c r="R19" i="17"/>
  <c r="T25" i="17"/>
  <c r="U25" i="17" s="1"/>
  <c r="R25" i="17"/>
  <c r="M25" i="17"/>
  <c r="R32" i="17"/>
  <c r="M32" i="17"/>
  <c r="N32" i="17" s="1"/>
  <c r="O32" i="17" s="1"/>
  <c r="T32" i="17"/>
  <c r="U32" i="17" s="1"/>
  <c r="R37" i="17"/>
  <c r="T37" i="17"/>
  <c r="U37" i="17" s="1"/>
  <c r="M37" i="17"/>
  <c r="R44" i="17"/>
  <c r="T44" i="17"/>
  <c r="U44" i="17" s="1"/>
  <c r="M44" i="17"/>
  <c r="R18" i="17"/>
  <c r="M18" i="17"/>
  <c r="R46" i="17"/>
  <c r="M46" i="17"/>
  <c r="N46" i="17" s="1"/>
  <c r="O46" i="17" s="1"/>
  <c r="T46" i="17"/>
  <c r="U46" i="17" s="1"/>
  <c r="O8" i="17"/>
  <c r="R8" i="17"/>
  <c r="R11" i="17"/>
  <c r="O11" i="17"/>
  <c r="S11" i="17" s="1"/>
  <c r="S5" i="17"/>
  <c r="O6" i="17"/>
  <c r="S6" i="17" s="1"/>
  <c r="O12" i="17"/>
  <c r="S12" i="17" s="1"/>
  <c r="G66" i="17"/>
  <c r="V39" i="17"/>
  <c r="V49" i="17"/>
  <c r="V29" i="17"/>
  <c r="T5" i="8"/>
  <c r="U5" i="8"/>
  <c r="N9" i="8"/>
  <c r="U234" i="13"/>
  <c r="T234" i="13"/>
  <c r="U417" i="16"/>
  <c r="T56" i="13"/>
  <c r="R56" i="13"/>
  <c r="U192" i="14"/>
  <c r="T192" i="14"/>
  <c r="U373" i="16"/>
  <c r="T373" i="16"/>
  <c r="T11" i="5"/>
  <c r="U11" i="5"/>
  <c r="W32" i="9"/>
  <c r="X32" i="9" s="1"/>
  <c r="T205" i="9"/>
  <c r="U205" i="9"/>
  <c r="X362" i="13"/>
  <c r="M362" i="13"/>
  <c r="N362" i="13" s="1"/>
  <c r="M251" i="13"/>
  <c r="N251" i="13" s="1"/>
  <c r="Y251" i="13"/>
  <c r="X251" i="13"/>
  <c r="Y347" i="13"/>
  <c r="X347" i="13"/>
  <c r="M347" i="13"/>
  <c r="N347" i="13" s="1"/>
  <c r="R124" i="13"/>
  <c r="U124" i="13"/>
  <c r="T124" i="13"/>
  <c r="T100" i="13"/>
  <c r="U100" i="13"/>
  <c r="R42" i="13"/>
  <c r="U42" i="13"/>
  <c r="M236" i="13"/>
  <c r="N236" i="13" s="1"/>
  <c r="Y254" i="13"/>
  <c r="X254" i="13"/>
  <c r="M292" i="13"/>
  <c r="N292" i="13" s="1"/>
  <c r="Y292" i="13"/>
  <c r="X292" i="13"/>
  <c r="T339" i="13"/>
  <c r="U339" i="13"/>
  <c r="Y340" i="13"/>
  <c r="Y267" i="13"/>
  <c r="X267" i="13"/>
  <c r="T92" i="14"/>
  <c r="U92" i="14"/>
  <c r="R92" i="14"/>
  <c r="T87" i="14"/>
  <c r="R87" i="14"/>
  <c r="U87" i="14"/>
  <c r="U162" i="14"/>
  <c r="T162" i="14"/>
  <c r="U188" i="14"/>
  <c r="U134" i="14"/>
  <c r="T134" i="14"/>
  <c r="U81" i="9"/>
  <c r="T81" i="9"/>
  <c r="T321" i="13"/>
  <c r="U321" i="13"/>
  <c r="L358" i="13"/>
  <c r="W358" i="13"/>
  <c r="T120" i="14"/>
  <c r="U120" i="14"/>
  <c r="L320" i="16"/>
  <c r="W320" i="16"/>
  <c r="R113" i="16"/>
  <c r="T113" i="16"/>
  <c r="U76" i="16"/>
  <c r="R76" i="16"/>
  <c r="T76" i="16"/>
  <c r="T21" i="16"/>
  <c r="R21" i="16"/>
  <c r="U21" i="16"/>
  <c r="X37" i="16"/>
  <c r="T200" i="9"/>
  <c r="T243" i="13"/>
  <c r="T227" i="13"/>
  <c r="U227" i="13"/>
  <c r="T188" i="13"/>
  <c r="U188" i="13"/>
  <c r="Y369" i="13"/>
  <c r="X369" i="13"/>
  <c r="T175" i="14"/>
  <c r="U175" i="14"/>
  <c r="U413" i="16"/>
  <c r="T413" i="16"/>
  <c r="L216" i="9"/>
  <c r="U197" i="13"/>
  <c r="T197" i="13"/>
  <c r="X62" i="13"/>
  <c r="M62" i="13"/>
  <c r="N62" i="13" s="1"/>
  <c r="M308" i="13"/>
  <c r="N308" i="13" s="1"/>
  <c r="X308" i="13"/>
  <c r="U340" i="13"/>
  <c r="T270" i="16"/>
  <c r="M9" i="8"/>
  <c r="U213" i="13"/>
  <c r="T355" i="13"/>
  <c r="M402" i="16"/>
  <c r="N402" i="16" s="1"/>
  <c r="U139" i="9"/>
  <c r="T139" i="9"/>
  <c r="T76" i="13"/>
  <c r="R76" i="13"/>
  <c r="T165" i="13"/>
  <c r="U165" i="13"/>
  <c r="M210" i="13"/>
  <c r="N210" i="13" s="1"/>
  <c r="R57" i="13"/>
  <c r="U57" i="13"/>
  <c r="U325" i="13"/>
  <c r="T325" i="13"/>
  <c r="T168" i="13"/>
  <c r="U168" i="13"/>
  <c r="T42" i="13"/>
  <c r="T184" i="14"/>
  <c r="U184" i="14"/>
  <c r="U173" i="14"/>
  <c r="T173" i="14"/>
  <c r="U223" i="16"/>
  <c r="T223" i="16"/>
  <c r="M453" i="16"/>
  <c r="N453" i="16" s="1"/>
  <c r="T273" i="16"/>
  <c r="U273" i="16"/>
  <c r="J7" i="3"/>
  <c r="I7" i="3"/>
  <c r="K7" i="3" s="1"/>
  <c r="K14" i="3" s="1"/>
  <c r="T41" i="9"/>
  <c r="R41" i="9"/>
  <c r="X116" i="9"/>
  <c r="Y336" i="13"/>
  <c r="X336" i="13"/>
  <c r="U240" i="13"/>
  <c r="T240" i="13"/>
  <c r="X248" i="13"/>
  <c r="Y248" i="13"/>
  <c r="U22" i="13"/>
  <c r="R22" i="13"/>
  <c r="X10" i="13"/>
  <c r="L302" i="13"/>
  <c r="W302" i="13"/>
  <c r="W360" i="13"/>
  <c r="L360" i="13"/>
  <c r="U348" i="13"/>
  <c r="T348" i="13"/>
  <c r="M176" i="14"/>
  <c r="N176" i="14" s="1"/>
  <c r="X176" i="14"/>
  <c r="U78" i="9"/>
  <c r="X13" i="9"/>
  <c r="T163" i="9"/>
  <c r="U163" i="9"/>
  <c r="T383" i="13"/>
  <c r="U383" i="13"/>
  <c r="U167" i="9"/>
  <c r="T167" i="9"/>
  <c r="U328" i="13"/>
  <c r="T328" i="13"/>
  <c r="T177" i="13"/>
  <c r="U177" i="13"/>
  <c r="U267" i="13"/>
  <c r="T267" i="13"/>
  <c r="U77" i="13"/>
  <c r="R77" i="13"/>
  <c r="T138" i="14"/>
  <c r="U138" i="14"/>
  <c r="X209" i="13"/>
  <c r="M209" i="13"/>
  <c r="N209" i="13" s="1"/>
  <c r="T61" i="13"/>
  <c r="R61" i="13"/>
  <c r="U61" i="13"/>
  <c r="Y376" i="13"/>
  <c r="M376" i="13"/>
  <c r="N376" i="13" s="1"/>
  <c r="X376" i="13"/>
  <c r="Y311" i="13"/>
  <c r="U138" i="9"/>
  <c r="U291" i="13"/>
  <c r="T199" i="13"/>
  <c r="U283" i="16"/>
  <c r="U207" i="9"/>
  <c r="U56" i="13"/>
  <c r="U248" i="13"/>
  <c r="T205" i="13"/>
  <c r="U76" i="13"/>
  <c r="T68" i="13"/>
  <c r="U374" i="13"/>
  <c r="X311" i="13"/>
  <c r="T77" i="13"/>
  <c r="Y278" i="13"/>
  <c r="U233" i="13"/>
  <c r="X272" i="13"/>
  <c r="X188" i="14"/>
  <c r="T9" i="7"/>
  <c r="M177" i="9"/>
  <c r="N177" i="9" s="1"/>
  <c r="U116" i="9"/>
  <c r="T116" i="9"/>
  <c r="T128" i="9"/>
  <c r="U128" i="9"/>
  <c r="T76" i="9"/>
  <c r="U76" i="9"/>
  <c r="T356" i="13"/>
  <c r="U356" i="13"/>
  <c r="U332" i="13"/>
  <c r="T332" i="13"/>
  <c r="Y362" i="13"/>
  <c r="U266" i="13"/>
  <c r="T320" i="13"/>
  <c r="U320" i="13"/>
  <c r="T55" i="13"/>
  <c r="R55" i="13"/>
  <c r="X244" i="13"/>
  <c r="T280" i="13"/>
  <c r="U59" i="13"/>
  <c r="T59" i="13"/>
  <c r="R100" i="13"/>
  <c r="T118" i="14"/>
  <c r="U118" i="14"/>
  <c r="U123" i="14"/>
  <c r="T123" i="14"/>
  <c r="M189" i="14"/>
  <c r="N189" i="14" s="1"/>
  <c r="U181" i="14"/>
  <c r="T181" i="14"/>
  <c r="U190" i="14"/>
  <c r="T190" i="14"/>
  <c r="T143" i="14"/>
  <c r="U143" i="14"/>
  <c r="L346" i="16"/>
  <c r="L455" i="16"/>
  <c r="U173" i="16"/>
  <c r="M351" i="16"/>
  <c r="N351" i="16" s="1"/>
  <c r="W68" i="9"/>
  <c r="L68" i="9"/>
  <c r="W132" i="9"/>
  <c r="L132" i="9"/>
  <c r="L300" i="13"/>
  <c r="X61" i="13"/>
  <c r="M322" i="13"/>
  <c r="N322" i="13" s="1"/>
  <c r="X322" i="13"/>
  <c r="U37" i="13"/>
  <c r="R37" i="13"/>
  <c r="T37" i="13"/>
  <c r="X379" i="13"/>
  <c r="Y237" i="13"/>
  <c r="M237" i="13"/>
  <c r="N237" i="13" s="1"/>
  <c r="X237" i="13"/>
  <c r="L382" i="13"/>
  <c r="W382" i="13"/>
  <c r="W283" i="13"/>
  <c r="L283" i="13"/>
  <c r="X233" i="13"/>
  <c r="U167" i="14"/>
  <c r="T167" i="14"/>
  <c r="T38" i="13"/>
  <c r="T126" i="13"/>
  <c r="R28" i="13"/>
  <c r="U38" i="13"/>
  <c r="W236" i="13"/>
  <c r="Y236" i="13" s="1"/>
  <c r="M231" i="13"/>
  <c r="N231" i="13" s="1"/>
  <c r="M306" i="13"/>
  <c r="N306" i="13" s="1"/>
  <c r="W342" i="13"/>
  <c r="L271" i="13"/>
  <c r="W198" i="13"/>
  <c r="X198" i="13" s="1"/>
  <c r="U179" i="14"/>
  <c r="U237" i="16"/>
  <c r="T237" i="16"/>
  <c r="T57" i="9"/>
  <c r="U57" i="9"/>
  <c r="T100" i="9"/>
  <c r="T87" i="9"/>
  <c r="U87" i="9"/>
  <c r="U204" i="9"/>
  <c r="R112" i="13"/>
  <c r="U112" i="13"/>
  <c r="T319" i="13"/>
  <c r="U319" i="13"/>
  <c r="R82" i="14"/>
  <c r="T82" i="14"/>
  <c r="W324" i="16"/>
  <c r="L324" i="16"/>
  <c r="T122" i="9"/>
  <c r="M84" i="9"/>
  <c r="N84" i="9" s="1"/>
  <c r="M108" i="9"/>
  <c r="N108" i="9" s="1"/>
  <c r="U136" i="9"/>
  <c r="T136" i="9"/>
  <c r="T380" i="13"/>
  <c r="U380" i="13"/>
  <c r="U249" i="13"/>
  <c r="T249" i="13"/>
  <c r="T151" i="14"/>
  <c r="U151" i="14"/>
  <c r="U408" i="16"/>
  <c r="T408" i="16"/>
  <c r="U19" i="13"/>
  <c r="R19" i="13"/>
  <c r="T121" i="13"/>
  <c r="R121" i="13"/>
  <c r="Y225" i="13"/>
  <c r="M56" i="9"/>
  <c r="N56" i="9" s="1"/>
  <c r="U188" i="9"/>
  <c r="T188" i="9"/>
  <c r="T93" i="9"/>
  <c r="U93" i="9"/>
  <c r="T61" i="9"/>
  <c r="U61" i="9"/>
  <c r="L198" i="16"/>
  <c r="V19" i="17"/>
  <c r="W84" i="9"/>
  <c r="X84" i="9" s="1"/>
  <c r="L104" i="9"/>
  <c r="M151" i="9"/>
  <c r="N151" i="9" s="1"/>
  <c r="R33" i="9"/>
  <c r="L54" i="9"/>
  <c r="R21" i="9"/>
  <c r="T21" i="9"/>
  <c r="X71" i="9"/>
  <c r="V17" i="17"/>
  <c r="N25" i="17"/>
  <c r="O25" i="17" s="1"/>
  <c r="L204" i="15"/>
  <c r="M204" i="15" s="1"/>
  <c r="N204" i="15" s="1"/>
  <c r="U204" i="15" s="1"/>
  <c r="U313" i="13"/>
  <c r="T313" i="13"/>
  <c r="T286" i="13"/>
  <c r="U286" i="13"/>
  <c r="T66" i="13"/>
  <c r="U66" i="13"/>
  <c r="Y261" i="13"/>
  <c r="X261" i="13"/>
  <c r="U46" i="13"/>
  <c r="R46" i="13"/>
  <c r="R110" i="13"/>
  <c r="T110" i="13"/>
  <c r="M406" i="16"/>
  <c r="N406" i="16" s="1"/>
  <c r="X406" i="16"/>
  <c r="U144" i="16"/>
  <c r="T144" i="16"/>
  <c r="R144" i="16"/>
  <c r="W307" i="16"/>
  <c r="L307" i="16"/>
  <c r="U154" i="16"/>
  <c r="R154" i="16"/>
  <c r="T142" i="16"/>
  <c r="U181" i="13"/>
  <c r="T181" i="13"/>
  <c r="R92" i="13"/>
  <c r="T92" i="13"/>
  <c r="U92" i="13"/>
  <c r="R100" i="14"/>
  <c r="U100" i="14"/>
  <c r="X178" i="14"/>
  <c r="M178" i="14"/>
  <c r="N178" i="14" s="1"/>
  <c r="L429" i="16"/>
  <c r="W429" i="16"/>
  <c r="W420" i="16"/>
  <c r="L420" i="16"/>
  <c r="W444" i="16"/>
  <c r="L444" i="16"/>
  <c r="L305" i="16"/>
  <c r="W305" i="16"/>
  <c r="L288" i="16"/>
  <c r="W288" i="16"/>
  <c r="T43" i="13"/>
  <c r="R43" i="13"/>
  <c r="U43" i="13"/>
  <c r="L338" i="13"/>
  <c r="W338" i="13"/>
  <c r="L183" i="13"/>
  <c r="W183" i="13"/>
  <c r="W166" i="13"/>
  <c r="L166" i="13"/>
  <c r="L290" i="13"/>
  <c r="W290" i="13"/>
  <c r="X60" i="13"/>
  <c r="M60" i="13"/>
  <c r="N60" i="13" s="1"/>
  <c r="T64" i="16"/>
  <c r="R64" i="16"/>
  <c r="U64" i="16"/>
  <c r="T90" i="16"/>
  <c r="L240" i="16"/>
  <c r="L249" i="16"/>
  <c r="L210" i="16"/>
  <c r="W248" i="16"/>
  <c r="X248" i="16" s="1"/>
  <c r="T213" i="9"/>
  <c r="L153" i="9"/>
  <c r="U19" i="9"/>
  <c r="U13" i="9"/>
  <c r="L117" i="9"/>
  <c r="W188" i="9"/>
  <c r="X188" i="9" s="1"/>
  <c r="W169" i="9"/>
  <c r="X169" i="9" s="1"/>
  <c r="L170" i="9"/>
  <c r="R45" i="9"/>
  <c r="W217" i="9"/>
  <c r="X217" i="9" s="1"/>
  <c r="U33" i="9"/>
  <c r="T6" i="9"/>
  <c r="W81" i="9"/>
  <c r="X81" i="9" s="1"/>
  <c r="L203" i="9"/>
  <c r="W87" i="9"/>
  <c r="X87" i="9" s="1"/>
  <c r="T42" i="9"/>
  <c r="U42" i="9"/>
  <c r="N23" i="17"/>
  <c r="O23" i="17" s="1"/>
  <c r="S23" i="17" s="1"/>
  <c r="I60" i="17"/>
  <c r="Q17" i="17"/>
  <c r="L430" i="15"/>
  <c r="M430" i="15" s="1"/>
  <c r="N430" i="15" s="1"/>
  <c r="W277" i="15"/>
  <c r="L277" i="15"/>
  <c r="U218" i="13"/>
  <c r="U279" i="13"/>
  <c r="X290" i="16"/>
  <c r="T277" i="13"/>
  <c r="U277" i="13"/>
  <c r="R149" i="13"/>
  <c r="Y226" i="13"/>
  <c r="T46" i="13"/>
  <c r="X74" i="13"/>
  <c r="M74" i="13"/>
  <c r="N74" i="13" s="1"/>
  <c r="W274" i="13"/>
  <c r="L274" i="13"/>
  <c r="T316" i="13"/>
  <c r="M293" i="13"/>
  <c r="N293" i="13" s="1"/>
  <c r="X293" i="13"/>
  <c r="R102" i="13"/>
  <c r="T102" i="13"/>
  <c r="W224" i="13"/>
  <c r="L224" i="13"/>
  <c r="M160" i="14"/>
  <c r="N160" i="14" s="1"/>
  <c r="X160" i="14"/>
  <c r="X244" i="16"/>
  <c r="M209" i="16"/>
  <c r="N209" i="16" s="1"/>
  <c r="X347" i="16"/>
  <c r="M347" i="16"/>
  <c r="N347" i="16" s="1"/>
  <c r="X78" i="13"/>
  <c r="X242" i="13"/>
  <c r="Y242" i="13"/>
  <c r="M242" i="13"/>
  <c r="N242" i="13" s="1"/>
  <c r="T99" i="14"/>
  <c r="R99" i="14"/>
  <c r="M317" i="16"/>
  <c r="N317" i="16" s="1"/>
  <c r="Y293" i="13"/>
  <c r="U87" i="13"/>
  <c r="T87" i="13"/>
  <c r="R87" i="13"/>
  <c r="L298" i="13"/>
  <c r="W298" i="13"/>
  <c r="T90" i="13"/>
  <c r="U90" i="13"/>
  <c r="W80" i="13"/>
  <c r="L80" i="13"/>
  <c r="U184" i="15"/>
  <c r="R184" i="15"/>
  <c r="U261" i="13"/>
  <c r="X321" i="13"/>
  <c r="X377" i="13"/>
  <c r="M377" i="13"/>
  <c r="N377" i="13" s="1"/>
  <c r="T156" i="14"/>
  <c r="U156" i="14"/>
  <c r="X314" i="13"/>
  <c r="M314" i="13"/>
  <c r="N314" i="13" s="1"/>
  <c r="U101" i="13"/>
  <c r="T101" i="13"/>
  <c r="R63" i="14"/>
  <c r="U63" i="14"/>
  <c r="T63" i="14"/>
  <c r="X445" i="16"/>
  <c r="R86" i="16"/>
  <c r="U86" i="16"/>
  <c r="M234" i="16"/>
  <c r="N234" i="16" s="1"/>
  <c r="X234" i="16"/>
  <c r="R150" i="16"/>
  <c r="T150" i="16"/>
  <c r="R148" i="16"/>
  <c r="T148" i="16"/>
  <c r="U189" i="13"/>
  <c r="T189" i="13"/>
  <c r="U73" i="13"/>
  <c r="R73" i="13"/>
  <c r="T77" i="14"/>
  <c r="U77" i="14"/>
  <c r="R77" i="14"/>
  <c r="T67" i="14"/>
  <c r="R67" i="14"/>
  <c r="U67" i="14"/>
  <c r="W140" i="14"/>
  <c r="L140" i="14"/>
  <c r="M239" i="16"/>
  <c r="N239" i="16" s="1"/>
  <c r="X239" i="16"/>
  <c r="W307" i="13"/>
  <c r="L307" i="13"/>
  <c r="W296" i="13"/>
  <c r="Y296" i="13" s="1"/>
  <c r="L296" i="13"/>
  <c r="T93" i="13"/>
  <c r="R93" i="13"/>
  <c r="W354" i="13"/>
  <c r="L354" i="13"/>
  <c r="U114" i="13"/>
  <c r="R114" i="13"/>
  <c r="W179" i="13"/>
  <c r="L179" i="13"/>
  <c r="V47" i="17"/>
  <c r="X127" i="14"/>
  <c r="T23" i="14"/>
  <c r="M112" i="9"/>
  <c r="N112" i="9" s="1"/>
  <c r="X167" i="9"/>
  <c r="R40" i="9"/>
  <c r="L89" i="9"/>
  <c r="W89" i="9"/>
  <c r="L113" i="9"/>
  <c r="M71" i="9"/>
  <c r="N71" i="9" s="1"/>
  <c r="U357" i="13"/>
  <c r="U165" i="15"/>
  <c r="L333" i="15"/>
  <c r="U188" i="15"/>
  <c r="W254" i="15"/>
  <c r="L254" i="15"/>
  <c r="M254" i="15" s="1"/>
  <c r="N254" i="15" s="1"/>
  <c r="U254" i="15" s="1"/>
  <c r="U335" i="13"/>
  <c r="M167" i="13"/>
  <c r="N167" i="13" s="1"/>
  <c r="U426" i="16"/>
  <c r="U226" i="13"/>
  <c r="T144" i="13"/>
  <c r="M220" i="13"/>
  <c r="N220" i="13" s="1"/>
  <c r="X71" i="13"/>
  <c r="X191" i="16"/>
  <c r="T437" i="16"/>
  <c r="U150" i="16"/>
  <c r="T245" i="13"/>
  <c r="Y309" i="13"/>
  <c r="X239" i="13"/>
  <c r="M239" i="13"/>
  <c r="N239" i="13" s="1"/>
  <c r="M125" i="14"/>
  <c r="N125" i="14" s="1"/>
  <c r="X125" i="14"/>
  <c r="T86" i="16"/>
  <c r="R30" i="16"/>
  <c r="U30" i="16"/>
  <c r="T135" i="14"/>
  <c r="U135" i="14"/>
  <c r="T100" i="14"/>
  <c r="T334" i="13"/>
  <c r="U334" i="13"/>
  <c r="U219" i="13"/>
  <c r="T219" i="13"/>
  <c r="W150" i="14"/>
  <c r="L150" i="14"/>
  <c r="R104" i="14"/>
  <c r="U104" i="14"/>
  <c r="T120" i="16"/>
  <c r="U120" i="16"/>
  <c r="R120" i="16"/>
  <c r="T63" i="13"/>
  <c r="R63" i="13"/>
  <c r="U6" i="13"/>
  <c r="T6" i="13"/>
  <c r="V115" i="13"/>
  <c r="H115" i="13"/>
  <c r="W115" i="13" s="1"/>
  <c r="X115" i="13" s="1"/>
  <c r="N115" i="13"/>
  <c r="N133" i="13"/>
  <c r="H133" i="13"/>
  <c r="W133" i="13" s="1"/>
  <c r="X133" i="13" s="1"/>
  <c r="V133" i="13"/>
  <c r="L171" i="13"/>
  <c r="W171" i="13"/>
  <c r="V173" i="13"/>
  <c r="H173" i="13"/>
  <c r="W173" i="13" s="1"/>
  <c r="L173" i="13"/>
  <c r="H175" i="13"/>
  <c r="W175" i="13" s="1"/>
  <c r="H178" i="13"/>
  <c r="W178" i="13" s="1"/>
  <c r="L180" i="13"/>
  <c r="V180" i="13"/>
  <c r="L182" i="13"/>
  <c r="W182" i="13"/>
  <c r="V192" i="13"/>
  <c r="H192" i="13"/>
  <c r="W194" i="13"/>
  <c r="L194" i="13"/>
  <c r="W216" i="13"/>
  <c r="L216" i="13"/>
  <c r="Y246" i="13"/>
  <c r="X246" i="13"/>
  <c r="V250" i="13"/>
  <c r="L250" i="13"/>
  <c r="L257" i="13"/>
  <c r="W257" i="13"/>
  <c r="L260" i="13"/>
  <c r="Y260" i="13" s="1"/>
  <c r="V260" i="13"/>
  <c r="V263" i="13"/>
  <c r="H263" i="13"/>
  <c r="V265" i="13"/>
  <c r="H265" i="13"/>
  <c r="W265" i="13" s="1"/>
  <c r="M456" i="16"/>
  <c r="N456" i="16" s="1"/>
  <c r="M122" i="14"/>
  <c r="U9" i="5"/>
  <c r="M230" i="13"/>
  <c r="N230" i="13" s="1"/>
  <c r="U13" i="13"/>
  <c r="T44" i="13"/>
  <c r="W380" i="13"/>
  <c r="Y218" i="13"/>
  <c r="W170" i="14"/>
  <c r="X170" i="14" s="1"/>
  <c r="T130" i="14"/>
  <c r="T147" i="16"/>
  <c r="U69" i="16"/>
  <c r="R113" i="14"/>
  <c r="R88" i="14"/>
  <c r="U72" i="14"/>
  <c r="T72" i="14"/>
  <c r="U113" i="14"/>
  <c r="M183" i="14"/>
  <c r="N183" i="14" s="1"/>
  <c r="L207" i="16"/>
  <c r="W207" i="16"/>
  <c r="R119" i="16"/>
  <c r="T119" i="16"/>
  <c r="X238" i="13"/>
  <c r="V28" i="14"/>
  <c r="H28" i="14"/>
  <c r="W28" i="14" s="1"/>
  <c r="X28" i="14" s="1"/>
  <c r="X164" i="13"/>
  <c r="Y303" i="13"/>
  <c r="X177" i="14"/>
  <c r="H10" i="4"/>
  <c r="N10" i="4"/>
  <c r="H31" i="13"/>
  <c r="W31" i="13" s="1"/>
  <c r="X31" i="13" s="1"/>
  <c r="N31" i="13"/>
  <c r="S361" i="13"/>
  <c r="V361" i="13"/>
  <c r="H361" i="13"/>
  <c r="T52" i="14"/>
  <c r="U52" i="14"/>
  <c r="H63" i="14"/>
  <c r="W63" i="14" s="1"/>
  <c r="X63" i="14" s="1"/>
  <c r="V63" i="14"/>
  <c r="V78" i="14"/>
  <c r="N78" i="14"/>
  <c r="X405" i="15"/>
  <c r="M191" i="16"/>
  <c r="N191" i="16" s="1"/>
  <c r="M400" i="16"/>
  <c r="N400" i="16" s="1"/>
  <c r="R74" i="14"/>
  <c r="T83" i="14"/>
  <c r="R69" i="14"/>
  <c r="W337" i="13"/>
  <c r="M164" i="13"/>
  <c r="N164" i="13" s="1"/>
  <c r="X73" i="13"/>
  <c r="R17" i="14"/>
  <c r="T17" i="14"/>
  <c r="W289" i="13"/>
  <c r="L289" i="13"/>
  <c r="W370" i="13"/>
  <c r="X162" i="13"/>
  <c r="L369" i="16"/>
  <c r="W369" i="16"/>
  <c r="H9" i="5"/>
  <c r="V9" i="5"/>
  <c r="S9" i="5"/>
  <c r="T9" i="5" s="1"/>
  <c r="V212" i="10"/>
  <c r="H212" i="10"/>
  <c r="W212" i="10" s="1"/>
  <c r="D11" i="3"/>
  <c r="V310" i="13"/>
  <c r="S310" i="13"/>
  <c r="T310" i="13" s="1"/>
  <c r="Y314" i="13"/>
  <c r="W187" i="16"/>
  <c r="L187" i="16"/>
  <c r="S11" i="7"/>
  <c r="T11" i="7" s="1"/>
  <c r="V11" i="7"/>
  <c r="W11" i="7" s="1"/>
  <c r="X11" i="7" s="1"/>
  <c r="V43" i="9"/>
  <c r="N43" i="9"/>
  <c r="H153" i="13"/>
  <c r="W153" i="13" s="1"/>
  <c r="X153" i="13" s="1"/>
  <c r="V153" i="13"/>
  <c r="H158" i="13"/>
  <c r="W158" i="13" s="1"/>
  <c r="X158" i="13" s="1"/>
  <c r="V158" i="13"/>
  <c r="V327" i="13"/>
  <c r="H327" i="13"/>
  <c r="L345" i="13"/>
  <c r="V345" i="13"/>
  <c r="W360" i="16"/>
  <c r="L360" i="16"/>
  <c r="N6" i="4"/>
  <c r="N13" i="4" s="1"/>
  <c r="H6" i="4"/>
  <c r="H13" i="4" s="1"/>
  <c r="F7" i="3" s="1"/>
  <c r="F13" i="4"/>
  <c r="L7" i="5"/>
  <c r="H8" i="7"/>
  <c r="L8" i="7"/>
  <c r="L15" i="7" s="1"/>
  <c r="H149" i="9"/>
  <c r="W149" i="9" s="1"/>
  <c r="L193" i="9"/>
  <c r="S193" i="9"/>
  <c r="F10" i="12"/>
  <c r="H9" i="12"/>
  <c r="H58" i="13"/>
  <c r="V58" i="13"/>
  <c r="L262" i="13"/>
  <c r="H285" i="13"/>
  <c r="W285" i="13" s="1"/>
  <c r="V285" i="13"/>
  <c r="L389" i="16"/>
  <c r="L183" i="16"/>
  <c r="L204" i="16"/>
  <c r="D9" i="3"/>
  <c r="H69" i="9"/>
  <c r="W69" i="9" s="1"/>
  <c r="N9" i="11"/>
  <c r="N18" i="11" s="1"/>
  <c r="V9" i="11"/>
  <c r="V134" i="13"/>
  <c r="N134" i="13"/>
  <c r="N151" i="13"/>
  <c r="N160" i="13"/>
  <c r="W200" i="13"/>
  <c r="L200" i="13"/>
  <c r="H133" i="14"/>
  <c r="W133" i="14" s="1"/>
  <c r="V133" i="14"/>
  <c r="H12" i="7"/>
  <c r="N90" i="10"/>
  <c r="U90" i="10" s="1"/>
  <c r="L346" i="13"/>
  <c r="H350" i="13"/>
  <c r="W350" i="13" s="1"/>
  <c r="L194" i="9"/>
  <c r="V19" i="14"/>
  <c r="N19" i="14"/>
  <c r="H19" i="14"/>
  <c r="N80" i="14"/>
  <c r="H80" i="14"/>
  <c r="W80" i="14" s="1"/>
  <c r="X80" i="14" s="1"/>
  <c r="H171" i="14"/>
  <c r="W171" i="14" s="1"/>
  <c r="S12" i="7"/>
  <c r="T12" i="7" s="1"/>
  <c r="F240" i="9"/>
  <c r="N95" i="10"/>
  <c r="R95" i="10" s="1"/>
  <c r="L341" i="13"/>
  <c r="L344" i="13"/>
  <c r="N116" i="14"/>
  <c r="V116" i="14"/>
  <c r="H116" i="14"/>
  <c r="W116" i="14" s="1"/>
  <c r="X116" i="14" s="1"/>
  <c r="H149" i="14"/>
  <c r="V149" i="14"/>
  <c r="H44" i="14"/>
  <c r="W44" i="14" s="1"/>
  <c r="X44" i="14" s="1"/>
  <c r="V44" i="14"/>
  <c r="N45" i="14"/>
  <c r="T57" i="14"/>
  <c r="N103" i="14"/>
  <c r="H103" i="14"/>
  <c r="W103" i="14" s="1"/>
  <c r="X103" i="14" s="1"/>
  <c r="N10" i="14"/>
  <c r="V41" i="17"/>
  <c r="N7" i="16"/>
  <c r="H107" i="16"/>
  <c r="N107" i="16"/>
  <c r="N123" i="16"/>
  <c r="H123" i="16"/>
  <c r="W123" i="16" s="1"/>
  <c r="X123" i="16" s="1"/>
  <c r="T50" i="15"/>
  <c r="N16" i="16"/>
  <c r="N28" i="16"/>
  <c r="N54" i="16"/>
  <c r="N57" i="16"/>
  <c r="N93" i="16"/>
  <c r="H179" i="16"/>
  <c r="W179" i="16" s="1"/>
  <c r="L299" i="16"/>
  <c r="V299" i="16"/>
  <c r="L436" i="16"/>
  <c r="V436" i="16"/>
  <c r="S436" i="16"/>
  <c r="H439" i="16"/>
  <c r="W439" i="16" s="1"/>
  <c r="M59" i="17"/>
  <c r="L228" i="16"/>
  <c r="V228" i="16"/>
  <c r="H352" i="16"/>
  <c r="W352" i="16" s="1"/>
  <c r="H393" i="13"/>
  <c r="L393" i="13"/>
  <c r="M393" i="13" s="1"/>
  <c r="N393" i="13" s="1"/>
  <c r="H333" i="16"/>
  <c r="H334" i="16"/>
  <c r="V337" i="16"/>
  <c r="H337" i="16"/>
  <c r="W337" i="16" s="1"/>
  <c r="O14" i="17"/>
  <c r="S14" i="17" s="1"/>
  <c r="H428" i="16"/>
  <c r="L416" i="13"/>
  <c r="M416" i="13" s="1"/>
  <c r="N416" i="13" s="1"/>
  <c r="O13" i="17"/>
  <c r="H221" i="9"/>
  <c r="H11" i="4"/>
  <c r="L428" i="13"/>
  <c r="M428" i="13" s="1"/>
  <c r="N428" i="13" s="1"/>
  <c r="L425" i="13"/>
  <c r="M425" i="13" s="1"/>
  <c r="N425" i="13" s="1"/>
  <c r="L420" i="13"/>
  <c r="M420" i="13" s="1"/>
  <c r="N420" i="13" s="1"/>
  <c r="L424" i="13"/>
  <c r="M424" i="13" s="1"/>
  <c r="N424" i="13" s="1"/>
  <c r="B6" i="18"/>
  <c r="G6" i="18" s="1"/>
  <c r="E22" i="18"/>
  <c r="B14" i="18"/>
  <c r="B22" i="18"/>
  <c r="E14" i="18"/>
  <c r="D12" i="3"/>
  <c r="T202" i="9"/>
  <c r="U202" i="9"/>
  <c r="N70" i="10"/>
  <c r="N84" i="10"/>
  <c r="T84" i="10" s="1"/>
  <c r="N86" i="10"/>
  <c r="N119" i="10"/>
  <c r="N125" i="10"/>
  <c r="T125" i="10" s="1"/>
  <c r="L253" i="10"/>
  <c r="M253" i="10" s="1"/>
  <c r="N253" i="10" s="1"/>
  <c r="L264" i="10"/>
  <c r="M264" i="10" s="1"/>
  <c r="N264" i="10" s="1"/>
  <c r="N103" i="10"/>
  <c r="R103" i="10" s="1"/>
  <c r="N189" i="10"/>
  <c r="T189" i="10" s="1"/>
  <c r="N85" i="10"/>
  <c r="R85" i="10" s="1"/>
  <c r="M287" i="10"/>
  <c r="N287" i="10" s="1"/>
  <c r="L302" i="10"/>
  <c r="W302" i="10"/>
  <c r="H140" i="10"/>
  <c r="W140" i="10" s="1"/>
  <c r="X140" i="10" s="1"/>
  <c r="V140" i="10"/>
  <c r="X241" i="10"/>
  <c r="Y241" i="10"/>
  <c r="H104" i="10"/>
  <c r="W104" i="10" s="1"/>
  <c r="X104" i="10" s="1"/>
  <c r="N104" i="10"/>
  <c r="V104" i="10"/>
  <c r="T37" i="10"/>
  <c r="U37" i="10"/>
  <c r="R134" i="10"/>
  <c r="U134" i="10"/>
  <c r="T134" i="10"/>
  <c r="U314" i="10"/>
  <c r="W269" i="10"/>
  <c r="X269" i="10" s="1"/>
  <c r="W299" i="10"/>
  <c r="X299" i="10" s="1"/>
  <c r="L341" i="10"/>
  <c r="M341" i="10" s="1"/>
  <c r="N341" i="10" s="1"/>
  <c r="W341" i="10"/>
  <c r="W291" i="10"/>
  <c r="L291" i="10"/>
  <c r="X291" i="10" s="1"/>
  <c r="N92" i="10"/>
  <c r="T92" i="10" s="1"/>
  <c r="N96" i="10"/>
  <c r="T96" i="10" s="1"/>
  <c r="N127" i="10"/>
  <c r="T127" i="10" s="1"/>
  <c r="N74" i="10"/>
  <c r="H336" i="10"/>
  <c r="L336" i="10" s="1"/>
  <c r="M336" i="10" s="1"/>
  <c r="N336" i="10" s="1"/>
  <c r="V35" i="10"/>
  <c r="L297" i="10"/>
  <c r="M297" i="10" s="1"/>
  <c r="N297" i="10" s="1"/>
  <c r="U297" i="10" s="1"/>
  <c r="N143" i="10"/>
  <c r="L368" i="10"/>
  <c r="M368" i="10" s="1"/>
  <c r="N368" i="10" s="1"/>
  <c r="H152" i="10"/>
  <c r="W152" i="10" s="1"/>
  <c r="X152" i="10" s="1"/>
  <c r="L268" i="10"/>
  <c r="Y268" i="10" s="1"/>
  <c r="V328" i="10"/>
  <c r="V333" i="10"/>
  <c r="W333" i="10" s="1"/>
  <c r="Y333" i="10" s="1"/>
  <c r="V361" i="10"/>
  <c r="L276" i="10"/>
  <c r="S333" i="10"/>
  <c r="T333" i="10" s="1"/>
  <c r="H304" i="10"/>
  <c r="V274" i="10"/>
  <c r="L218" i="10"/>
  <c r="X218" i="10" s="1"/>
  <c r="H187" i="10"/>
  <c r="H31" i="10"/>
  <c r="W31" i="10" s="1"/>
  <c r="X31" i="10" s="1"/>
  <c r="N22" i="10"/>
  <c r="U22" i="10" s="1"/>
  <c r="L185" i="10"/>
  <c r="M185" i="10" s="1"/>
  <c r="N185" i="10" s="1"/>
  <c r="H312" i="10"/>
  <c r="S353" i="10"/>
  <c r="H300" i="10"/>
  <c r="L300" i="10" s="1"/>
  <c r="W331" i="10"/>
  <c r="Y331" i="10" s="1"/>
  <c r="W338" i="10"/>
  <c r="X338" i="10" s="1"/>
  <c r="H349" i="10"/>
  <c r="H270" i="10"/>
  <c r="L270" i="10" s="1"/>
  <c r="V352" i="10"/>
  <c r="W352" i="10" s="1"/>
  <c r="X352" i="10" s="1"/>
  <c r="H268" i="10"/>
  <c r="W268" i="10" s="1"/>
  <c r="H249" i="10"/>
  <c r="S341" i="10"/>
  <c r="H272" i="10"/>
  <c r="W272" i="10" s="1"/>
  <c r="H96" i="10"/>
  <c r="W96" i="10" s="1"/>
  <c r="X96" i="10" s="1"/>
  <c r="H320" i="10"/>
  <c r="W320" i="10" s="1"/>
  <c r="V276" i="10"/>
  <c r="V144" i="10"/>
  <c r="N18" i="10"/>
  <c r="N39" i="10"/>
  <c r="N54" i="10"/>
  <c r="U54" i="10" s="1"/>
  <c r="N148" i="10"/>
  <c r="R148" i="10" s="1"/>
  <c r="N151" i="10"/>
  <c r="R151" i="10" s="1"/>
  <c r="N154" i="10"/>
  <c r="T154" i="10" s="1"/>
  <c r="N157" i="10"/>
  <c r="T157" i="10" s="1"/>
  <c r="N158" i="10"/>
  <c r="N162" i="10"/>
  <c r="U162" i="10" s="1"/>
  <c r="X197" i="10"/>
  <c r="N47" i="10"/>
  <c r="T47" i="10" s="1"/>
  <c r="S352" i="10"/>
  <c r="T352" i="10" s="1"/>
  <c r="H259" i="10"/>
  <c r="H278" i="10"/>
  <c r="V127" i="10"/>
  <c r="H33" i="10"/>
  <c r="W33" i="10" s="1"/>
  <c r="X33" i="10" s="1"/>
  <c r="L274" i="10"/>
  <c r="N55" i="10"/>
  <c r="N33" i="10"/>
  <c r="H120" i="10"/>
  <c r="W120" i="10" s="1"/>
  <c r="X120" i="10" s="1"/>
  <c r="T160" i="10"/>
  <c r="N35" i="10"/>
  <c r="T35" i="10" s="1"/>
  <c r="N348" i="10"/>
  <c r="U348" i="10" s="1"/>
  <c r="V152" i="10"/>
  <c r="V348" i="10"/>
  <c r="W348" i="10" s="1"/>
  <c r="Y348" i="10" s="1"/>
  <c r="V229" i="10"/>
  <c r="V225" i="10"/>
  <c r="N137" i="10"/>
  <c r="T137" i="10" s="1"/>
  <c r="L251" i="10"/>
  <c r="H262" i="10"/>
  <c r="L284" i="10"/>
  <c r="X284" i="10" s="1"/>
  <c r="H143" i="10"/>
  <c r="W143" i="10" s="1"/>
  <c r="X143" i="10" s="1"/>
  <c r="V312" i="10"/>
  <c r="H48" i="10"/>
  <c r="W48" i="10" s="1"/>
  <c r="X48" i="10" s="1"/>
  <c r="Y318" i="10"/>
  <c r="L366" i="10"/>
  <c r="M366" i="10" s="1"/>
  <c r="N366" i="10" s="1"/>
  <c r="H247" i="10"/>
  <c r="H282" i="10"/>
  <c r="V141" i="10"/>
  <c r="N75" i="10"/>
  <c r="R75" i="10" s="1"/>
  <c r="N81" i="10"/>
  <c r="U81" i="10" s="1"/>
  <c r="N108" i="10"/>
  <c r="T108" i="10" s="1"/>
  <c r="M486" i="15"/>
  <c r="N486" i="15" s="1"/>
  <c r="T486" i="15" s="1"/>
  <c r="W443" i="15"/>
  <c r="L443" i="15"/>
  <c r="W374" i="15"/>
  <c r="L374" i="15"/>
  <c r="W496" i="15"/>
  <c r="X414" i="15"/>
  <c r="N120" i="15"/>
  <c r="U120" i="15" s="1"/>
  <c r="N105" i="15"/>
  <c r="T105" i="15" s="1"/>
  <c r="N98" i="15"/>
  <c r="T98" i="15" s="1"/>
  <c r="R115" i="15"/>
  <c r="R109" i="15"/>
  <c r="U72" i="15"/>
  <c r="U44" i="15"/>
  <c r="W416" i="15"/>
  <c r="X416" i="15" s="1"/>
  <c r="L217" i="15"/>
  <c r="M217" i="15" s="1"/>
  <c r="N217" i="15" s="1"/>
  <c r="U217" i="15" s="1"/>
  <c r="W389" i="15"/>
  <c r="X389" i="15" s="1"/>
  <c r="T24" i="15"/>
  <c r="U28" i="15"/>
  <c r="L211" i="15"/>
  <c r="T497" i="15"/>
  <c r="W497" i="15"/>
  <c r="X497" i="15" s="1"/>
  <c r="T72" i="15"/>
  <c r="U124" i="15"/>
  <c r="T159" i="15"/>
  <c r="R46" i="15"/>
  <c r="L436" i="15"/>
  <c r="M436" i="15" s="1"/>
  <c r="N436" i="15" s="1"/>
  <c r="L304" i="15"/>
  <c r="M304" i="15" s="1"/>
  <c r="N304" i="15" s="1"/>
  <c r="L322" i="15"/>
  <c r="W486" i="15"/>
  <c r="X486" i="15" s="1"/>
  <c r="N13" i="15"/>
  <c r="U13" i="15" s="1"/>
  <c r="R111" i="15"/>
  <c r="X458" i="15"/>
  <c r="T55" i="15"/>
  <c r="T47" i="15"/>
  <c r="R51" i="15"/>
  <c r="X433" i="15"/>
  <c r="T124" i="15"/>
  <c r="W401" i="15"/>
  <c r="X401" i="15" s="1"/>
  <c r="X250" i="15"/>
  <c r="L242" i="15"/>
  <c r="M242" i="15" s="1"/>
  <c r="N242" i="15" s="1"/>
  <c r="T192" i="15"/>
  <c r="R100" i="15"/>
  <c r="L276" i="15"/>
  <c r="M276" i="15" s="1"/>
  <c r="N276" i="15" s="1"/>
  <c r="U276" i="15" s="1"/>
  <c r="L296" i="15"/>
  <c r="W476" i="15"/>
  <c r="B14" i="3"/>
  <c r="R97" i="10"/>
  <c r="T97" i="10"/>
  <c r="N14" i="10"/>
  <c r="H14" i="10"/>
  <c r="W14" i="10" s="1"/>
  <c r="X14" i="10" s="1"/>
  <c r="V17" i="10"/>
  <c r="H17" i="10"/>
  <c r="W17" i="10" s="1"/>
  <c r="X17" i="10" s="1"/>
  <c r="N17" i="10"/>
  <c r="T17" i="10" s="1"/>
  <c r="V23" i="10"/>
  <c r="N23" i="10"/>
  <c r="T23" i="10" s="1"/>
  <c r="V25" i="10"/>
  <c r="N25" i="10"/>
  <c r="V36" i="10"/>
  <c r="N36" i="10"/>
  <c r="V60" i="10"/>
  <c r="N60" i="10"/>
  <c r="U60" i="10" s="1"/>
  <c r="H134" i="10"/>
  <c r="V134" i="10"/>
  <c r="V155" i="10"/>
  <c r="N155" i="10"/>
  <c r="T155" i="10" s="1"/>
  <c r="N159" i="10"/>
  <c r="U159" i="10" s="1"/>
  <c r="H159" i="10"/>
  <c r="W159" i="10" s="1"/>
  <c r="X159" i="10" s="1"/>
  <c r="V163" i="10"/>
  <c r="H163" i="10"/>
  <c r="W163" i="10" s="1"/>
  <c r="X163" i="10" s="1"/>
  <c r="N163" i="10"/>
  <c r="U163" i="10" s="1"/>
  <c r="H190" i="10"/>
  <c r="W190" i="10" s="1"/>
  <c r="V192" i="10"/>
  <c r="H192" i="10"/>
  <c r="V194" i="10"/>
  <c r="H194" i="10"/>
  <c r="H203" i="10"/>
  <c r="W203" i="10" s="1"/>
  <c r="V203" i="10"/>
  <c r="V340" i="10"/>
  <c r="S340" i="10"/>
  <c r="H356" i="10"/>
  <c r="L356" i="10" s="1"/>
  <c r="S356" i="10"/>
  <c r="H360" i="10"/>
  <c r="L360" i="10" s="1"/>
  <c r="M360" i="10" s="1"/>
  <c r="N360" i="10" s="1"/>
  <c r="T360" i="10" s="1"/>
  <c r="V360" i="10"/>
  <c r="U164" i="10"/>
  <c r="L175" i="10"/>
  <c r="M175" i="10" s="1"/>
  <c r="N175" i="10" s="1"/>
  <c r="U175" i="10" s="1"/>
  <c r="N120" i="10"/>
  <c r="T120" i="10" s="1"/>
  <c r="H87" i="10"/>
  <c r="W87" i="10" s="1"/>
  <c r="X87" i="10" s="1"/>
  <c r="W266" i="10"/>
  <c r="L266" i="10"/>
  <c r="M266" i="10" s="1"/>
  <c r="N266" i="10" s="1"/>
  <c r="U266" i="10" s="1"/>
  <c r="U64" i="10"/>
  <c r="R64" i="10"/>
  <c r="H98" i="10"/>
  <c r="W98" i="10" s="1"/>
  <c r="X98" i="10" s="1"/>
  <c r="N98" i="10"/>
  <c r="T98" i="10" s="1"/>
  <c r="V103" i="10"/>
  <c r="H103" i="10"/>
  <c r="W103" i="10" s="1"/>
  <c r="X103" i="10" s="1"/>
  <c r="V101" i="10"/>
  <c r="N101" i="10"/>
  <c r="T18" i="10"/>
  <c r="H153" i="10"/>
  <c r="W153" i="10" s="1"/>
  <c r="X153" i="10" s="1"/>
  <c r="N153" i="10"/>
  <c r="U153" i="10" s="1"/>
  <c r="R157" i="10"/>
  <c r="V200" i="10"/>
  <c r="H200" i="10"/>
  <c r="L200" i="10" s="1"/>
  <c r="M200" i="10" s="1"/>
  <c r="N200" i="10" s="1"/>
  <c r="H204" i="10"/>
  <c r="L204" i="10" s="1"/>
  <c r="M204" i="10" s="1"/>
  <c r="N204" i="10" s="1"/>
  <c r="V204" i="10"/>
  <c r="N230" i="10"/>
  <c r="V230" i="10"/>
  <c r="H306" i="10"/>
  <c r="W306" i="10" s="1"/>
  <c r="V306" i="10"/>
  <c r="N205" i="10"/>
  <c r="T205" i="10" s="1"/>
  <c r="V205" i="10"/>
  <c r="V8" i="10"/>
  <c r="H8" i="10"/>
  <c r="W8" i="10" s="1"/>
  <c r="X8" i="10" s="1"/>
  <c r="V147" i="10"/>
  <c r="H147" i="10"/>
  <c r="W147" i="10" s="1"/>
  <c r="X147" i="10" s="1"/>
  <c r="V97" i="10"/>
  <c r="H97" i="10"/>
  <c r="W97" i="10" s="1"/>
  <c r="X97" i="10" s="1"/>
  <c r="V20" i="10"/>
  <c r="H20" i="10"/>
  <c r="W20" i="10" s="1"/>
  <c r="X20" i="10" s="1"/>
  <c r="T334" i="10"/>
  <c r="U133" i="10"/>
  <c r="W334" i="10"/>
  <c r="Y334" i="10" s="1"/>
  <c r="L182" i="10"/>
  <c r="M182" i="10" s="1"/>
  <c r="N182" i="10" s="1"/>
  <c r="U182" i="10" s="1"/>
  <c r="W289" i="10"/>
  <c r="Y289" i="10" s="1"/>
  <c r="X276" i="10"/>
  <c r="L228" i="10"/>
  <c r="W228" i="10"/>
  <c r="L212" i="10"/>
  <c r="V24" i="10"/>
  <c r="N24" i="10"/>
  <c r="T24" i="10" s="1"/>
  <c r="H67" i="10"/>
  <c r="W67" i="10" s="1"/>
  <c r="X67" i="10" s="1"/>
  <c r="N67" i="10"/>
  <c r="H71" i="10"/>
  <c r="W71" i="10" s="1"/>
  <c r="X71" i="10" s="1"/>
  <c r="V71" i="10"/>
  <c r="H77" i="10"/>
  <c r="W77" i="10" s="1"/>
  <c r="X77" i="10" s="1"/>
  <c r="V77" i="10"/>
  <c r="V91" i="10"/>
  <c r="N91" i="10"/>
  <c r="T91" i="10" s="1"/>
  <c r="V99" i="10"/>
  <c r="N99" i="10"/>
  <c r="T99" i="10" s="1"/>
  <c r="V126" i="10"/>
  <c r="N126" i="10"/>
  <c r="T126" i="10" s="1"/>
  <c r="V235" i="10"/>
  <c r="H235" i="10"/>
  <c r="W235" i="10" s="1"/>
  <c r="H237" i="10"/>
  <c r="L237" i="10" s="1"/>
  <c r="V237" i="10"/>
  <c r="Y239" i="10"/>
  <c r="X239" i="10"/>
  <c r="S309" i="10"/>
  <c r="V309" i="10"/>
  <c r="H309" i="10"/>
  <c r="H313" i="10"/>
  <c r="L313" i="10" s="1"/>
  <c r="M313" i="10" s="1"/>
  <c r="N313" i="10" s="1"/>
  <c r="V313" i="10"/>
  <c r="H317" i="10"/>
  <c r="S317" i="10"/>
  <c r="V321" i="10"/>
  <c r="H321" i="10"/>
  <c r="R109" i="10"/>
  <c r="B16" i="3"/>
  <c r="L301" i="10"/>
  <c r="X301" i="10" s="1"/>
  <c r="X180" i="10"/>
  <c r="Y299" i="10"/>
  <c r="V43" i="10"/>
  <c r="N71" i="10"/>
  <c r="L227" i="10"/>
  <c r="M227" i="10" s="1"/>
  <c r="N227" i="10" s="1"/>
  <c r="U227" i="10" s="1"/>
  <c r="W227" i="10"/>
  <c r="V106" i="10"/>
  <c r="N147" i="10"/>
  <c r="R147" i="10" s="1"/>
  <c r="V79" i="10"/>
  <c r="H79" i="10"/>
  <c r="W79" i="10" s="1"/>
  <c r="X79" i="10" s="1"/>
  <c r="H236" i="10"/>
  <c r="V236" i="10"/>
  <c r="V238" i="10"/>
  <c r="H238" i="10"/>
  <c r="W355" i="10"/>
  <c r="N142" i="10"/>
  <c r="N87" i="10"/>
  <c r="U87" i="10" s="1"/>
  <c r="N138" i="10"/>
  <c r="S311" i="10"/>
  <c r="N31" i="10"/>
  <c r="N69" i="10"/>
  <c r="R69" i="10" s="1"/>
  <c r="N73" i="10"/>
  <c r="R73" i="10" s="1"/>
  <c r="N115" i="10"/>
  <c r="U115" i="10" s="1"/>
  <c r="N116" i="10"/>
  <c r="R116" i="10" s="1"/>
  <c r="N118" i="10"/>
  <c r="R118" i="10" s="1"/>
  <c r="N121" i="10"/>
  <c r="T121" i="10" s="1"/>
  <c r="N129" i="10"/>
  <c r="R129" i="10" s="1"/>
  <c r="N136" i="10"/>
  <c r="R136" i="10" s="1"/>
  <c r="N150" i="10"/>
  <c r="U150" i="10" s="1"/>
  <c r="X281" i="10"/>
  <c r="T331" i="10"/>
  <c r="U331" i="10"/>
  <c r="M226" i="10"/>
  <c r="N226" i="10" s="1"/>
  <c r="U226" i="10" s="1"/>
  <c r="Y226" i="10"/>
  <c r="T131" i="10"/>
  <c r="R131" i="10"/>
  <c r="M281" i="10"/>
  <c r="N281" i="10" s="1"/>
  <c r="T281" i="10" s="1"/>
  <c r="U141" i="10"/>
  <c r="R141" i="10"/>
  <c r="U131" i="10"/>
  <c r="L330" i="10"/>
  <c r="W330" i="10"/>
  <c r="L343" i="10"/>
  <c r="W343" i="10"/>
  <c r="L255" i="10"/>
  <c r="M255" i="10" s="1"/>
  <c r="N255" i="10" s="1"/>
  <c r="T255" i="10" s="1"/>
  <c r="W255" i="10"/>
  <c r="L282" i="10"/>
  <c r="M282" i="10" s="1"/>
  <c r="N282" i="10" s="1"/>
  <c r="U282" i="10" s="1"/>
  <c r="W282" i="10"/>
  <c r="H145" i="10"/>
  <c r="W145" i="10" s="1"/>
  <c r="X145" i="10" s="1"/>
  <c r="N145" i="10"/>
  <c r="V145" i="10"/>
  <c r="H51" i="10"/>
  <c r="W51" i="10" s="1"/>
  <c r="X51" i="10" s="1"/>
  <c r="N51" i="10"/>
  <c r="T51" i="10" s="1"/>
  <c r="H83" i="10"/>
  <c r="W83" i="10" s="1"/>
  <c r="X83" i="10" s="1"/>
  <c r="V83" i="10"/>
  <c r="H29" i="10"/>
  <c r="W29" i="10" s="1"/>
  <c r="X29" i="10" s="1"/>
  <c r="N29" i="10"/>
  <c r="T345" i="10"/>
  <c r="U55" i="10"/>
  <c r="M220" i="10"/>
  <c r="N220" i="10" s="1"/>
  <c r="T220" i="10" s="1"/>
  <c r="L355" i="10"/>
  <c r="M355" i="10" s="1"/>
  <c r="N355" i="10" s="1"/>
  <c r="L171" i="10"/>
  <c r="X171" i="10" s="1"/>
  <c r="W305" i="10"/>
  <c r="Y305" i="10" s="1"/>
  <c r="H161" i="10"/>
  <c r="W161" i="10" s="1"/>
  <c r="X161" i="10" s="1"/>
  <c r="L183" i="10"/>
  <c r="X183" i="10" s="1"/>
  <c r="V153" i="10"/>
  <c r="Y302" i="10"/>
  <c r="M177" i="10"/>
  <c r="N177" i="10" s="1"/>
  <c r="T177" i="10" s="1"/>
  <c r="H250" i="10"/>
  <c r="W250" i="10" s="1"/>
  <c r="V50" i="10"/>
  <c r="H50" i="10"/>
  <c r="W50" i="10" s="1"/>
  <c r="X50" i="10" s="1"/>
  <c r="V124" i="10"/>
  <c r="H124" i="10"/>
  <c r="W124" i="10" s="1"/>
  <c r="X124" i="10" s="1"/>
  <c r="R87" i="10"/>
  <c r="N105" i="10"/>
  <c r="U105" i="10" s="1"/>
  <c r="H105" i="10"/>
  <c r="W105" i="10" s="1"/>
  <c r="X105" i="10" s="1"/>
  <c r="H109" i="10"/>
  <c r="W109" i="10" s="1"/>
  <c r="X109" i="10" s="1"/>
  <c r="V109" i="10"/>
  <c r="H172" i="10"/>
  <c r="V172" i="10"/>
  <c r="V174" i="10"/>
  <c r="H174" i="10"/>
  <c r="L174" i="10" s="1"/>
  <c r="H221" i="10"/>
  <c r="W221" i="10" s="1"/>
  <c r="V221" i="10"/>
  <c r="H363" i="10"/>
  <c r="L363" i="10" s="1"/>
  <c r="M363" i="10" s="1"/>
  <c r="N363" i="10" s="1"/>
  <c r="N20" i="10"/>
  <c r="T20" i="10" s="1"/>
  <c r="H102" i="10"/>
  <c r="W102" i="10" s="1"/>
  <c r="X102" i="10" s="1"/>
  <c r="V102" i="10"/>
  <c r="T81" i="10"/>
  <c r="R81" i="10"/>
  <c r="V157" i="10"/>
  <c r="H157" i="10"/>
  <c r="W157" i="10" s="1"/>
  <c r="X157" i="10" s="1"/>
  <c r="V165" i="10"/>
  <c r="H165" i="10"/>
  <c r="L165" i="10" s="1"/>
  <c r="M165" i="10" s="1"/>
  <c r="H202" i="10"/>
  <c r="V202" i="10"/>
  <c r="H206" i="10"/>
  <c r="W206" i="10" s="1"/>
  <c r="V206" i="10"/>
  <c r="H208" i="10"/>
  <c r="W208" i="10" s="1"/>
  <c r="V208" i="10"/>
  <c r="H308" i="10"/>
  <c r="L308" i="10" s="1"/>
  <c r="V308" i="10"/>
  <c r="H323" i="10"/>
  <c r="L323" i="10" s="1"/>
  <c r="M323" i="10" s="1"/>
  <c r="N323" i="10" s="1"/>
  <c r="T323" i="10" s="1"/>
  <c r="V323" i="10"/>
  <c r="H327" i="10"/>
  <c r="V327" i="10"/>
  <c r="H339" i="10"/>
  <c r="L339" i="10" s="1"/>
  <c r="V339" i="10"/>
  <c r="S339" i="10"/>
  <c r="Y352" i="10"/>
  <c r="L295" i="10"/>
  <c r="X295" i="10" s="1"/>
  <c r="X222" i="10"/>
  <c r="V98" i="10"/>
  <c r="S327" i="10"/>
  <c r="H315" i="10"/>
  <c r="H311" i="10"/>
  <c r="V51" i="10"/>
  <c r="S358" i="10"/>
  <c r="N102" i="10"/>
  <c r="S308" i="10"/>
  <c r="V27" i="10"/>
  <c r="W196" i="10"/>
  <c r="L196" i="10"/>
  <c r="W214" i="10"/>
  <c r="L214" i="10"/>
  <c r="T95" i="10"/>
  <c r="W310" i="10"/>
  <c r="L310" i="10"/>
  <c r="M310" i="10" s="1"/>
  <c r="N310" i="10" s="1"/>
  <c r="V198" i="10"/>
  <c r="V197" i="10"/>
  <c r="V358" i="10"/>
  <c r="H76" i="10"/>
  <c r="W76" i="10" s="1"/>
  <c r="X76" i="10" s="1"/>
  <c r="N76" i="10"/>
  <c r="T76" i="10" s="1"/>
  <c r="N42" i="10"/>
  <c r="V42" i="10"/>
  <c r="H54" i="10"/>
  <c r="W54" i="10" s="1"/>
  <c r="X54" i="10" s="1"/>
  <c r="V54" i="10"/>
  <c r="H59" i="10"/>
  <c r="W59" i="10" s="1"/>
  <c r="X59" i="10" s="1"/>
  <c r="N59" i="10"/>
  <c r="T59" i="10" s="1"/>
  <c r="N65" i="10"/>
  <c r="H65" i="10"/>
  <c r="W65" i="10" s="1"/>
  <c r="X65" i="10" s="1"/>
  <c r="N72" i="10"/>
  <c r="V72" i="10"/>
  <c r="T136" i="10"/>
  <c r="N139" i="10"/>
  <c r="V139" i="10"/>
  <c r="H149" i="10"/>
  <c r="W149" i="10" s="1"/>
  <c r="X149" i="10" s="1"/>
  <c r="N149" i="10"/>
  <c r="R150" i="10"/>
  <c r="H246" i="10"/>
  <c r="W246" i="10" s="1"/>
  <c r="H248" i="10"/>
  <c r="W248" i="10" s="1"/>
  <c r="H283" i="10"/>
  <c r="V283" i="10"/>
  <c r="W326" i="10"/>
  <c r="X326" i="10" s="1"/>
  <c r="T52" i="10"/>
  <c r="N140" i="10"/>
  <c r="T140" i="10" s="1"/>
  <c r="T70" i="10"/>
  <c r="N79" i="10"/>
  <c r="R79" i="10" s="1"/>
  <c r="N106" i="10"/>
  <c r="N8" i="10"/>
  <c r="T8" i="10" s="1"/>
  <c r="N11" i="10"/>
  <c r="N46" i="10"/>
  <c r="U46" i="10" s="1"/>
  <c r="N130" i="10"/>
  <c r="T130" i="10" s="1"/>
  <c r="H245" i="10"/>
  <c r="T163" i="10"/>
  <c r="X322" i="10"/>
  <c r="N83" i="10"/>
  <c r="T86" i="10"/>
  <c r="T109" i="10"/>
  <c r="N111" i="10"/>
  <c r="U322" i="10"/>
  <c r="T322" i="10"/>
  <c r="U326" i="10"/>
  <c r="T326" i="10"/>
  <c r="M183" i="10"/>
  <c r="N183" i="10" s="1"/>
  <c r="R115" i="10"/>
  <c r="L215" i="10"/>
  <c r="W215" i="10"/>
  <c r="Y242" i="10"/>
  <c r="X242" i="10"/>
  <c r="X225" i="10"/>
  <c r="M225" i="10"/>
  <c r="N225" i="10" s="1"/>
  <c r="U225" i="10" s="1"/>
  <c r="W296" i="10"/>
  <c r="L296" i="10"/>
  <c r="M296" i="10" s="1"/>
  <c r="N296" i="10" s="1"/>
  <c r="W298" i="10"/>
  <c r="L298" i="10"/>
  <c r="M201" i="10"/>
  <c r="N201" i="10" s="1"/>
  <c r="L358" i="10"/>
  <c r="W358" i="10"/>
  <c r="T56" i="10"/>
  <c r="R56" i="10"/>
  <c r="U56" i="10"/>
  <c r="H186" i="10"/>
  <c r="V186" i="10"/>
  <c r="H188" i="10"/>
  <c r="W188" i="10" s="1"/>
  <c r="V188" i="10"/>
  <c r="H191" i="10"/>
  <c r="W191" i="10" s="1"/>
  <c r="V191" i="10"/>
  <c r="V193" i="10"/>
  <c r="U305" i="10"/>
  <c r="W254" i="10"/>
  <c r="L254" i="10"/>
  <c r="L335" i="10"/>
  <c r="W335" i="10"/>
  <c r="L319" i="10"/>
  <c r="W319" i="10"/>
  <c r="W200" i="10"/>
  <c r="V184" i="10"/>
  <c r="H184" i="10"/>
  <c r="W257" i="10"/>
  <c r="L257" i="10"/>
  <c r="U151" i="10"/>
  <c r="Y284" i="10"/>
  <c r="M284" i="10"/>
  <c r="N284" i="10" s="1"/>
  <c r="U284" i="10" s="1"/>
  <c r="H193" i="10"/>
  <c r="W193" i="10" s="1"/>
  <c r="Y225" i="10"/>
  <c r="T242" i="10"/>
  <c r="X318" i="10"/>
  <c r="W340" i="10"/>
  <c r="L340" i="10"/>
  <c r="Y295" i="10"/>
  <c r="W201" i="10"/>
  <c r="X201" i="10" s="1"/>
  <c r="T227" i="10"/>
  <c r="W168" i="10"/>
  <c r="L168" i="10"/>
  <c r="X314" i="10"/>
  <c r="Y314" i="10"/>
  <c r="X216" i="10"/>
  <c r="T156" i="10"/>
  <c r="U156" i="10"/>
  <c r="U12" i="10"/>
  <c r="T12" i="10"/>
  <c r="Y264" i="10"/>
  <c r="L359" i="10"/>
  <c r="W359" i="10"/>
  <c r="W244" i="10"/>
  <c r="L244" i="10"/>
  <c r="M244" i="10" s="1"/>
  <c r="N244" i="10" s="1"/>
  <c r="U244" i="10" s="1"/>
  <c r="T162" i="10"/>
  <c r="T122" i="10"/>
  <c r="R122" i="10"/>
  <c r="T118" i="10"/>
  <c r="U118" i="10"/>
  <c r="X169" i="10"/>
  <c r="H179" i="10"/>
  <c r="L179" i="10" s="1"/>
  <c r="V179" i="10"/>
  <c r="H181" i="10"/>
  <c r="W181" i="10" s="1"/>
  <c r="V181" i="10"/>
  <c r="V211" i="10"/>
  <c r="H211" i="10"/>
  <c r="W211" i="10" s="1"/>
  <c r="H213" i="10"/>
  <c r="W213" i="10" s="1"/>
  <c r="V217" i="10"/>
  <c r="H217" i="10"/>
  <c r="W217" i="10" s="1"/>
  <c r="L221" i="10"/>
  <c r="V256" i="10"/>
  <c r="H256" i="10"/>
  <c r="W256" i="10" s="1"/>
  <c r="V258" i="10"/>
  <c r="H260" i="10"/>
  <c r="W260" i="10" s="1"/>
  <c r="V260" i="10"/>
  <c r="V265" i="10"/>
  <c r="H265" i="10"/>
  <c r="W265" i="10" s="1"/>
  <c r="V267" i="10"/>
  <c r="H267" i="10"/>
  <c r="V271" i="10"/>
  <c r="H273" i="10"/>
  <c r="W273" i="10" s="1"/>
  <c r="V273" i="10"/>
  <c r="H275" i="10"/>
  <c r="W275" i="10" s="1"/>
  <c r="V275" i="10"/>
  <c r="V277" i="10"/>
  <c r="H277" i="10"/>
  <c r="W277" i="10" s="1"/>
  <c r="S319" i="10"/>
  <c r="V319" i="10"/>
  <c r="H342" i="10"/>
  <c r="L342" i="10"/>
  <c r="M342" i="10" s="1"/>
  <c r="N342" i="10" s="1"/>
  <c r="V346" i="10"/>
  <c r="W346" i="10" s="1"/>
  <c r="Y346" i="10" s="1"/>
  <c r="S346" i="10"/>
  <c r="S350" i="10"/>
  <c r="H350" i="10"/>
  <c r="S354" i="10"/>
  <c r="V354" i="10"/>
  <c r="H354" i="10"/>
  <c r="L354" i="10" s="1"/>
  <c r="T318" i="10"/>
  <c r="Y216" i="10"/>
  <c r="T16" i="10"/>
  <c r="R127" i="10"/>
  <c r="T53" i="10"/>
  <c r="U52" i="10"/>
  <c r="L233" i="10"/>
  <c r="W233" i="10"/>
  <c r="T57" i="10"/>
  <c r="U57" i="10"/>
  <c r="R163" i="10"/>
  <c r="U92" i="10"/>
  <c r="R92" i="10"/>
  <c r="R90" i="10"/>
  <c r="T90" i="10"/>
  <c r="X285" i="10"/>
  <c r="M285" i="10"/>
  <c r="N285" i="10" s="1"/>
  <c r="L346" i="10"/>
  <c r="M346" i="10" s="1"/>
  <c r="N346" i="10" s="1"/>
  <c r="H223" i="10"/>
  <c r="L344" i="10"/>
  <c r="W344" i="10"/>
  <c r="Y229" i="10"/>
  <c r="U126" i="10"/>
  <c r="T93" i="10"/>
  <c r="R93" i="10"/>
  <c r="S342" i="10"/>
  <c r="V19" i="10"/>
  <c r="N19" i="10"/>
  <c r="N21" i="10"/>
  <c r="T21" i="10" s="1"/>
  <c r="H21" i="10"/>
  <c r="W21" i="10" s="1"/>
  <c r="X21" i="10" s="1"/>
  <c r="V21" i="10"/>
  <c r="V38" i="10"/>
  <c r="H38" i="10"/>
  <c r="W38" i="10" s="1"/>
  <c r="X38" i="10" s="1"/>
  <c r="H89" i="10"/>
  <c r="W89" i="10" s="1"/>
  <c r="X89" i="10" s="1"/>
  <c r="N89" i="10"/>
  <c r="R89" i="10" s="1"/>
  <c r="V93" i="10"/>
  <c r="H93" i="10"/>
  <c r="W93" i="10" s="1"/>
  <c r="X93" i="10" s="1"/>
  <c r="N114" i="10"/>
  <c r="H114" i="10"/>
  <c r="W114" i="10" s="1"/>
  <c r="X114" i="10" s="1"/>
  <c r="V114" i="10"/>
  <c r="N269" i="10"/>
  <c r="R94" i="10"/>
  <c r="R156" i="10"/>
  <c r="Y274" i="10"/>
  <c r="M274" i="10"/>
  <c r="N274" i="10" s="1"/>
  <c r="T274" i="10" s="1"/>
  <c r="U333" i="10"/>
  <c r="X297" i="10"/>
  <c r="Y297" i="10"/>
  <c r="H219" i="10"/>
  <c r="L219" i="10" s="1"/>
  <c r="T54" i="10"/>
  <c r="R161" i="10"/>
  <c r="T161" i="10"/>
  <c r="W357" i="10"/>
  <c r="X357" i="10" s="1"/>
  <c r="H258" i="10"/>
  <c r="W258" i="10" s="1"/>
  <c r="R159" i="10"/>
  <c r="R162" i="10"/>
  <c r="V342" i="10"/>
  <c r="L279" i="10"/>
  <c r="Y279" i="10" s="1"/>
  <c r="H271" i="10"/>
  <c r="W271" i="10" s="1"/>
  <c r="V6" i="10"/>
  <c r="N6" i="10"/>
  <c r="U6" i="10" s="1"/>
  <c r="H6" i="10"/>
  <c r="W6" i="10" s="1"/>
  <c r="X6" i="10" s="1"/>
  <c r="H45" i="10"/>
  <c r="W45" i="10" s="1"/>
  <c r="X45" i="10" s="1"/>
  <c r="V45" i="10"/>
  <c r="N62" i="10"/>
  <c r="V62" i="10"/>
  <c r="H62" i="10"/>
  <c r="W62" i="10" s="1"/>
  <c r="X62" i="10" s="1"/>
  <c r="H69" i="10"/>
  <c r="W69" i="10" s="1"/>
  <c r="X69" i="10" s="1"/>
  <c r="V69" i="10"/>
  <c r="H73" i="10"/>
  <c r="W73" i="10" s="1"/>
  <c r="X73" i="10" s="1"/>
  <c r="V73" i="10"/>
  <c r="N88" i="10"/>
  <c r="V88" i="10"/>
  <c r="V107" i="10"/>
  <c r="N107" i="10"/>
  <c r="N117" i="10"/>
  <c r="T117" i="10" s="1"/>
  <c r="H117" i="10"/>
  <c r="W117" i="10" s="1"/>
  <c r="X117" i="10" s="1"/>
  <c r="V117" i="10"/>
  <c r="W237" i="10"/>
  <c r="V243" i="10"/>
  <c r="H243" i="10"/>
  <c r="V316" i="10"/>
  <c r="S316" i="10"/>
  <c r="V324" i="10"/>
  <c r="S324" i="10"/>
  <c r="H324" i="10"/>
  <c r="V332" i="10"/>
  <c r="S332" i="10"/>
  <c r="V347" i="10"/>
  <c r="H347" i="10"/>
  <c r="S347" i="10"/>
  <c r="V351" i="10"/>
  <c r="W351" i="10" s="1"/>
  <c r="Y322" i="10"/>
  <c r="H60" i="10"/>
  <c r="W60" i="10" s="1"/>
  <c r="X60" i="10" s="1"/>
  <c r="H107" i="10"/>
  <c r="W107" i="10" s="1"/>
  <c r="X107" i="10" s="1"/>
  <c r="V336" i="10"/>
  <c r="W198" i="10"/>
  <c r="L198" i="10"/>
  <c r="H316" i="10"/>
  <c r="N146" i="10"/>
  <c r="H146" i="10"/>
  <c r="W146" i="10" s="1"/>
  <c r="X146" i="10" s="1"/>
  <c r="N68" i="10"/>
  <c r="H68" i="10"/>
  <c r="W68" i="10" s="1"/>
  <c r="X68" i="10" s="1"/>
  <c r="V68" i="10"/>
  <c r="V81" i="10"/>
  <c r="H81" i="10"/>
  <c r="W81" i="10" s="1"/>
  <c r="X81" i="10" s="1"/>
  <c r="H199" i="10"/>
  <c r="W199" i="10" s="1"/>
  <c r="V199" i="10"/>
  <c r="V207" i="10"/>
  <c r="L207" i="10"/>
  <c r="V290" i="10"/>
  <c r="L290" i="10"/>
  <c r="Y290" i="10" s="1"/>
  <c r="W292" i="10"/>
  <c r="L292" i="10"/>
  <c r="M292" i="10" s="1"/>
  <c r="N292" i="10" s="1"/>
  <c r="T297" i="10"/>
  <c r="W176" i="10"/>
  <c r="X176" i="10" s="1"/>
  <c r="T32" i="10"/>
  <c r="N7" i="10"/>
  <c r="U7" i="10" s="1"/>
  <c r="N10" i="10"/>
  <c r="T10" i="10" s="1"/>
  <c r="V95" i="10"/>
  <c r="H95" i="10"/>
  <c r="W95" i="10" s="1"/>
  <c r="X95" i="10" s="1"/>
  <c r="N178" i="10"/>
  <c r="T178" i="10" s="1"/>
  <c r="V178" i="10"/>
  <c r="S337" i="10"/>
  <c r="H337" i="10"/>
  <c r="V337" i="10"/>
  <c r="L362" i="10"/>
  <c r="M362" i="10" s="1"/>
  <c r="N362" i="10" s="1"/>
  <c r="H365" i="10"/>
  <c r="L365" i="10" s="1"/>
  <c r="M365" i="10" s="1"/>
  <c r="N365" i="10" s="1"/>
  <c r="T15" i="10"/>
  <c r="R152" i="10"/>
  <c r="T152" i="10"/>
  <c r="H40" i="10"/>
  <c r="W40" i="10" s="1"/>
  <c r="X40" i="10" s="1"/>
  <c r="V40" i="10"/>
  <c r="N40" i="10"/>
  <c r="V135" i="10"/>
  <c r="H135" i="10"/>
  <c r="W135" i="10" s="1"/>
  <c r="X135" i="10" s="1"/>
  <c r="H136" i="10"/>
  <c r="W136" i="10" s="1"/>
  <c r="X136" i="10" s="1"/>
  <c r="V136" i="10"/>
  <c r="H162" i="10"/>
  <c r="W162" i="10" s="1"/>
  <c r="X162" i="10" s="1"/>
  <c r="V162" i="10"/>
  <c r="H234" i="10"/>
  <c r="W234" i="10" s="1"/>
  <c r="H280" i="10"/>
  <c r="W280" i="10" s="1"/>
  <c r="L280" i="10"/>
  <c r="V286" i="10"/>
  <c r="L286" i="10"/>
  <c r="V293" i="10"/>
  <c r="H293" i="10"/>
  <c r="V305" i="10"/>
  <c r="S305" i="10"/>
  <c r="T305" i="10" s="1"/>
  <c r="T119" i="10"/>
  <c r="N43" i="10"/>
  <c r="T43" i="10" s="1"/>
  <c r="N48" i="10"/>
  <c r="N77" i="10"/>
  <c r="N82" i="10"/>
  <c r="N135" i="10"/>
  <c r="N34" i="10"/>
  <c r="T34" i="10" s="1"/>
  <c r="X257" i="15"/>
  <c r="T183" i="15"/>
  <c r="R183" i="15"/>
  <c r="L199" i="15"/>
  <c r="M199" i="15" s="1"/>
  <c r="N199" i="15" s="1"/>
  <c r="U199" i="15" s="1"/>
  <c r="U183" i="15"/>
  <c r="R93" i="15"/>
  <c r="T93" i="15"/>
  <c r="L258" i="15"/>
  <c r="X258" i="15" s="1"/>
  <c r="T221" i="15"/>
  <c r="U221" i="15"/>
  <c r="R159" i="15"/>
  <c r="L400" i="15"/>
  <c r="M400" i="15" s="1"/>
  <c r="N400" i="15" s="1"/>
  <c r="U400" i="15" s="1"/>
  <c r="L469" i="15"/>
  <c r="X276" i="15"/>
  <c r="M283" i="15"/>
  <c r="N283" i="15" s="1"/>
  <c r="U283" i="15" s="1"/>
  <c r="X283" i="15"/>
  <c r="W332" i="15"/>
  <c r="L332" i="15"/>
  <c r="M332" i="15" s="1"/>
  <c r="N332" i="15" s="1"/>
  <c r="U332" i="15" s="1"/>
  <c r="T97" i="15"/>
  <c r="U97" i="15"/>
  <c r="R97" i="15"/>
  <c r="U80" i="15"/>
  <c r="R80" i="15"/>
  <c r="W481" i="15"/>
  <c r="L481" i="15"/>
  <c r="M481" i="15" s="1"/>
  <c r="N481" i="15" s="1"/>
  <c r="U481" i="15" s="1"/>
  <c r="U85" i="15"/>
  <c r="T85" i="15"/>
  <c r="U138" i="15"/>
  <c r="R138" i="15"/>
  <c r="T138" i="15"/>
  <c r="U461" i="15"/>
  <c r="T461" i="15"/>
  <c r="U175" i="15"/>
  <c r="R175" i="15"/>
  <c r="T175" i="15"/>
  <c r="W377" i="15"/>
  <c r="L377" i="15"/>
  <c r="M377" i="15" s="1"/>
  <c r="N377" i="15" s="1"/>
  <c r="T377" i="15" s="1"/>
  <c r="W429" i="15"/>
  <c r="L429" i="15"/>
  <c r="U64" i="15"/>
  <c r="T64" i="15"/>
  <c r="W491" i="15"/>
  <c r="X491" i="15" s="1"/>
  <c r="U356" i="15"/>
  <c r="T389" i="15"/>
  <c r="R64" i="15"/>
  <c r="W196" i="15"/>
  <c r="X196" i="15" s="1"/>
  <c r="L309" i="15"/>
  <c r="X309" i="15" s="1"/>
  <c r="U62" i="15"/>
  <c r="X333" i="15"/>
  <c r="M333" i="15"/>
  <c r="N333" i="15" s="1"/>
  <c r="T333" i="15" s="1"/>
  <c r="X221" i="15"/>
  <c r="W348" i="15"/>
  <c r="L348" i="15"/>
  <c r="L485" i="15"/>
  <c r="W485" i="15"/>
  <c r="L488" i="15"/>
  <c r="M488" i="15" s="1"/>
  <c r="N488" i="15" s="1"/>
  <c r="T129" i="15"/>
  <c r="U129" i="15"/>
  <c r="R147" i="15"/>
  <c r="U147" i="15"/>
  <c r="U153" i="15"/>
  <c r="T153" i="15"/>
  <c r="R161" i="15"/>
  <c r="U161" i="15"/>
  <c r="T171" i="15"/>
  <c r="U171" i="15"/>
  <c r="R171" i="15"/>
  <c r="U185" i="15"/>
  <c r="T185" i="15"/>
  <c r="E16" i="3"/>
  <c r="V498" i="15"/>
  <c r="W498" i="15" s="1"/>
  <c r="S498" i="15"/>
  <c r="H490" i="15"/>
  <c r="V490" i="15"/>
  <c r="X386" i="15"/>
  <c r="L291" i="15"/>
  <c r="M291" i="15" s="1"/>
  <c r="N291" i="15" s="1"/>
  <c r="U291" i="15" s="1"/>
  <c r="W291" i="15"/>
  <c r="X430" i="15"/>
  <c r="T479" i="15"/>
  <c r="L232" i="15"/>
  <c r="W232" i="15"/>
  <c r="M325" i="15"/>
  <c r="N325" i="15" s="1"/>
  <c r="U325" i="15" s="1"/>
  <c r="X325" i="15"/>
  <c r="W445" i="15"/>
  <c r="L445" i="15"/>
  <c r="M445" i="15" s="1"/>
  <c r="N445" i="15" s="1"/>
  <c r="T445" i="15" s="1"/>
  <c r="L330" i="15"/>
  <c r="W330" i="15"/>
  <c r="X461" i="15"/>
  <c r="U71" i="15"/>
  <c r="R71" i="15"/>
  <c r="W418" i="15"/>
  <c r="L418" i="15"/>
  <c r="H29" i="15"/>
  <c r="W29" i="15" s="1"/>
  <c r="X29" i="15" s="1"/>
  <c r="V29" i="15"/>
  <c r="V25" i="15"/>
  <c r="H25" i="15"/>
  <c r="W25" i="15" s="1"/>
  <c r="X25" i="15" s="1"/>
  <c r="H17" i="15"/>
  <c r="W17" i="15" s="1"/>
  <c r="X17" i="15" s="1"/>
  <c r="N17" i="15"/>
  <c r="H526" i="15"/>
  <c r="L526" i="15" s="1"/>
  <c r="M526" i="15" s="1"/>
  <c r="N526" i="15" s="1"/>
  <c r="M279" i="15"/>
  <c r="N279" i="15" s="1"/>
  <c r="U279" i="15" s="1"/>
  <c r="U27" i="15"/>
  <c r="W478" i="15"/>
  <c r="X478" i="15" s="1"/>
  <c r="R130" i="15"/>
  <c r="U55" i="15"/>
  <c r="L238" i="15"/>
  <c r="M238" i="15" s="1"/>
  <c r="N238" i="15" s="1"/>
  <c r="L316" i="15"/>
  <c r="M316" i="15" s="1"/>
  <c r="N316" i="15" s="1"/>
  <c r="T100" i="15"/>
  <c r="R122" i="15"/>
  <c r="T26" i="15"/>
  <c r="V13" i="15"/>
  <c r="W307" i="15"/>
  <c r="X307" i="15" s="1"/>
  <c r="W280" i="15"/>
  <c r="X280" i="15" s="1"/>
  <c r="L470" i="15"/>
  <c r="T71" i="15"/>
  <c r="W420" i="15"/>
  <c r="X420" i="15" s="1"/>
  <c r="X385" i="15"/>
  <c r="L290" i="15"/>
  <c r="M290" i="15" s="1"/>
  <c r="N290" i="15" s="1"/>
  <c r="U290" i="15" s="1"/>
  <c r="W290" i="15"/>
  <c r="H21" i="15"/>
  <c r="W21" i="15" s="1"/>
  <c r="X21" i="15" s="1"/>
  <c r="H484" i="15"/>
  <c r="S484" i="15"/>
  <c r="H406" i="15"/>
  <c r="W406" i="15" s="1"/>
  <c r="V406" i="15"/>
  <c r="V402" i="15"/>
  <c r="L402" i="15"/>
  <c r="M402" i="15" s="1"/>
  <c r="N402" i="15" s="1"/>
  <c r="U402" i="15" s="1"/>
  <c r="V391" i="15"/>
  <c r="H391" i="15"/>
  <c r="H372" i="15"/>
  <c r="W372" i="15" s="1"/>
  <c r="H350" i="15"/>
  <c r="W350" i="15" s="1"/>
  <c r="V350" i="15"/>
  <c r="H158" i="15"/>
  <c r="W158" i="15" s="1"/>
  <c r="X158" i="15" s="1"/>
  <c r="V158" i="15"/>
  <c r="H142" i="15"/>
  <c r="W142" i="15" s="1"/>
  <c r="X142" i="15" s="1"/>
  <c r="V142" i="15"/>
  <c r="H79" i="15"/>
  <c r="W79" i="15" s="1"/>
  <c r="X79" i="15" s="1"/>
  <c r="V79" i="15"/>
  <c r="H58" i="15"/>
  <c r="W58" i="15" s="1"/>
  <c r="X58" i="15" s="1"/>
  <c r="V58" i="15"/>
  <c r="N58" i="15"/>
  <c r="H513" i="15"/>
  <c r="L513" i="15" s="1"/>
  <c r="M513" i="15" s="1"/>
  <c r="N513" i="15" s="1"/>
  <c r="T266" i="15"/>
  <c r="T478" i="15"/>
  <c r="X200" i="15"/>
  <c r="L441" i="15"/>
  <c r="X441" i="15" s="1"/>
  <c r="L384" i="15"/>
  <c r="X384" i="15" s="1"/>
  <c r="T78" i="15"/>
  <c r="V17" i="15"/>
  <c r="X262" i="15"/>
  <c r="L245" i="15"/>
  <c r="W245" i="15"/>
  <c r="L302" i="15"/>
  <c r="M302" i="15" s="1"/>
  <c r="N302" i="15" s="1"/>
  <c r="U302" i="15" s="1"/>
  <c r="V495" i="15"/>
  <c r="W495" i="15" s="1"/>
  <c r="X495" i="15" s="1"/>
  <c r="S495" i="15"/>
  <c r="H425" i="15"/>
  <c r="W425" i="15" s="1"/>
  <c r="V425" i="15"/>
  <c r="V417" i="15"/>
  <c r="H417" i="15"/>
  <c r="H409" i="15"/>
  <c r="V409" i="15"/>
  <c r="V394" i="15"/>
  <c r="L394" i="15"/>
  <c r="V382" i="15"/>
  <c r="L382" i="15"/>
  <c r="V176" i="15"/>
  <c r="H176" i="15"/>
  <c r="W176" i="15" s="1"/>
  <c r="X176" i="15" s="1"/>
  <c r="V153" i="15"/>
  <c r="H153" i="15"/>
  <c r="W153" i="15" s="1"/>
  <c r="X153" i="15" s="1"/>
  <c r="N149" i="15"/>
  <c r="U149" i="15" s="1"/>
  <c r="V60" i="15"/>
  <c r="H60" i="15"/>
  <c r="W60" i="15" s="1"/>
  <c r="X60" i="15" s="1"/>
  <c r="V458" i="15"/>
  <c r="V266" i="15"/>
  <c r="V310" i="15"/>
  <c r="T10" i="15"/>
  <c r="T14" i="15"/>
  <c r="T23" i="15"/>
  <c r="T27" i="15"/>
  <c r="N32" i="15"/>
  <c r="T32" i="15" s="1"/>
  <c r="N36" i="15"/>
  <c r="U36" i="15" s="1"/>
  <c r="T40" i="15"/>
  <c r="T44" i="15"/>
  <c r="N75" i="15"/>
  <c r="R75" i="15" s="1"/>
  <c r="V488" i="15"/>
  <c r="W488" i="15" s="1"/>
  <c r="S488" i="15"/>
  <c r="H435" i="15"/>
  <c r="W435" i="15" s="1"/>
  <c r="V435" i="15"/>
  <c r="V343" i="15"/>
  <c r="H343" i="15"/>
  <c r="H76" i="15"/>
  <c r="W76" i="15" s="1"/>
  <c r="X76" i="15" s="1"/>
  <c r="V76" i="15"/>
  <c r="H37" i="15"/>
  <c r="W37" i="15" s="1"/>
  <c r="X37" i="15" s="1"/>
  <c r="N37" i="15"/>
  <c r="T37" i="15" s="1"/>
  <c r="T141" i="15"/>
  <c r="T157" i="15"/>
  <c r="L466" i="15"/>
  <c r="V454" i="15"/>
  <c r="S454" i="15"/>
  <c r="T454" i="15" s="1"/>
  <c r="V270" i="15"/>
  <c r="H270" i="15"/>
  <c r="H248" i="15"/>
  <c r="V248" i="15"/>
  <c r="H189" i="15"/>
  <c r="W189" i="15" s="1"/>
  <c r="X189" i="15" s="1"/>
  <c r="N189" i="15"/>
  <c r="N167" i="15"/>
  <c r="V132" i="15"/>
  <c r="H132" i="15"/>
  <c r="W132" i="15" s="1"/>
  <c r="X132" i="15" s="1"/>
  <c r="N132" i="15"/>
  <c r="V89" i="15"/>
  <c r="H89" i="15"/>
  <c r="W89" i="15" s="1"/>
  <c r="X89" i="15" s="1"/>
  <c r="N89" i="15"/>
  <c r="V63" i="15"/>
  <c r="H63" i="15"/>
  <c r="W63" i="15" s="1"/>
  <c r="X63" i="15" s="1"/>
  <c r="W489" i="15"/>
  <c r="X489" i="15" s="1"/>
  <c r="N54" i="15"/>
  <c r="N76" i="15"/>
  <c r="N82" i="15"/>
  <c r="N142" i="15"/>
  <c r="N150" i="15"/>
  <c r="R150" i="15" s="1"/>
  <c r="T152" i="15"/>
  <c r="N154" i="15"/>
  <c r="R154" i="15" s="1"/>
  <c r="N158" i="15"/>
  <c r="U158" i="15" s="1"/>
  <c r="N160" i="15"/>
  <c r="U160" i="15" s="1"/>
  <c r="N164" i="15"/>
  <c r="T166" i="15"/>
  <c r="N176" i="15"/>
  <c r="U176" i="15" s="1"/>
  <c r="L507" i="15"/>
  <c r="M507" i="15" s="1"/>
  <c r="N507" i="15" s="1"/>
  <c r="N25" i="15"/>
  <c r="N29" i="15"/>
  <c r="N151" i="15"/>
  <c r="U151" i="15" s="1"/>
  <c r="T199" i="15"/>
  <c r="U265" i="15"/>
  <c r="T265" i="15"/>
  <c r="T412" i="15"/>
  <c r="U412" i="15"/>
  <c r="T13" i="15"/>
  <c r="W252" i="15"/>
  <c r="L252" i="15"/>
  <c r="V462" i="15"/>
  <c r="H462" i="15"/>
  <c r="W462" i="15" s="1"/>
  <c r="S462" i="15"/>
  <c r="H358" i="15"/>
  <c r="W358" i="15" s="1"/>
  <c r="V358" i="15"/>
  <c r="V320" i="15"/>
  <c r="H320" i="15"/>
  <c r="H210" i="15"/>
  <c r="W210" i="15" s="1"/>
  <c r="V206" i="15"/>
  <c r="V202" i="15"/>
  <c r="H202" i="15"/>
  <c r="V108" i="15"/>
  <c r="H108" i="15"/>
  <c r="W108" i="15" s="1"/>
  <c r="X108" i="15" s="1"/>
  <c r="M346" i="15"/>
  <c r="N346" i="15" s="1"/>
  <c r="U346" i="15" s="1"/>
  <c r="X326" i="15"/>
  <c r="X366" i="15"/>
  <c r="X266" i="15"/>
  <c r="T80" i="15"/>
  <c r="T42" i="15"/>
  <c r="X217" i="15"/>
  <c r="U98" i="15"/>
  <c r="L369" i="15"/>
  <c r="T134" i="15"/>
  <c r="X207" i="15"/>
  <c r="T301" i="15"/>
  <c r="L201" i="15"/>
  <c r="M201" i="15" s="1"/>
  <c r="N201" i="15" s="1"/>
  <c r="U201" i="15" s="1"/>
  <c r="U34" i="15"/>
  <c r="T410" i="15"/>
  <c r="T119" i="15"/>
  <c r="U101" i="15"/>
  <c r="L352" i="15"/>
  <c r="X352" i="15" s="1"/>
  <c r="T16" i="15"/>
  <c r="X311" i="15"/>
  <c r="L359" i="15"/>
  <c r="M359" i="15" s="1"/>
  <c r="N359" i="15" s="1"/>
  <c r="T359" i="15" s="1"/>
  <c r="W359" i="15"/>
  <c r="V383" i="15"/>
  <c r="T94" i="15"/>
  <c r="T8" i="15"/>
  <c r="T254" i="15"/>
  <c r="W413" i="15"/>
  <c r="L413" i="15"/>
  <c r="U66" i="15"/>
  <c r="R66" i="15"/>
  <c r="W408" i="15"/>
  <c r="L408" i="15"/>
  <c r="W381" i="15"/>
  <c r="L381" i="15"/>
  <c r="M381" i="15" s="1"/>
  <c r="N381" i="15" s="1"/>
  <c r="M458" i="15"/>
  <c r="N458" i="15" s="1"/>
  <c r="U458" i="15" s="1"/>
  <c r="W354" i="15"/>
  <c r="X354" i="15" s="1"/>
  <c r="W208" i="15"/>
  <c r="X208" i="15" s="1"/>
  <c r="U94" i="15"/>
  <c r="X438" i="15"/>
  <c r="R190" i="15"/>
  <c r="R98" i="15"/>
  <c r="U396" i="15"/>
  <c r="T34" i="15"/>
  <c r="T101" i="15"/>
  <c r="X204" i="15"/>
  <c r="L295" i="15"/>
  <c r="M295" i="15" s="1"/>
  <c r="N295" i="15" s="1"/>
  <c r="U295" i="15" s="1"/>
  <c r="W301" i="15"/>
  <c r="X301" i="15" s="1"/>
  <c r="R107" i="15"/>
  <c r="V375" i="15"/>
  <c r="N112" i="15"/>
  <c r="U112" i="15" s="1"/>
  <c r="M220" i="15"/>
  <c r="N220" i="15" s="1"/>
  <c r="X220" i="15"/>
  <c r="V112" i="15"/>
  <c r="T12" i="15"/>
  <c r="W341" i="15"/>
  <c r="L341" i="15"/>
  <c r="M341" i="15" s="1"/>
  <c r="N341" i="15" s="1"/>
  <c r="U341" i="15" s="1"/>
  <c r="X267" i="15"/>
  <c r="L278" i="15"/>
  <c r="M278" i="15" s="1"/>
  <c r="N278" i="15" s="1"/>
  <c r="U278" i="15" s="1"/>
  <c r="X236" i="15"/>
  <c r="U433" i="15"/>
  <c r="W299" i="15"/>
  <c r="X299" i="15" s="1"/>
  <c r="W319" i="15"/>
  <c r="X319" i="15" s="1"/>
  <c r="M196" i="15"/>
  <c r="N196" i="15" s="1"/>
  <c r="U196" i="15" s="1"/>
  <c r="X356" i="15"/>
  <c r="U163" i="15"/>
  <c r="T190" i="15"/>
  <c r="X371" i="15"/>
  <c r="T242" i="15"/>
  <c r="W412" i="15"/>
  <c r="X412" i="15" s="1"/>
  <c r="N18" i="15"/>
  <c r="L349" i="15"/>
  <c r="H18" i="15"/>
  <c r="W18" i="15" s="1"/>
  <c r="X18" i="15" s="1"/>
  <c r="T107" i="15"/>
  <c r="V351" i="15"/>
  <c r="N108" i="15"/>
  <c r="W364" i="15"/>
  <c r="L364" i="15"/>
  <c r="V210" i="15"/>
  <c r="L353" i="15"/>
  <c r="M353" i="15" s="1"/>
  <c r="N353" i="15" s="1"/>
  <c r="W353" i="15"/>
  <c r="H206" i="15"/>
  <c r="W206" i="15" s="1"/>
  <c r="V379" i="15"/>
  <c r="V494" i="15"/>
  <c r="W494" i="15" s="1"/>
  <c r="S494" i="15"/>
  <c r="H487" i="15"/>
  <c r="V487" i="15"/>
  <c r="V465" i="15"/>
  <c r="H465" i="15"/>
  <c r="W465" i="15" s="1"/>
  <c r="V328" i="15"/>
  <c r="H328" i="15"/>
  <c r="V261" i="15"/>
  <c r="H261" i="15"/>
  <c r="V216" i="15"/>
  <c r="H216" i="15"/>
  <c r="L216" i="15" s="1"/>
  <c r="H48" i="15"/>
  <c r="W48" i="15" s="1"/>
  <c r="X48" i="15" s="1"/>
  <c r="V48" i="15"/>
  <c r="V44" i="15"/>
  <c r="H44" i="15"/>
  <c r="W44" i="15" s="1"/>
  <c r="X44" i="15" s="1"/>
  <c r="S469" i="15"/>
  <c r="T203" i="15"/>
  <c r="V247" i="15"/>
  <c r="V442" i="15"/>
  <c r="H442" i="15"/>
  <c r="W442" i="15" s="1"/>
  <c r="H223" i="15"/>
  <c r="W223" i="15" s="1"/>
  <c r="H51" i="15"/>
  <c r="W51" i="15" s="1"/>
  <c r="X51" i="15" s="1"/>
  <c r="V51" i="15"/>
  <c r="T46" i="15"/>
  <c r="T184" i="15"/>
  <c r="X493" i="15"/>
  <c r="H213" i="15"/>
  <c r="S490" i="15"/>
  <c r="V32" i="15"/>
  <c r="V361" i="15"/>
  <c r="L247" i="15"/>
  <c r="S487" i="15"/>
  <c r="L231" i="15"/>
  <c r="W231" i="15"/>
  <c r="W342" i="15"/>
  <c r="X342" i="15" s="1"/>
  <c r="H451" i="15"/>
  <c r="V451" i="15"/>
  <c r="S451" i="15"/>
  <c r="V447" i="15"/>
  <c r="H447" i="15"/>
  <c r="V317" i="15"/>
  <c r="H317" i="15"/>
  <c r="H314" i="15"/>
  <c r="W314" i="15" s="1"/>
  <c r="H195" i="15"/>
  <c r="V195" i="15"/>
  <c r="V144" i="15"/>
  <c r="N144" i="15"/>
  <c r="H144" i="15"/>
  <c r="W144" i="15" s="1"/>
  <c r="X144" i="15" s="1"/>
  <c r="H102" i="15"/>
  <c r="W102" i="15" s="1"/>
  <c r="X102" i="15" s="1"/>
  <c r="V102" i="15"/>
  <c r="N102" i="15"/>
  <c r="V95" i="15"/>
  <c r="N95" i="15"/>
  <c r="D13" i="3"/>
  <c r="W475" i="15"/>
  <c r="T179" i="15"/>
  <c r="L251" i="15"/>
  <c r="T113" i="15"/>
  <c r="T5" i="15"/>
  <c r="N15" i="15"/>
  <c r="T19" i="15"/>
  <c r="N67" i="15"/>
  <c r="N69" i="15"/>
  <c r="R69" i="15" s="1"/>
  <c r="N73" i="15"/>
  <c r="N79" i="15"/>
  <c r="U79" i="15" s="1"/>
  <c r="T140" i="15"/>
  <c r="T495" i="15"/>
  <c r="N74" i="15"/>
  <c r="L411" i="15"/>
  <c r="W411" i="15"/>
  <c r="L351" i="15"/>
  <c r="M351" i="15" s="1"/>
  <c r="N351" i="15" s="1"/>
  <c r="U351" i="15" s="1"/>
  <c r="W351" i="15"/>
  <c r="R105" i="15"/>
  <c r="U366" i="15"/>
  <c r="T366" i="15"/>
  <c r="M319" i="15"/>
  <c r="N319" i="15" s="1"/>
  <c r="U430" i="15"/>
  <c r="T430" i="15"/>
  <c r="U257" i="15"/>
  <c r="T257" i="15"/>
  <c r="U401" i="15"/>
  <c r="T401" i="15"/>
  <c r="M222" i="15"/>
  <c r="N222" i="15" s="1"/>
  <c r="U222" i="15" s="1"/>
  <c r="T260" i="15"/>
  <c r="U260" i="15"/>
  <c r="U169" i="15"/>
  <c r="T169" i="15"/>
  <c r="U437" i="15"/>
  <c r="T437" i="15"/>
  <c r="L455" i="15"/>
  <c r="W455" i="15"/>
  <c r="V344" i="15"/>
  <c r="L334" i="15"/>
  <c r="W334" i="15"/>
  <c r="V264" i="15"/>
  <c r="H264" i="15"/>
  <c r="W264" i="15" s="1"/>
  <c r="H243" i="15"/>
  <c r="W243" i="15" s="1"/>
  <c r="V243" i="15"/>
  <c r="H229" i="15"/>
  <c r="V229" i="15"/>
  <c r="V181" i="15"/>
  <c r="N181" i="15"/>
  <c r="H181" i="15"/>
  <c r="W181" i="15" s="1"/>
  <c r="X181" i="15" s="1"/>
  <c r="V173" i="15"/>
  <c r="N173" i="15"/>
  <c r="L214" i="15"/>
  <c r="R131" i="15"/>
  <c r="U131" i="15"/>
  <c r="T131" i="15"/>
  <c r="H434" i="15"/>
  <c r="W434" i="15" s="1"/>
  <c r="V434" i="15"/>
  <c r="V415" i="15"/>
  <c r="H415" i="15"/>
  <c r="H393" i="15"/>
  <c r="W393" i="15" s="1"/>
  <c r="V393" i="15"/>
  <c r="V387" i="15"/>
  <c r="H387" i="15"/>
  <c r="W387" i="15" s="1"/>
  <c r="H355" i="15"/>
  <c r="W355" i="15" s="1"/>
  <c r="V355" i="15"/>
  <c r="H338" i="15"/>
  <c r="W338" i="15" s="1"/>
  <c r="H303" i="15"/>
  <c r="W303" i="15" s="1"/>
  <c r="V303" i="15"/>
  <c r="V235" i="15"/>
  <c r="H235" i="15"/>
  <c r="T274" i="15"/>
  <c r="T204" i="15"/>
  <c r="T489" i="15"/>
  <c r="T201" i="15"/>
  <c r="X477" i="15"/>
  <c r="U242" i="15"/>
  <c r="X329" i="15"/>
  <c r="U477" i="15"/>
  <c r="M380" i="15"/>
  <c r="N380" i="15" s="1"/>
  <c r="X281" i="15"/>
  <c r="R38" i="15"/>
  <c r="X282" i="15"/>
  <c r="W222" i="15"/>
  <c r="X222" i="15" s="1"/>
  <c r="W260" i="15"/>
  <c r="X260" i="15" s="1"/>
  <c r="M444" i="15"/>
  <c r="N444" i="15" s="1"/>
  <c r="U444" i="15" s="1"/>
  <c r="X285" i="15"/>
  <c r="R166" i="15"/>
  <c r="H423" i="15"/>
  <c r="W423" i="15" s="1"/>
  <c r="X242" i="15"/>
  <c r="W453" i="15"/>
  <c r="L453" i="15"/>
  <c r="L464" i="15"/>
  <c r="U179" i="15"/>
  <c r="W269" i="15"/>
  <c r="L269" i="15"/>
  <c r="R61" i="15"/>
  <c r="T61" i="15"/>
  <c r="W233" i="15"/>
  <c r="L233" i="15"/>
  <c r="T186" i="15"/>
  <c r="U186" i="15"/>
  <c r="H194" i="15"/>
  <c r="W194" i="15" s="1"/>
  <c r="H344" i="15"/>
  <c r="W344" i="15" s="1"/>
  <c r="H268" i="15"/>
  <c r="W268" i="15" s="1"/>
  <c r="T59" i="15"/>
  <c r="U59" i="15"/>
  <c r="R59" i="15"/>
  <c r="M244" i="15"/>
  <c r="N244" i="15" s="1"/>
  <c r="X244" i="15"/>
  <c r="V419" i="15"/>
  <c r="H419" i="15"/>
  <c r="W419" i="15" s="1"/>
  <c r="V347" i="15"/>
  <c r="H347" i="15"/>
  <c r="W347" i="15" s="1"/>
  <c r="H331" i="15"/>
  <c r="W331" i="15" s="1"/>
  <c r="V331" i="15"/>
  <c r="H226" i="15"/>
  <c r="W226" i="15" s="1"/>
  <c r="V226" i="15"/>
  <c r="H191" i="15"/>
  <c r="W191" i="15" s="1"/>
  <c r="X191" i="15" s="1"/>
  <c r="V191" i="15"/>
  <c r="N191" i="15"/>
  <c r="N177" i="15"/>
  <c r="V177" i="15"/>
  <c r="H177" i="15"/>
  <c r="W177" i="15" s="1"/>
  <c r="X177" i="15" s="1"/>
  <c r="V169" i="15"/>
  <c r="H169" i="15"/>
  <c r="W169" i="15" s="1"/>
  <c r="X169" i="15" s="1"/>
  <c r="V105" i="15"/>
  <c r="H105" i="15"/>
  <c r="W105" i="15" s="1"/>
  <c r="X105" i="15" s="1"/>
  <c r="V91" i="15"/>
  <c r="H91" i="15"/>
  <c r="W91" i="15" s="1"/>
  <c r="X91" i="15" s="1"/>
  <c r="H84" i="15"/>
  <c r="W84" i="15" s="1"/>
  <c r="X84" i="15" s="1"/>
  <c r="V84" i="15"/>
  <c r="N84" i="15"/>
  <c r="T496" i="15"/>
  <c r="L373" i="15"/>
  <c r="M373" i="15" s="1"/>
  <c r="N373" i="15" s="1"/>
  <c r="W373" i="15"/>
  <c r="U212" i="15"/>
  <c r="T212" i="15"/>
  <c r="W379" i="15"/>
  <c r="X379" i="15" s="1"/>
  <c r="R60" i="15"/>
  <c r="U60" i="15"/>
  <c r="U137" i="15"/>
  <c r="T137" i="15"/>
  <c r="R137" i="15"/>
  <c r="N162" i="15"/>
  <c r="W298" i="15"/>
  <c r="L298" i="15"/>
  <c r="M298" i="15" s="1"/>
  <c r="N298" i="15" s="1"/>
  <c r="U110" i="15"/>
  <c r="T110" i="15"/>
  <c r="T120" i="15"/>
  <c r="R120" i="15"/>
  <c r="R174" i="15"/>
  <c r="U174" i="15"/>
  <c r="H502" i="15"/>
  <c r="L502" i="15" s="1"/>
  <c r="M502" i="15" s="1"/>
  <c r="N502" i="15" s="1"/>
  <c r="V468" i="15"/>
  <c r="H468" i="15"/>
  <c r="V450" i="15"/>
  <c r="H450" i="15"/>
  <c r="W450" i="15" s="1"/>
  <c r="S450" i="15"/>
  <c r="H403" i="15"/>
  <c r="W403" i="15" s="1"/>
  <c r="V403" i="15"/>
  <c r="H368" i="15"/>
  <c r="W368" i="15" s="1"/>
  <c r="V368" i="15"/>
  <c r="V365" i="15"/>
  <c r="H365" i="15"/>
  <c r="W365" i="15" s="1"/>
  <c r="V360" i="15"/>
  <c r="H360" i="15"/>
  <c r="V306" i="15"/>
  <c r="H306" i="15"/>
  <c r="H275" i="15"/>
  <c r="V275" i="15"/>
  <c r="H271" i="15"/>
  <c r="W271" i="15" s="1"/>
  <c r="V271" i="15"/>
  <c r="H246" i="15"/>
  <c r="W246" i="15" s="1"/>
  <c r="H219" i="15"/>
  <c r="W219" i="15" s="1"/>
  <c r="V219" i="15"/>
  <c r="L215" i="15"/>
  <c r="W215" i="15"/>
  <c r="V209" i="15"/>
  <c r="H209" i="15"/>
  <c r="W209" i="15" s="1"/>
  <c r="V197" i="15"/>
  <c r="H197" i="15"/>
  <c r="W197" i="15" s="1"/>
  <c r="H172" i="15"/>
  <c r="W172" i="15" s="1"/>
  <c r="X172" i="15" s="1"/>
  <c r="N172" i="15"/>
  <c r="V172" i="15"/>
  <c r="H168" i="15"/>
  <c r="W168" i="15" s="1"/>
  <c r="X168" i="15" s="1"/>
  <c r="N168" i="15"/>
  <c r="V168" i="15"/>
  <c r="H35" i="15"/>
  <c r="W35" i="15" s="1"/>
  <c r="X35" i="15" s="1"/>
  <c r="N35" i="15"/>
  <c r="V35" i="15"/>
  <c r="U266" i="15"/>
  <c r="T378" i="15"/>
  <c r="U405" i="15"/>
  <c r="M236" i="15"/>
  <c r="N236" i="15" s="1"/>
  <c r="T236" i="15" s="1"/>
  <c r="U345" i="15"/>
  <c r="X291" i="15"/>
  <c r="T291" i="15"/>
  <c r="X378" i="15"/>
  <c r="X496" i="15"/>
  <c r="M277" i="15"/>
  <c r="N277" i="15" s="1"/>
  <c r="U292" i="15"/>
  <c r="U399" i="15"/>
  <c r="L390" i="15"/>
  <c r="H239" i="15"/>
  <c r="W239" i="15" s="1"/>
  <c r="U285" i="15"/>
  <c r="U51" i="15"/>
  <c r="U38" i="15"/>
  <c r="X437" i="15"/>
  <c r="M241" i="15"/>
  <c r="N241" i="15" s="1"/>
  <c r="U24" i="15"/>
  <c r="T174" i="15"/>
  <c r="M384" i="15"/>
  <c r="N384" i="15" s="1"/>
  <c r="U384" i="15" s="1"/>
  <c r="U397" i="15"/>
  <c r="T397" i="15"/>
  <c r="U6" i="15"/>
  <c r="T6" i="15"/>
  <c r="L287" i="15"/>
  <c r="W287" i="15"/>
  <c r="X370" i="15"/>
  <c r="M370" i="15"/>
  <c r="N370" i="15" s="1"/>
  <c r="T370" i="15" s="1"/>
  <c r="W218" i="15"/>
  <c r="L218" i="15"/>
  <c r="N91" i="15"/>
  <c r="L375" i="15"/>
  <c r="M375" i="15" s="1"/>
  <c r="N375" i="15" s="1"/>
  <c r="W375" i="15"/>
  <c r="H173" i="15"/>
  <c r="W173" i="15" s="1"/>
  <c r="X173" i="15" s="1"/>
  <c r="L480" i="15"/>
  <c r="W480" i="15"/>
  <c r="T126" i="15"/>
  <c r="U126" i="15"/>
  <c r="R126" i="15"/>
  <c r="T395" i="15"/>
  <c r="X345" i="15"/>
  <c r="X310" i="15"/>
  <c r="X422" i="15"/>
  <c r="U182" i="15"/>
  <c r="R185" i="15"/>
  <c r="R134" i="15"/>
  <c r="W292" i="15"/>
  <c r="X292" i="15" s="1"/>
  <c r="T149" i="15"/>
  <c r="M273" i="15"/>
  <c r="N273" i="15" s="1"/>
  <c r="X273" i="15"/>
  <c r="L449" i="15"/>
  <c r="W449" i="15"/>
  <c r="L498" i="15"/>
  <c r="T114" i="15"/>
  <c r="R114" i="15"/>
  <c r="T296" i="15"/>
  <c r="U296" i="15"/>
  <c r="W456" i="15"/>
  <c r="L456" i="15"/>
  <c r="W388" i="15"/>
  <c r="L388" i="15"/>
  <c r="M321" i="15"/>
  <c r="N321" i="15" s="1"/>
  <c r="X321" i="15"/>
  <c r="X427" i="15"/>
  <c r="M427" i="15"/>
  <c r="N427" i="15" s="1"/>
  <c r="T427" i="15" s="1"/>
  <c r="T483" i="15"/>
  <c r="X445" i="15"/>
  <c r="L263" i="15"/>
  <c r="W263" i="15"/>
  <c r="S471" i="15"/>
  <c r="V471" i="15"/>
  <c r="H471" i="15"/>
  <c r="W460" i="15"/>
  <c r="L460" i="15"/>
  <c r="N53" i="15"/>
  <c r="V53" i="15"/>
  <c r="H22" i="15"/>
  <c r="W22" i="15" s="1"/>
  <c r="X22" i="15" s="1"/>
  <c r="N22" i="15"/>
  <c r="L516" i="15"/>
  <c r="M516" i="15" s="1"/>
  <c r="N516" i="15" s="1"/>
  <c r="U148" i="15"/>
  <c r="R148" i="15"/>
  <c r="N145" i="15"/>
  <c r="V145" i="15"/>
  <c r="H145" i="15"/>
  <c r="W145" i="15" s="1"/>
  <c r="X145" i="15" s="1"/>
  <c r="H120" i="15"/>
  <c r="W120" i="15" s="1"/>
  <c r="X120" i="15" s="1"/>
  <c r="V120" i="15"/>
  <c r="V96" i="15"/>
  <c r="H96" i="15"/>
  <c r="W96" i="15" s="1"/>
  <c r="X96" i="15" s="1"/>
  <c r="L504" i="15"/>
  <c r="M504" i="15" s="1"/>
  <c r="N504" i="15" s="1"/>
  <c r="H440" i="15"/>
  <c r="V440" i="15"/>
  <c r="V255" i="15"/>
  <c r="H255" i="15"/>
  <c r="H224" i="15"/>
  <c r="V224" i="15"/>
  <c r="H90" i="15"/>
  <c r="W90" i="15" s="1"/>
  <c r="X90" i="15" s="1"/>
  <c r="N90" i="15"/>
  <c r="V90" i="15"/>
  <c r="H523" i="15"/>
  <c r="L523" i="15" s="1"/>
  <c r="M523" i="15" s="1"/>
  <c r="N523" i="15" s="1"/>
  <c r="X296" i="15"/>
  <c r="L404" i="15"/>
  <c r="X404" i="15" s="1"/>
  <c r="W483" i="15"/>
  <c r="X483" i="15" s="1"/>
  <c r="T66" i="15"/>
  <c r="H459" i="15"/>
  <c r="V459" i="15"/>
  <c r="N117" i="15"/>
  <c r="V117" i="15"/>
  <c r="L517" i="15"/>
  <c r="M517" i="15" s="1"/>
  <c r="N517" i="15" s="1"/>
  <c r="H522" i="15"/>
  <c r="L522" i="15" s="1"/>
  <c r="M522" i="15" s="1"/>
  <c r="N522" i="15" s="1"/>
  <c r="T63" i="15"/>
  <c r="N65" i="15"/>
  <c r="N86" i="15"/>
  <c r="N116" i="15"/>
  <c r="N21" i="15"/>
  <c r="U267" i="15"/>
  <c r="T267" i="15"/>
  <c r="M200" i="15"/>
  <c r="N200" i="15" s="1"/>
  <c r="R57" i="15"/>
  <c r="U57" i="15"/>
  <c r="X357" i="15"/>
  <c r="M357" i="15"/>
  <c r="N357" i="15" s="1"/>
  <c r="X237" i="15"/>
  <c r="M237" i="15"/>
  <c r="N237" i="15" s="1"/>
  <c r="T311" i="15"/>
  <c r="U311" i="15"/>
  <c r="T272" i="15"/>
  <c r="U272" i="15"/>
  <c r="X436" i="15"/>
  <c r="W240" i="15"/>
  <c r="X240" i="15" s="1"/>
  <c r="X227" i="15"/>
  <c r="M227" i="15"/>
  <c r="N227" i="15" s="1"/>
  <c r="W318" i="15"/>
  <c r="L318" i="15"/>
  <c r="T123" i="15"/>
  <c r="U123" i="15"/>
  <c r="R123" i="15"/>
  <c r="M398" i="15"/>
  <c r="N398" i="15" s="1"/>
  <c r="X398" i="15"/>
  <c r="R32" i="15"/>
  <c r="T288" i="15"/>
  <c r="U288" i="15"/>
  <c r="U493" i="15"/>
  <c r="T493" i="15"/>
  <c r="M416" i="15"/>
  <c r="N416" i="15" s="1"/>
  <c r="M407" i="15"/>
  <c r="N407" i="15" s="1"/>
  <c r="X407" i="15"/>
  <c r="U146" i="15"/>
  <c r="R146" i="15"/>
  <c r="T170" i="15"/>
  <c r="R170" i="15"/>
  <c r="U170" i="15"/>
  <c r="R180" i="15"/>
  <c r="U180" i="15"/>
  <c r="T180" i="15"/>
  <c r="M362" i="15"/>
  <c r="N362" i="15" s="1"/>
  <c r="X362" i="15"/>
  <c r="M240" i="15"/>
  <c r="N240" i="15" s="1"/>
  <c r="V424" i="15"/>
  <c r="H424" i="15"/>
  <c r="W424" i="15" s="1"/>
  <c r="F537" i="15"/>
  <c r="W253" i="15"/>
  <c r="L253" i="15"/>
  <c r="T326" i="15"/>
  <c r="T491" i="15"/>
  <c r="T208" i="15"/>
  <c r="U208" i="15"/>
  <c r="U289" i="15"/>
  <c r="T146" i="15"/>
  <c r="U307" i="15"/>
  <c r="U422" i="15"/>
  <c r="M262" i="15"/>
  <c r="N262" i="15" s="1"/>
  <c r="M293" i="15"/>
  <c r="N293" i="15" s="1"/>
  <c r="L431" i="15"/>
  <c r="T446" i="15"/>
  <c r="U446" i="15"/>
  <c r="X304" i="15"/>
  <c r="L286" i="15"/>
  <c r="W286" i="15"/>
  <c r="W249" i="15"/>
  <c r="L249" i="15"/>
  <c r="L426" i="15"/>
  <c r="W426" i="15"/>
  <c r="W340" i="15"/>
  <c r="L340" i="15"/>
  <c r="R96" i="15"/>
  <c r="T96" i="15"/>
  <c r="U96" i="15"/>
  <c r="W193" i="15"/>
  <c r="L193" i="15"/>
  <c r="M421" i="15"/>
  <c r="N421" i="15" s="1"/>
  <c r="U299" i="15"/>
  <c r="T299" i="15"/>
  <c r="X294" i="15"/>
  <c r="M294" i="15"/>
  <c r="N294" i="15" s="1"/>
  <c r="W305" i="15"/>
  <c r="L305" i="15"/>
  <c r="L499" i="15"/>
  <c r="W499" i="15"/>
  <c r="T297" i="15"/>
  <c r="U297" i="15"/>
  <c r="U367" i="15"/>
  <c r="T367" i="15"/>
  <c r="U445" i="15"/>
  <c r="X361" i="15"/>
  <c r="M361" i="15"/>
  <c r="N361" i="15" s="1"/>
  <c r="W312" i="15"/>
  <c r="L312" i="15"/>
  <c r="W6" i="15"/>
  <c r="T386" i="15"/>
  <c r="U386" i="15"/>
  <c r="U329" i="15"/>
  <c r="T310" i="15"/>
  <c r="T354" i="15"/>
  <c r="U354" i="15"/>
  <c r="U438" i="15"/>
  <c r="T438" i="15"/>
  <c r="U432" i="15"/>
  <c r="T432" i="15"/>
  <c r="U282" i="15"/>
  <c r="T282" i="15"/>
  <c r="U207" i="15"/>
  <c r="T207" i="15"/>
  <c r="T371" i="15"/>
  <c r="U371" i="15"/>
  <c r="U304" i="15"/>
  <c r="T304" i="15"/>
  <c r="T400" i="15"/>
  <c r="M452" i="15"/>
  <c r="N452" i="15" s="1"/>
  <c r="X452" i="15"/>
  <c r="U385" i="15"/>
  <c r="T385" i="15"/>
  <c r="T49" i="15"/>
  <c r="U49" i="15"/>
  <c r="X463" i="15"/>
  <c r="M463" i="15"/>
  <c r="N463" i="15" s="1"/>
  <c r="W383" i="15"/>
  <c r="L383" i="15"/>
  <c r="T77" i="15"/>
  <c r="U77" i="15"/>
  <c r="R77" i="15"/>
  <c r="U139" i="15"/>
  <c r="T139" i="15"/>
  <c r="R143" i="15"/>
  <c r="T143" i="15"/>
  <c r="U143" i="15"/>
  <c r="W315" i="15"/>
  <c r="L315" i="15"/>
  <c r="X439" i="15"/>
  <c r="M439" i="15"/>
  <c r="N439" i="15" s="1"/>
  <c r="T155" i="15"/>
  <c r="R155" i="15"/>
  <c r="T363" i="15"/>
  <c r="U363" i="15"/>
  <c r="M379" i="15"/>
  <c r="N379" i="15" s="1"/>
  <c r="M443" i="15"/>
  <c r="N443" i="15" s="1"/>
  <c r="X443" i="15"/>
  <c r="W284" i="15"/>
  <c r="L284" i="15"/>
  <c r="U103" i="15"/>
  <c r="R103" i="15"/>
  <c r="T103" i="15"/>
  <c r="T125" i="15"/>
  <c r="U125" i="15"/>
  <c r="X272" i="15"/>
  <c r="T70" i="15"/>
  <c r="R70" i="15"/>
  <c r="L472" i="15"/>
  <c r="W472" i="15"/>
  <c r="M234" i="15"/>
  <c r="N234" i="15" s="1"/>
  <c r="X234" i="15"/>
  <c r="T222" i="15"/>
  <c r="M414" i="15"/>
  <c r="N414" i="15" s="1"/>
  <c r="L457" i="15"/>
  <c r="W396" i="15"/>
  <c r="X396" i="15" s="1"/>
  <c r="U11" i="15"/>
  <c r="U114" i="15"/>
  <c r="W421" i="15"/>
  <c r="X421" i="15" s="1"/>
  <c r="L225" i="15"/>
  <c r="W225" i="15"/>
  <c r="X363" i="15"/>
  <c r="U135" i="15"/>
  <c r="T135" i="15"/>
  <c r="L339" i="15"/>
  <c r="W339" i="15"/>
  <c r="W228" i="15"/>
  <c r="L228" i="15"/>
  <c r="U10" i="15"/>
  <c r="X410" i="15"/>
  <c r="U83" i="15"/>
  <c r="R83" i="15"/>
  <c r="W205" i="15"/>
  <c r="L205" i="15"/>
  <c r="L259" i="15"/>
  <c r="R68" i="15"/>
  <c r="T68" i="15"/>
  <c r="L230" i="15"/>
  <c r="T467" i="15"/>
  <c r="X274" i="15"/>
  <c r="L494" i="15"/>
  <c r="H428" i="15"/>
  <c r="W428" i="15" s="1"/>
  <c r="T482" i="15"/>
  <c r="H106" i="15"/>
  <c r="W106" i="15" s="1"/>
  <c r="X106" i="15" s="1"/>
  <c r="N106" i="15"/>
  <c r="H492" i="15"/>
  <c r="W492" i="15" s="1"/>
  <c r="H474" i="15"/>
  <c r="W474" i="15" s="1"/>
  <c r="N133" i="15"/>
  <c r="H88" i="15"/>
  <c r="W88" i="15" s="1"/>
  <c r="X88" i="15" s="1"/>
  <c r="N88" i="15"/>
  <c r="L524" i="15"/>
  <c r="M524" i="15" s="1"/>
  <c r="N524" i="15" s="1"/>
  <c r="H256" i="15"/>
  <c r="W256" i="15" s="1"/>
  <c r="L476" i="15"/>
  <c r="S476" i="15"/>
  <c r="L327" i="15"/>
  <c r="V99" i="15"/>
  <c r="N99" i="15"/>
  <c r="H511" i="15"/>
  <c r="L511" i="15" s="1"/>
  <c r="M511" i="15" s="1"/>
  <c r="N511" i="15" s="1"/>
  <c r="H509" i="15"/>
  <c r="L509" i="15" s="1"/>
  <c r="M509" i="15" s="1"/>
  <c r="N509" i="15" s="1"/>
  <c r="L473" i="15"/>
  <c r="L528" i="15"/>
  <c r="M528" i="15" s="1"/>
  <c r="N528" i="15" s="1"/>
  <c r="H525" i="15"/>
  <c r="L525" i="15" s="1"/>
  <c r="M525" i="15" s="1"/>
  <c r="N525" i="15" s="1"/>
  <c r="L520" i="15"/>
  <c r="M520" i="15" s="1"/>
  <c r="N520" i="15" s="1"/>
  <c r="H519" i="15"/>
  <c r="L519" i="15" s="1"/>
  <c r="M519" i="15" s="1"/>
  <c r="N519" i="15" s="1"/>
  <c r="H529" i="15"/>
  <c r="L529" i="15" s="1"/>
  <c r="M529" i="15" s="1"/>
  <c r="N529" i="15" s="1"/>
  <c r="H521" i="15"/>
  <c r="L521" i="15" s="1"/>
  <c r="M521" i="15" s="1"/>
  <c r="N521" i="15" s="1"/>
  <c r="Y287" i="10"/>
  <c r="T336" i="10"/>
  <c r="U336" i="10"/>
  <c r="U216" i="10"/>
  <c r="T216" i="10"/>
  <c r="T226" i="10"/>
  <c r="U274" i="10"/>
  <c r="T299" i="10"/>
  <c r="U299" i="10"/>
  <c r="U180" i="10"/>
  <c r="T180" i="10"/>
  <c r="U144" i="10"/>
  <c r="T144" i="10"/>
  <c r="W263" i="10"/>
  <c r="L263" i="10"/>
  <c r="X185" i="10"/>
  <c r="F378" i="10"/>
  <c r="N9" i="10"/>
  <c r="N30" i="10"/>
  <c r="T30" i="10" s="1"/>
  <c r="H30" i="10"/>
  <c r="W30" i="10" s="1"/>
  <c r="X30" i="10" s="1"/>
  <c r="N78" i="10"/>
  <c r="H78" i="10"/>
  <c r="W78" i="10" s="1"/>
  <c r="X78" i="10" s="1"/>
  <c r="V78" i="10"/>
  <c r="N113" i="10"/>
  <c r="H113" i="10"/>
  <c r="W113" i="10" s="1"/>
  <c r="X113" i="10" s="1"/>
  <c r="V113" i="10"/>
  <c r="V123" i="10"/>
  <c r="N123" i="10"/>
  <c r="H123" i="10"/>
  <c r="W123" i="10" s="1"/>
  <c r="X123" i="10" s="1"/>
  <c r="V128" i="10"/>
  <c r="H128" i="10"/>
  <c r="W128" i="10" s="1"/>
  <c r="X128" i="10" s="1"/>
  <c r="N128" i="10"/>
  <c r="N132" i="10"/>
  <c r="V132" i="10"/>
  <c r="H132" i="10"/>
  <c r="W132" i="10" s="1"/>
  <c r="X132" i="10" s="1"/>
  <c r="V167" i="10"/>
  <c r="H167" i="10"/>
  <c r="W167" i="10" s="1"/>
  <c r="H170" i="10"/>
  <c r="V170" i="10"/>
  <c r="H173" i="10"/>
  <c r="W173" i="10" s="1"/>
  <c r="L203" i="10"/>
  <c r="H231" i="10"/>
  <c r="W231" i="10" s="1"/>
  <c r="V231" i="10"/>
  <c r="W303" i="10"/>
  <c r="L303" i="10"/>
  <c r="H325" i="10"/>
  <c r="S325" i="10"/>
  <c r="V325" i="10"/>
  <c r="H329" i="10"/>
  <c r="S329" i="10"/>
  <c r="V329" i="10"/>
  <c r="T182" i="10"/>
  <c r="X274" i="10"/>
  <c r="T94" i="10"/>
  <c r="X229" i="10"/>
  <c r="M229" i="10"/>
  <c r="N229" i="10" s="1"/>
  <c r="Y215" i="10"/>
  <c r="M215" i="10"/>
  <c r="N215" i="10" s="1"/>
  <c r="U91" i="10"/>
  <c r="R91" i="10"/>
  <c r="T148" i="10"/>
  <c r="R154" i="10"/>
  <c r="U154" i="10"/>
  <c r="M169" i="10"/>
  <c r="N169" i="10" s="1"/>
  <c r="X228" i="10"/>
  <c r="M228" i="10"/>
  <c r="N228" i="10" s="1"/>
  <c r="M338" i="10"/>
  <c r="N338" i="10" s="1"/>
  <c r="H195" i="10"/>
  <c r="W195" i="10" s="1"/>
  <c r="W179" i="10"/>
  <c r="W7" i="10"/>
  <c r="W262" i="10"/>
  <c r="L262" i="10"/>
  <c r="R133" i="10"/>
  <c r="L252" i="10"/>
  <c r="H9" i="10"/>
  <c r="W9" i="10" s="1"/>
  <c r="X9" i="10" s="1"/>
  <c r="T357" i="10"/>
  <c r="R144" i="10"/>
  <c r="M289" i="10"/>
  <c r="N289" i="10" s="1"/>
  <c r="Y222" i="10"/>
  <c r="M222" i="10"/>
  <c r="N222" i="10" s="1"/>
  <c r="M268" i="10"/>
  <c r="N268" i="10" s="1"/>
  <c r="L351" i="10"/>
  <c r="L328" i="10"/>
  <c r="W328" i="10"/>
  <c r="W307" i="10"/>
  <c r="L307" i="10"/>
  <c r="L232" i="10"/>
  <c r="W232" i="10"/>
  <c r="W294" i="10"/>
  <c r="L294" i="10"/>
  <c r="T89" i="10"/>
  <c r="U89" i="10"/>
  <c r="W288" i="10"/>
  <c r="L288" i="10"/>
  <c r="L361" i="10"/>
  <c r="W361" i="10"/>
  <c r="U69" i="10"/>
  <c r="N80" i="10"/>
  <c r="H80" i="10"/>
  <c r="W80" i="10" s="1"/>
  <c r="X80" i="10" s="1"/>
  <c r="M218" i="10"/>
  <c r="N218" i="10" s="1"/>
  <c r="W210" i="10"/>
  <c r="L210" i="10"/>
  <c r="M176" i="10"/>
  <c r="N176" i="10" s="1"/>
  <c r="W345" i="10"/>
  <c r="W317" i="10"/>
  <c r="L317" i="10"/>
  <c r="N124" i="10"/>
  <c r="H63" i="10"/>
  <c r="W63" i="10" s="1"/>
  <c r="X63" i="10" s="1"/>
  <c r="N63" i="10"/>
  <c r="V320" i="10"/>
  <c r="V74" i="10"/>
  <c r="H332" i="10"/>
  <c r="V34" i="10"/>
  <c r="N58" i="10"/>
  <c r="H58" i="10"/>
  <c r="W58" i="10" s="1"/>
  <c r="X58" i="10" s="1"/>
  <c r="N27" i="10"/>
  <c r="L199" i="10"/>
  <c r="L353" i="10"/>
  <c r="N26" i="10"/>
  <c r="N38" i="10"/>
  <c r="X55" i="9" l="1"/>
  <c r="U122" i="16"/>
  <c r="R31" i="16"/>
  <c r="X220" i="16"/>
  <c r="U128" i="16"/>
  <c r="U172" i="16"/>
  <c r="X6" i="8"/>
  <c r="R160" i="10"/>
  <c r="U160" i="10"/>
  <c r="T151" i="10"/>
  <c r="L320" i="10"/>
  <c r="T69" i="10"/>
  <c r="L372" i="15"/>
  <c r="X264" i="10"/>
  <c r="U165" i="16"/>
  <c r="X223" i="16"/>
  <c r="L242" i="16"/>
  <c r="X242" i="16" s="1"/>
  <c r="W216" i="9"/>
  <c r="U244" i="13"/>
  <c r="T244" i="13"/>
  <c r="U193" i="13"/>
  <c r="T193" i="13"/>
  <c r="X273" i="13"/>
  <c r="M273" i="13"/>
  <c r="N273" i="13" s="1"/>
  <c r="T141" i="16"/>
  <c r="X330" i="16"/>
  <c r="U6" i="8"/>
  <c r="T6" i="8"/>
  <c r="M303" i="13"/>
  <c r="N303" i="13" s="1"/>
  <c r="X303" i="13"/>
  <c r="W92" i="9"/>
  <c r="L92" i="9"/>
  <c r="M124" i="9"/>
  <c r="N124" i="9" s="1"/>
  <c r="X124" i="9"/>
  <c r="M52" i="13"/>
  <c r="N52" i="13" s="1"/>
  <c r="X52" i="13"/>
  <c r="X280" i="13"/>
  <c r="G26" i="3"/>
  <c r="H26" i="3" s="1"/>
  <c r="F11" i="2"/>
  <c r="U9" i="9"/>
  <c r="T9" i="9"/>
  <c r="W165" i="10"/>
  <c r="R137" i="10"/>
  <c r="Y253" i="10"/>
  <c r="U67" i="16"/>
  <c r="L148" i="9"/>
  <c r="D31" i="3"/>
  <c r="M169" i="14"/>
  <c r="N169" i="14" s="1"/>
  <c r="X169" i="14"/>
  <c r="M206" i="13"/>
  <c r="N206" i="13" s="1"/>
  <c r="X206" i="13"/>
  <c r="M139" i="14"/>
  <c r="N139" i="14" s="1"/>
  <c r="X139" i="14"/>
  <c r="M309" i="13"/>
  <c r="N309" i="13" s="1"/>
  <c r="X309" i="13"/>
  <c r="U136" i="10"/>
  <c r="T60" i="10"/>
  <c r="X268" i="10"/>
  <c r="Y269" i="10"/>
  <c r="X331" i="10"/>
  <c r="W300" i="10"/>
  <c r="Y338" i="13"/>
  <c r="R141" i="16"/>
  <c r="L229" i="16"/>
  <c r="L285" i="16"/>
  <c r="X108" i="9"/>
  <c r="X67" i="13"/>
  <c r="T116" i="10"/>
  <c r="X288" i="13"/>
  <c r="M288" i="13"/>
  <c r="N288" i="13" s="1"/>
  <c r="M152" i="14"/>
  <c r="N152" i="14" s="1"/>
  <c r="X152" i="14"/>
  <c r="X148" i="14"/>
  <c r="M148" i="14"/>
  <c r="N148" i="14" s="1"/>
  <c r="W457" i="16"/>
  <c r="X457" i="16" s="1"/>
  <c r="M70" i="13"/>
  <c r="N70" i="13" s="1"/>
  <c r="X70" i="13"/>
  <c r="U276" i="13"/>
  <c r="T276" i="13"/>
  <c r="T160" i="15"/>
  <c r="W6" i="6"/>
  <c r="W7" i="6" s="1"/>
  <c r="X5" i="6"/>
  <c r="X357" i="13"/>
  <c r="H25" i="3"/>
  <c r="I25" i="3" s="1"/>
  <c r="M212" i="13"/>
  <c r="N212" i="13" s="1"/>
  <c r="X212" i="13"/>
  <c r="M171" i="10"/>
  <c r="N171" i="10" s="1"/>
  <c r="L462" i="15"/>
  <c r="U150" i="15"/>
  <c r="W336" i="10"/>
  <c r="Y336" i="10" s="1"/>
  <c r="T159" i="10"/>
  <c r="U127" i="10"/>
  <c r="U95" i="10"/>
  <c r="L178" i="13"/>
  <c r="R9" i="16"/>
  <c r="R138" i="16"/>
  <c r="T104" i="16"/>
  <c r="T153" i="16"/>
  <c r="X165" i="9"/>
  <c r="L60" i="9"/>
  <c r="X96" i="9"/>
  <c r="U238" i="13"/>
  <c r="T238" i="13"/>
  <c r="T84" i="14"/>
  <c r="R84" i="14"/>
  <c r="U84" i="14"/>
  <c r="M297" i="13"/>
  <c r="N297" i="13" s="1"/>
  <c r="X297" i="13"/>
  <c r="M309" i="15"/>
  <c r="N309" i="15" s="1"/>
  <c r="L69" i="9"/>
  <c r="G9" i="3"/>
  <c r="F3" i="2"/>
  <c r="Y283" i="13"/>
  <c r="R102" i="16"/>
  <c r="R13" i="16"/>
  <c r="U138" i="16"/>
  <c r="X56" i="9"/>
  <c r="L221" i="9"/>
  <c r="M221" i="9" s="1"/>
  <c r="N221" i="9" s="1"/>
  <c r="M363" i="13"/>
  <c r="N363" i="13" s="1"/>
  <c r="X363" i="13"/>
  <c r="Y273" i="13"/>
  <c r="L235" i="10"/>
  <c r="M235" i="10" s="1"/>
  <c r="N235" i="10" s="1"/>
  <c r="Y319" i="13"/>
  <c r="X319" i="13"/>
  <c r="L350" i="13"/>
  <c r="X222" i="13"/>
  <c r="Y244" i="13"/>
  <c r="T283" i="15"/>
  <c r="R76" i="10"/>
  <c r="Y218" i="10"/>
  <c r="U486" i="15"/>
  <c r="T154" i="15"/>
  <c r="T295" i="15"/>
  <c r="T290" i="15"/>
  <c r="X254" i="15"/>
  <c r="T217" i="15"/>
  <c r="W270" i="10"/>
  <c r="X374" i="15"/>
  <c r="T85" i="10"/>
  <c r="L175" i="13"/>
  <c r="U366" i="13"/>
  <c r="V46" i="17"/>
  <c r="L272" i="16"/>
  <c r="M272" i="16" s="1"/>
  <c r="N272" i="16" s="1"/>
  <c r="T134" i="16"/>
  <c r="U134" i="16"/>
  <c r="L109" i="9"/>
  <c r="T13" i="9"/>
  <c r="W211" i="9"/>
  <c r="R116" i="13"/>
  <c r="T116" i="13"/>
  <c r="U116" i="13"/>
  <c r="T214" i="13"/>
  <c r="U214" i="13"/>
  <c r="M253" i="13"/>
  <c r="N253" i="13" s="1"/>
  <c r="X253" i="13"/>
  <c r="U222" i="13"/>
  <c r="T222" i="13"/>
  <c r="X245" i="13"/>
  <c r="Y245" i="13"/>
  <c r="U18" i="14"/>
  <c r="T18" i="14"/>
  <c r="R18" i="14"/>
  <c r="U67" i="13"/>
  <c r="T67" i="13"/>
  <c r="R67" i="13"/>
  <c r="U89" i="13"/>
  <c r="T89" i="13"/>
  <c r="R89" i="13"/>
  <c r="U162" i="13"/>
  <c r="T162" i="13"/>
  <c r="M142" i="14"/>
  <c r="N142" i="14" s="1"/>
  <c r="X142" i="14"/>
  <c r="X329" i="13"/>
  <c r="L143" i="9"/>
  <c r="X143" i="9" s="1"/>
  <c r="L150" i="9"/>
  <c r="Y373" i="13"/>
  <c r="X373" i="13"/>
  <c r="W295" i="16"/>
  <c r="L295" i="16"/>
  <c r="T5" i="14"/>
  <c r="U5" i="14"/>
  <c r="U152" i="15"/>
  <c r="R152" i="15"/>
  <c r="W18" i="11"/>
  <c r="W19" i="11" s="1"/>
  <c r="X6" i="11"/>
  <c r="U246" i="13"/>
  <c r="T246" i="13"/>
  <c r="X296" i="10"/>
  <c r="U31" i="16"/>
  <c r="L348" i="16"/>
  <c r="M348" i="16" s="1"/>
  <c r="N348" i="16" s="1"/>
  <c r="X171" i="9"/>
  <c r="L185" i="9"/>
  <c r="M185" i="9" s="1"/>
  <c r="N185" i="9" s="1"/>
  <c r="U185" i="9" s="1"/>
  <c r="R7" i="7"/>
  <c r="W7" i="7"/>
  <c r="X7" i="7" s="1"/>
  <c r="I26" i="3"/>
  <c r="M258" i="13"/>
  <c r="N258" i="13" s="1"/>
  <c r="X258" i="13"/>
  <c r="Y239" i="13"/>
  <c r="R112" i="15"/>
  <c r="X400" i="15"/>
  <c r="T112" i="15"/>
  <c r="U359" i="15"/>
  <c r="W216" i="15"/>
  <c r="L434" i="15"/>
  <c r="L264" i="15"/>
  <c r="X199" i="15"/>
  <c r="T36" i="15"/>
  <c r="X298" i="15"/>
  <c r="M258" i="15"/>
  <c r="N258" i="15" s="1"/>
  <c r="U60" i="17"/>
  <c r="X456" i="16"/>
  <c r="Y340" i="10"/>
  <c r="X333" i="10"/>
  <c r="X211" i="9"/>
  <c r="W10" i="8"/>
  <c r="M6" i="6"/>
  <c r="N5" i="6"/>
  <c r="U8" i="5"/>
  <c r="C14" i="3"/>
  <c r="X377" i="16"/>
  <c r="E14" i="3"/>
  <c r="E17" i="3" s="1"/>
  <c r="U166" i="16"/>
  <c r="R41" i="16"/>
  <c r="U142" i="16"/>
  <c r="U381" i="16"/>
  <c r="U387" i="16"/>
  <c r="T51" i="16"/>
  <c r="T14" i="16"/>
  <c r="R19" i="16"/>
  <c r="R35" i="16"/>
  <c r="U332" i="16"/>
  <c r="T169" i="16"/>
  <c r="X381" i="16"/>
  <c r="X326" i="16"/>
  <c r="L271" i="16"/>
  <c r="M271" i="16" s="1"/>
  <c r="N271" i="16" s="1"/>
  <c r="X423" i="16"/>
  <c r="X317" i="16"/>
  <c r="L418" i="16"/>
  <c r="M418" i="16" s="1"/>
  <c r="N418" i="16" s="1"/>
  <c r="U418" i="16" s="1"/>
  <c r="L257" i="16"/>
  <c r="R155" i="16"/>
  <c r="L367" i="16"/>
  <c r="W367" i="16"/>
  <c r="L321" i="16"/>
  <c r="M321" i="16" s="1"/>
  <c r="N321" i="16" s="1"/>
  <c r="W321" i="16"/>
  <c r="L385" i="16"/>
  <c r="T41" i="16"/>
  <c r="U102" i="16"/>
  <c r="L196" i="16"/>
  <c r="M196" i="16" s="1"/>
  <c r="N196" i="16" s="1"/>
  <c r="T200" i="16"/>
  <c r="M216" i="16"/>
  <c r="N216" i="16" s="1"/>
  <c r="U216" i="16" s="1"/>
  <c r="R158" i="16"/>
  <c r="T151" i="16"/>
  <c r="L446" i="16"/>
  <c r="U169" i="16"/>
  <c r="T377" i="16"/>
  <c r="U155" i="16"/>
  <c r="U131" i="16"/>
  <c r="R131" i="16"/>
  <c r="T131" i="16"/>
  <c r="U36" i="16"/>
  <c r="R36" i="16"/>
  <c r="T106" i="16"/>
  <c r="U106" i="16"/>
  <c r="R106" i="16"/>
  <c r="L374" i="16"/>
  <c r="M374" i="16" s="1"/>
  <c r="N374" i="16" s="1"/>
  <c r="U9" i="16"/>
  <c r="X209" i="16"/>
  <c r="R151" i="16"/>
  <c r="T75" i="16"/>
  <c r="T158" i="16"/>
  <c r="R10" i="16"/>
  <c r="L190" i="16"/>
  <c r="L403" i="16"/>
  <c r="M403" i="16" s="1"/>
  <c r="N403" i="16" s="1"/>
  <c r="U403" i="16" s="1"/>
  <c r="L391" i="16"/>
  <c r="M391" i="16" s="1"/>
  <c r="N391" i="16" s="1"/>
  <c r="U55" i="16"/>
  <c r="T55" i="16"/>
  <c r="R55" i="16"/>
  <c r="M343" i="16"/>
  <c r="N343" i="16" s="1"/>
  <c r="X343" i="16"/>
  <c r="L363" i="16"/>
  <c r="W212" i="9"/>
  <c r="X212" i="9" s="1"/>
  <c r="X53" i="9"/>
  <c r="M53" i="9"/>
  <c r="N53" i="9" s="1"/>
  <c r="M121" i="9"/>
  <c r="N121" i="9" s="1"/>
  <c r="X121" i="9"/>
  <c r="U208" i="9"/>
  <c r="T190" i="9"/>
  <c r="T211" i="9"/>
  <c r="R23" i="9"/>
  <c r="T106" i="9"/>
  <c r="T8" i="9"/>
  <c r="X73" i="9"/>
  <c r="T185" i="9"/>
  <c r="L183" i="9"/>
  <c r="U40" i="9"/>
  <c r="T40" i="9"/>
  <c r="M196" i="9"/>
  <c r="N196" i="9" s="1"/>
  <c r="X196" i="9"/>
  <c r="X77" i="9"/>
  <c r="M77" i="9"/>
  <c r="N77" i="9" s="1"/>
  <c r="M141" i="9"/>
  <c r="N141" i="9" s="1"/>
  <c r="X141" i="9"/>
  <c r="X168" i="9"/>
  <c r="M168" i="9"/>
  <c r="N168" i="9" s="1"/>
  <c r="U22" i="9"/>
  <c r="T22" i="9"/>
  <c r="R22" i="9"/>
  <c r="L178" i="9"/>
  <c r="T115" i="9"/>
  <c r="U115" i="9"/>
  <c r="U96" i="9"/>
  <c r="T96" i="9"/>
  <c r="W158" i="9"/>
  <c r="L158" i="9"/>
  <c r="X189" i="9"/>
  <c r="W140" i="9"/>
  <c r="L140" i="9"/>
  <c r="W175" i="9"/>
  <c r="L175" i="9"/>
  <c r="X129" i="9"/>
  <c r="M129" i="9"/>
  <c r="N129" i="9" s="1"/>
  <c r="W127" i="9"/>
  <c r="L127" i="9"/>
  <c r="M85" i="9"/>
  <c r="N85" i="9" s="1"/>
  <c r="X85" i="9"/>
  <c r="W162" i="9"/>
  <c r="L162" i="9"/>
  <c r="M148" i="9"/>
  <c r="N148" i="9" s="1"/>
  <c r="X148" i="9"/>
  <c r="X190" i="9"/>
  <c r="U39" i="9"/>
  <c r="T39" i="9"/>
  <c r="R39" i="9"/>
  <c r="T32" i="9"/>
  <c r="R32" i="9"/>
  <c r="U32" i="9"/>
  <c r="U102" i="9"/>
  <c r="T102" i="9"/>
  <c r="W198" i="9"/>
  <c r="L198" i="9"/>
  <c r="T24" i="9"/>
  <c r="R24" i="9"/>
  <c r="U24" i="9"/>
  <c r="X150" i="9"/>
  <c r="M150" i="9"/>
  <c r="N150" i="9" s="1"/>
  <c r="X137" i="9"/>
  <c r="M137" i="9"/>
  <c r="N137" i="9" s="1"/>
  <c r="L131" i="9"/>
  <c r="M131" i="9" s="1"/>
  <c r="N131" i="9" s="1"/>
  <c r="W131" i="9"/>
  <c r="U73" i="9"/>
  <c r="T73" i="9"/>
  <c r="M146" i="9"/>
  <c r="N146" i="9" s="1"/>
  <c r="X146" i="9"/>
  <c r="X100" i="9"/>
  <c r="W204" i="9"/>
  <c r="X204" i="9" s="1"/>
  <c r="M135" i="9"/>
  <c r="N135" i="9" s="1"/>
  <c r="L164" i="9"/>
  <c r="X164" i="9" s="1"/>
  <c r="T156" i="9"/>
  <c r="T23" i="9"/>
  <c r="L118" i="9"/>
  <c r="X134" i="9"/>
  <c r="R8" i="9"/>
  <c r="T5" i="9"/>
  <c r="T31" i="9"/>
  <c r="U31" i="9"/>
  <c r="R31" i="9"/>
  <c r="W67" i="9"/>
  <c r="L67" i="9"/>
  <c r="L189" i="9"/>
  <c r="M189" i="9" s="1"/>
  <c r="N189" i="9" s="1"/>
  <c r="W58" i="9"/>
  <c r="L58" i="9"/>
  <c r="L75" i="9"/>
  <c r="W75" i="9"/>
  <c r="W144" i="9"/>
  <c r="L144" i="9"/>
  <c r="L99" i="9"/>
  <c r="L105" i="9"/>
  <c r="M212" i="9"/>
  <c r="N212" i="9" s="1"/>
  <c r="T212" i="9" s="1"/>
  <c r="M192" i="9"/>
  <c r="N192" i="9" s="1"/>
  <c r="X192" i="9"/>
  <c r="U15" i="9"/>
  <c r="T15" i="9"/>
  <c r="R15" i="9"/>
  <c r="N161" i="9"/>
  <c r="L142" i="9"/>
  <c r="W142" i="9"/>
  <c r="M111" i="9"/>
  <c r="N111" i="9" s="1"/>
  <c r="X111" i="9"/>
  <c r="T103" i="9"/>
  <c r="U103" i="9"/>
  <c r="X197" i="9"/>
  <c r="M197" i="9"/>
  <c r="N197" i="9" s="1"/>
  <c r="X110" i="9"/>
  <c r="M110" i="9"/>
  <c r="N110" i="9" s="1"/>
  <c r="X103" i="9"/>
  <c r="W187" i="9"/>
  <c r="L187" i="9"/>
  <c r="L147" i="9"/>
  <c r="W147" i="9"/>
  <c r="X95" i="9"/>
  <c r="M95" i="9"/>
  <c r="N95" i="9" s="1"/>
  <c r="U165" i="9"/>
  <c r="T165" i="9"/>
  <c r="M123" i="9"/>
  <c r="N123" i="9" s="1"/>
  <c r="X123" i="9"/>
  <c r="U181" i="9"/>
  <c r="T181" i="9"/>
  <c r="X160" i="9"/>
  <c r="M160" i="9"/>
  <c r="N160" i="9" s="1"/>
  <c r="U37" i="9"/>
  <c r="R37" i="9"/>
  <c r="X209" i="9"/>
  <c r="M133" i="9"/>
  <c r="N133" i="9" s="1"/>
  <c r="X133" i="9"/>
  <c r="M166" i="9"/>
  <c r="N166" i="9" s="1"/>
  <c r="X166" i="9"/>
  <c r="U29" i="9"/>
  <c r="T29" i="9"/>
  <c r="R29" i="9"/>
  <c r="X157" i="9"/>
  <c r="M157" i="9"/>
  <c r="N157" i="9" s="1"/>
  <c r="L155" i="9"/>
  <c r="L94" i="9"/>
  <c r="W94" i="9"/>
  <c r="R14" i="9"/>
  <c r="U14" i="9"/>
  <c r="T14" i="9"/>
  <c r="T176" i="9"/>
  <c r="U176" i="9"/>
  <c r="L191" i="9"/>
  <c r="W191" i="9"/>
  <c r="M173" i="9"/>
  <c r="N173" i="9" s="1"/>
  <c r="X173" i="9"/>
  <c r="M143" i="9"/>
  <c r="N143" i="9" s="1"/>
  <c r="U134" i="9"/>
  <c r="T134" i="9"/>
  <c r="M79" i="9"/>
  <c r="N79" i="9" s="1"/>
  <c r="X79" i="9"/>
  <c r="L210" i="9"/>
  <c r="W210" i="9"/>
  <c r="W63" i="9"/>
  <c r="L63" i="9"/>
  <c r="X184" i="9"/>
  <c r="M184" i="9"/>
  <c r="N184" i="9" s="1"/>
  <c r="M90" i="9"/>
  <c r="N90" i="9" s="1"/>
  <c r="X90" i="9"/>
  <c r="U174" i="9"/>
  <c r="T174" i="9"/>
  <c r="M209" i="9"/>
  <c r="N209" i="9" s="1"/>
  <c r="U209" i="9" s="1"/>
  <c r="T37" i="9"/>
  <c r="W156" i="9"/>
  <c r="X156" i="9" s="1"/>
  <c r="X98" i="9"/>
  <c r="M98" i="9"/>
  <c r="N98" i="9" s="1"/>
  <c r="R26" i="9"/>
  <c r="T26" i="9"/>
  <c r="U26" i="9"/>
  <c r="M118" i="9"/>
  <c r="N118" i="9" s="1"/>
  <c r="X118" i="9"/>
  <c r="X130" i="9"/>
  <c r="M130" i="9"/>
  <c r="N130" i="9" s="1"/>
  <c r="L80" i="9"/>
  <c r="M80" i="9" s="1"/>
  <c r="N80" i="9" s="1"/>
  <c r="W80" i="9"/>
  <c r="L74" i="9"/>
  <c r="L72" i="9"/>
  <c r="W172" i="9"/>
  <c r="L172" i="9"/>
  <c r="U70" i="9"/>
  <c r="T70" i="9"/>
  <c r="U169" i="9"/>
  <c r="T169" i="9"/>
  <c r="M154" i="9"/>
  <c r="N154" i="9" s="1"/>
  <c r="X154" i="9"/>
  <c r="L152" i="9"/>
  <c r="X52" i="9"/>
  <c r="M52" i="9"/>
  <c r="N52" i="9" s="1"/>
  <c r="X128" i="9"/>
  <c r="X78" i="9"/>
  <c r="X310" i="16"/>
  <c r="U344" i="16"/>
  <c r="T344" i="16"/>
  <c r="M457" i="16"/>
  <c r="N457" i="16" s="1"/>
  <c r="T348" i="16"/>
  <c r="U348" i="16"/>
  <c r="T294" i="16"/>
  <c r="M242" i="16"/>
  <c r="N242" i="16" s="1"/>
  <c r="U242" i="16" s="1"/>
  <c r="X448" i="16"/>
  <c r="M427" i="16"/>
  <c r="N427" i="16" s="1"/>
  <c r="L291" i="16"/>
  <c r="L203" i="16"/>
  <c r="M203" i="16" s="1"/>
  <c r="N203" i="16" s="1"/>
  <c r="L340" i="16"/>
  <c r="R145" i="16"/>
  <c r="R165" i="16"/>
  <c r="T403" i="16"/>
  <c r="U62" i="16"/>
  <c r="R62" i="16"/>
  <c r="W284" i="16"/>
  <c r="L284" i="16"/>
  <c r="W278" i="16"/>
  <c r="L278" i="16"/>
  <c r="R101" i="16"/>
  <c r="T101" i="16"/>
  <c r="U101" i="16"/>
  <c r="M257" i="16"/>
  <c r="N257" i="16" s="1"/>
  <c r="X257" i="16"/>
  <c r="T48" i="16"/>
  <c r="U48" i="16"/>
  <c r="R48" i="16"/>
  <c r="L358" i="16"/>
  <c r="W358" i="16"/>
  <c r="L267" i="16"/>
  <c r="M267" i="16" s="1"/>
  <c r="N267" i="16" s="1"/>
  <c r="W267" i="16"/>
  <c r="X267" i="16" s="1"/>
  <c r="U314" i="16"/>
  <c r="T314" i="16"/>
  <c r="R87" i="16"/>
  <c r="U87" i="16"/>
  <c r="M328" i="16"/>
  <c r="N328" i="16" s="1"/>
  <c r="X328" i="16"/>
  <c r="U133" i="16"/>
  <c r="L336" i="16"/>
  <c r="U32" i="16"/>
  <c r="X348" i="16"/>
  <c r="L441" i="16"/>
  <c r="R133" i="16"/>
  <c r="R166" i="16"/>
  <c r="T365" i="16"/>
  <c r="T39" i="16"/>
  <c r="U448" i="16"/>
  <c r="X426" i="16"/>
  <c r="W452" i="16"/>
  <c r="L286" i="16"/>
  <c r="M286" i="16" s="1"/>
  <c r="N286" i="16" s="1"/>
  <c r="R75" i="16"/>
  <c r="R153" i="16"/>
  <c r="T95" i="16"/>
  <c r="L362" i="16"/>
  <c r="M362" i="16" s="1"/>
  <c r="N362" i="16" s="1"/>
  <c r="U35" i="16"/>
  <c r="U177" i="16"/>
  <c r="U251" i="16"/>
  <c r="T32" i="16"/>
  <c r="X393" i="16"/>
  <c r="R58" i="16"/>
  <c r="T58" i="16"/>
  <c r="U58" i="16"/>
  <c r="T280" i="16"/>
  <c r="U280" i="16"/>
  <c r="W246" i="16"/>
  <c r="L246" i="16"/>
  <c r="R125" i="16"/>
  <c r="U125" i="16"/>
  <c r="T125" i="16"/>
  <c r="L338" i="16"/>
  <c r="T330" i="16"/>
  <c r="U330" i="16"/>
  <c r="L304" i="16"/>
  <c r="L425" i="16"/>
  <c r="W425" i="16"/>
  <c r="L265" i="16"/>
  <c r="X396" i="16"/>
  <c r="M396" i="16"/>
  <c r="N396" i="16" s="1"/>
  <c r="W356" i="16"/>
  <c r="L356" i="16"/>
  <c r="M356" i="16" s="1"/>
  <c r="N356" i="16" s="1"/>
  <c r="X391" i="16"/>
  <c r="U431" i="16"/>
  <c r="T431" i="16"/>
  <c r="T92" i="16"/>
  <c r="X301" i="16"/>
  <c r="L414" i="16"/>
  <c r="X414" i="16" s="1"/>
  <c r="L399" i="16"/>
  <c r="L395" i="16"/>
  <c r="M395" i="16" s="1"/>
  <c r="N395" i="16" s="1"/>
  <c r="U92" i="16"/>
  <c r="T226" i="16"/>
  <c r="T87" i="16"/>
  <c r="L306" i="16"/>
  <c r="M306" i="16" s="1"/>
  <c r="N306" i="16" s="1"/>
  <c r="U306" i="16" s="1"/>
  <c r="R67" i="16"/>
  <c r="W450" i="16"/>
  <c r="L438" i="16"/>
  <c r="X438" i="16" s="1"/>
  <c r="L415" i="16"/>
  <c r="X345" i="16"/>
  <c r="T50" i="16"/>
  <c r="U50" i="16"/>
  <c r="R50" i="16"/>
  <c r="X412" i="16"/>
  <c r="L261" i="16"/>
  <c r="L238" i="16"/>
  <c r="W238" i="16"/>
  <c r="L208" i="16"/>
  <c r="X344" i="16"/>
  <c r="L350" i="16"/>
  <c r="L342" i="16"/>
  <c r="L386" i="16"/>
  <c r="T454" i="16"/>
  <c r="U454" i="16"/>
  <c r="M298" i="16"/>
  <c r="N298" i="16" s="1"/>
  <c r="X298" i="16"/>
  <c r="M384" i="16"/>
  <c r="N384" i="16" s="1"/>
  <c r="X384" i="16"/>
  <c r="W370" i="16"/>
  <c r="L370" i="16"/>
  <c r="L258" i="16"/>
  <c r="W258" i="16"/>
  <c r="U220" i="16"/>
  <c r="T220" i="16"/>
  <c r="T322" i="16"/>
  <c r="U322" i="16"/>
  <c r="T66" i="16"/>
  <c r="R66" i="16"/>
  <c r="X409" i="16"/>
  <c r="M409" i="16"/>
  <c r="N409" i="16" s="1"/>
  <c r="L458" i="16"/>
  <c r="W458" i="16"/>
  <c r="W434" i="16"/>
  <c r="L434" i="16"/>
  <c r="M422" i="16"/>
  <c r="N422" i="16" s="1"/>
  <c r="X422" i="16"/>
  <c r="L211" i="16"/>
  <c r="M211" i="16" s="1"/>
  <c r="N211" i="16" s="1"/>
  <c r="X196" i="16"/>
  <c r="U164" i="16"/>
  <c r="T117" i="16"/>
  <c r="U117" i="16"/>
  <c r="R117" i="16"/>
  <c r="W296" i="16"/>
  <c r="L296" i="16"/>
  <c r="W359" i="16"/>
  <c r="L359" i="16"/>
  <c r="M359" i="16" s="1"/>
  <c r="N359" i="16" s="1"/>
  <c r="W357" i="16"/>
  <c r="L357" i="16"/>
  <c r="U129" i="16"/>
  <c r="R129" i="16"/>
  <c r="L401" i="16"/>
  <c r="L382" i="16"/>
  <c r="W382" i="16"/>
  <c r="L376" i="16"/>
  <c r="W376" i="16"/>
  <c r="R160" i="16"/>
  <c r="U160" i="16"/>
  <c r="U159" i="16"/>
  <c r="R159" i="16"/>
  <c r="T103" i="16"/>
  <c r="R103" i="16"/>
  <c r="L205" i="16"/>
  <c r="U74" i="16"/>
  <c r="T74" i="16"/>
  <c r="R74" i="16"/>
  <c r="X309" i="16"/>
  <c r="W325" i="16"/>
  <c r="L325" i="16"/>
  <c r="W281" i="16"/>
  <c r="L281" i="16"/>
  <c r="L411" i="16"/>
  <c r="L218" i="16"/>
  <c r="M218" i="16" s="1"/>
  <c r="N218" i="16" s="1"/>
  <c r="W218" i="16"/>
  <c r="X194" i="16"/>
  <c r="M194" i="16"/>
  <c r="N194" i="16" s="1"/>
  <c r="X188" i="16"/>
  <c r="M188" i="16"/>
  <c r="N188" i="16" s="1"/>
  <c r="T312" i="16"/>
  <c r="U312" i="16"/>
  <c r="R161" i="16"/>
  <c r="T161" i="16"/>
  <c r="U161" i="16"/>
  <c r="M432" i="16"/>
  <c r="N432" i="16" s="1"/>
  <c r="X432" i="16"/>
  <c r="X383" i="16"/>
  <c r="L243" i="16"/>
  <c r="M243" i="16" s="1"/>
  <c r="N243" i="16" s="1"/>
  <c r="T326" i="16"/>
  <c r="U13" i="16"/>
  <c r="L224" i="16"/>
  <c r="L452" i="16"/>
  <c r="M452" i="16" s="1"/>
  <c r="N452" i="16" s="1"/>
  <c r="M393" i="16"/>
  <c r="N393" i="16" s="1"/>
  <c r="U393" i="16" s="1"/>
  <c r="T164" i="16"/>
  <c r="U108" i="16"/>
  <c r="R108" i="16"/>
  <c r="T108" i="16"/>
  <c r="T159" i="16"/>
  <c r="L353" i="16"/>
  <c r="M353" i="16" s="1"/>
  <c r="N353" i="16" s="1"/>
  <c r="W353" i="16"/>
  <c r="L262" i="16"/>
  <c r="W262" i="16"/>
  <c r="W256" i="16"/>
  <c r="L256" i="16"/>
  <c r="U38" i="16"/>
  <c r="T38" i="16"/>
  <c r="R38" i="16"/>
  <c r="L424" i="16"/>
  <c r="L221" i="16"/>
  <c r="W221" i="16"/>
  <c r="T140" i="16"/>
  <c r="R140" i="16"/>
  <c r="U140" i="16"/>
  <c r="M199" i="16"/>
  <c r="N199" i="16" s="1"/>
  <c r="X199" i="16"/>
  <c r="W339" i="16"/>
  <c r="L339" i="16"/>
  <c r="X285" i="16"/>
  <c r="M285" i="16"/>
  <c r="N285" i="16" s="1"/>
  <c r="L275" i="16"/>
  <c r="X271" i="16"/>
  <c r="T372" i="16"/>
  <c r="U372" i="16"/>
  <c r="L433" i="16"/>
  <c r="M433" i="16" s="1"/>
  <c r="N433" i="16" s="1"/>
  <c r="W454" i="16"/>
  <c r="X454" i="16" s="1"/>
  <c r="R122" i="16"/>
  <c r="L269" i="16"/>
  <c r="U66" i="16"/>
  <c r="X251" i="16"/>
  <c r="L368" i="16"/>
  <c r="M368" i="16" s="1"/>
  <c r="N368" i="16" s="1"/>
  <c r="R95" i="16"/>
  <c r="M309" i="16"/>
  <c r="N309" i="16" s="1"/>
  <c r="U309" i="16" s="1"/>
  <c r="U105" i="16"/>
  <c r="R105" i="16"/>
  <c r="T105" i="16"/>
  <c r="T96" i="16"/>
  <c r="R96" i="16"/>
  <c r="W361" i="16"/>
  <c r="L361" i="16"/>
  <c r="L180" i="16"/>
  <c r="M180" i="16" s="1"/>
  <c r="N180" i="16" s="1"/>
  <c r="W180" i="16"/>
  <c r="R63" i="16"/>
  <c r="U63" i="16"/>
  <c r="T63" i="16"/>
  <c r="W397" i="16"/>
  <c r="L397" i="16"/>
  <c r="M397" i="16" s="1"/>
  <c r="N397" i="16" s="1"/>
  <c r="W380" i="16"/>
  <c r="L380" i="16"/>
  <c r="L181" i="16"/>
  <c r="M181" i="16" s="1"/>
  <c r="N181" i="16" s="1"/>
  <c r="W245" i="16"/>
  <c r="L245" i="16"/>
  <c r="L213" i="16"/>
  <c r="M303" i="16"/>
  <c r="N303" i="16" s="1"/>
  <c r="X303" i="16"/>
  <c r="L313" i="16"/>
  <c r="W313" i="16"/>
  <c r="X193" i="16"/>
  <c r="M193" i="16"/>
  <c r="N193" i="16" s="1"/>
  <c r="L192" i="16"/>
  <c r="M394" i="16"/>
  <c r="N394" i="16" s="1"/>
  <c r="X394" i="16"/>
  <c r="L450" i="16"/>
  <c r="L341" i="16"/>
  <c r="L329" i="16"/>
  <c r="M329" i="16" s="1"/>
  <c r="N329" i="16" s="1"/>
  <c r="W327" i="16"/>
  <c r="L327" i="16"/>
  <c r="L287" i="16"/>
  <c r="X407" i="16"/>
  <c r="M407" i="16"/>
  <c r="N407" i="16" s="1"/>
  <c r="X388" i="16"/>
  <c r="T416" i="16"/>
  <c r="U416" i="16"/>
  <c r="T301" i="16"/>
  <c r="U301" i="16"/>
  <c r="R124" i="16"/>
  <c r="U124" i="16"/>
  <c r="T124" i="16"/>
  <c r="U26" i="16"/>
  <c r="T26" i="16"/>
  <c r="R26" i="16"/>
  <c r="R81" i="16"/>
  <c r="U81" i="16"/>
  <c r="T81" i="16"/>
  <c r="R77" i="16"/>
  <c r="U77" i="16"/>
  <c r="T77" i="16"/>
  <c r="T12" i="16"/>
  <c r="U12" i="16"/>
  <c r="R12" i="16"/>
  <c r="U20" i="16"/>
  <c r="R20" i="16"/>
  <c r="T20" i="16"/>
  <c r="L419" i="16"/>
  <c r="M419" i="16" s="1"/>
  <c r="N419" i="16" s="1"/>
  <c r="W419" i="16"/>
  <c r="W277" i="16"/>
  <c r="L277" i="16"/>
  <c r="L311" i="16"/>
  <c r="M414" i="16"/>
  <c r="N414" i="16" s="1"/>
  <c r="M399" i="16"/>
  <c r="N399" i="16" s="1"/>
  <c r="X399" i="16"/>
  <c r="X316" i="16"/>
  <c r="M316" i="16"/>
  <c r="N316" i="16" s="1"/>
  <c r="R24" i="16"/>
  <c r="T24" i="16"/>
  <c r="M250" i="16"/>
  <c r="N250" i="16" s="1"/>
  <c r="X250" i="16"/>
  <c r="M449" i="16"/>
  <c r="N449" i="16" s="1"/>
  <c r="X449" i="16"/>
  <c r="T79" i="16"/>
  <c r="R79" i="16"/>
  <c r="U79" i="16"/>
  <c r="X212" i="16"/>
  <c r="M212" i="16"/>
  <c r="N212" i="16" s="1"/>
  <c r="X368" i="16"/>
  <c r="L232" i="16"/>
  <c r="X214" i="16"/>
  <c r="M214" i="16"/>
  <c r="N214" i="16" s="1"/>
  <c r="X233" i="16"/>
  <c r="M233" i="16"/>
  <c r="N233" i="16" s="1"/>
  <c r="X349" i="16"/>
  <c r="M349" i="16"/>
  <c r="N349" i="16" s="1"/>
  <c r="L184" i="16"/>
  <c r="W184" i="16"/>
  <c r="X362" i="16"/>
  <c r="L186" i="16"/>
  <c r="U202" i="16"/>
  <c r="T202" i="16"/>
  <c r="U94" i="16"/>
  <c r="R94" i="16"/>
  <c r="T94" i="16"/>
  <c r="L259" i="16"/>
  <c r="T23" i="16"/>
  <c r="U23" i="16"/>
  <c r="R23" i="16"/>
  <c r="R8" i="16"/>
  <c r="U8" i="16"/>
  <c r="T8" i="16"/>
  <c r="L379" i="16"/>
  <c r="W379" i="16"/>
  <c r="L308" i="16"/>
  <c r="W189" i="16"/>
  <c r="L189" i="16"/>
  <c r="R118" i="16"/>
  <c r="T118" i="16"/>
  <c r="U118" i="16"/>
  <c r="T130" i="16"/>
  <c r="U130" i="16"/>
  <c r="R130" i="16"/>
  <c r="L264" i="16"/>
  <c r="N197" i="16"/>
  <c r="X197" i="16"/>
  <c r="R60" i="16"/>
  <c r="U60" i="16"/>
  <c r="T60" i="16"/>
  <c r="U91" i="16"/>
  <c r="T91" i="16"/>
  <c r="R91" i="16"/>
  <c r="U331" i="16"/>
  <c r="T331" i="16"/>
  <c r="M224" i="16"/>
  <c r="N224" i="16" s="1"/>
  <c r="X224" i="16"/>
  <c r="U423" i="16"/>
  <c r="T423" i="16"/>
  <c r="R162" i="16"/>
  <c r="U162" i="16"/>
  <c r="T162" i="16"/>
  <c r="L440" i="16"/>
  <c r="L364" i="16"/>
  <c r="L227" i="16"/>
  <c r="M227" i="16" s="1"/>
  <c r="N227" i="16" s="1"/>
  <c r="T163" i="16"/>
  <c r="U163" i="16"/>
  <c r="R163" i="16"/>
  <c r="M410" i="16"/>
  <c r="N410" i="16" s="1"/>
  <c r="X410" i="16"/>
  <c r="L289" i="16"/>
  <c r="T309" i="16"/>
  <c r="R80" i="16"/>
  <c r="U80" i="16"/>
  <c r="U126" i="16"/>
  <c r="T126" i="16"/>
  <c r="R126" i="16"/>
  <c r="U17" i="16"/>
  <c r="T17" i="16"/>
  <c r="R17" i="16"/>
  <c r="R109" i="16"/>
  <c r="T109" i="16"/>
  <c r="U109" i="16"/>
  <c r="W319" i="16"/>
  <c r="L319" i="16"/>
  <c r="X315" i="16"/>
  <c r="M315" i="16"/>
  <c r="N315" i="16" s="1"/>
  <c r="W318" i="16"/>
  <c r="L318" i="16"/>
  <c r="M318" i="16" s="1"/>
  <c r="N318" i="16" s="1"/>
  <c r="M390" i="16"/>
  <c r="N390" i="16" s="1"/>
  <c r="X390" i="16"/>
  <c r="T127" i="16"/>
  <c r="U127" i="16"/>
  <c r="R127" i="16"/>
  <c r="U253" i="16"/>
  <c r="T253" i="16"/>
  <c r="T216" i="16"/>
  <c r="M252" i="16"/>
  <c r="N252" i="16" s="1"/>
  <c r="X252" i="16"/>
  <c r="M215" i="16"/>
  <c r="N215" i="16" s="1"/>
  <c r="X215" i="16"/>
  <c r="T398" i="16"/>
  <c r="U398" i="16"/>
  <c r="T366" i="16"/>
  <c r="U366" i="16"/>
  <c r="L274" i="16"/>
  <c r="W274" i="16"/>
  <c r="U167" i="16"/>
  <c r="T167" i="16"/>
  <c r="R167" i="16"/>
  <c r="U404" i="16"/>
  <c r="T404" i="16"/>
  <c r="M375" i="16"/>
  <c r="N375" i="16" s="1"/>
  <c r="X375" i="16"/>
  <c r="U195" i="16"/>
  <c r="T195" i="16"/>
  <c r="X366" i="16"/>
  <c r="R143" i="16"/>
  <c r="U143" i="16"/>
  <c r="T143" i="16"/>
  <c r="R34" i="16"/>
  <c r="U34" i="16"/>
  <c r="T34" i="16"/>
  <c r="U98" i="16"/>
  <c r="T98" i="16"/>
  <c r="R98" i="16"/>
  <c r="T80" i="16"/>
  <c r="L371" i="16"/>
  <c r="W371" i="16"/>
  <c r="W297" i="16"/>
  <c r="L297" i="16"/>
  <c r="T268" i="16"/>
  <c r="U268" i="16"/>
  <c r="M354" i="16"/>
  <c r="N354" i="16" s="1"/>
  <c r="X354" i="16"/>
  <c r="L430" i="16"/>
  <c r="R22" i="16"/>
  <c r="T22" i="16"/>
  <c r="U22" i="16"/>
  <c r="U196" i="16"/>
  <c r="T196" i="16"/>
  <c r="X340" i="16"/>
  <c r="M340" i="16"/>
  <c r="N340" i="16" s="1"/>
  <c r="T263" i="16"/>
  <c r="U263" i="16"/>
  <c r="T405" i="16"/>
  <c r="U405" i="16"/>
  <c r="X185" i="16"/>
  <c r="M185" i="16"/>
  <c r="N185" i="16" s="1"/>
  <c r="U175" i="16"/>
  <c r="T175" i="16"/>
  <c r="U388" i="16"/>
  <c r="T388" i="16"/>
  <c r="L276" i="16"/>
  <c r="X272" i="16"/>
  <c r="L236" i="16"/>
  <c r="M229" i="16"/>
  <c r="N229" i="16" s="1"/>
  <c r="X229" i="16"/>
  <c r="T156" i="16"/>
  <c r="R156" i="16"/>
  <c r="U61" i="16"/>
  <c r="R61" i="16"/>
  <c r="T61" i="16"/>
  <c r="X378" i="16"/>
  <c r="M378" i="16"/>
  <c r="N378" i="16" s="1"/>
  <c r="U201" i="16"/>
  <c r="T201" i="16"/>
  <c r="L447" i="16"/>
  <c r="M447" i="16" s="1"/>
  <c r="N447" i="16" s="1"/>
  <c r="M442" i="16"/>
  <c r="N442" i="16" s="1"/>
  <c r="X442" i="16"/>
  <c r="L451" i="16"/>
  <c r="L230" i="16"/>
  <c r="T418" i="16"/>
  <c r="T266" i="16"/>
  <c r="U266" i="16"/>
  <c r="U355" i="16"/>
  <c r="T355" i="16"/>
  <c r="T345" i="16"/>
  <c r="U345" i="16"/>
  <c r="X9" i="8"/>
  <c r="D10" i="3"/>
  <c r="D14" i="3" s="1"/>
  <c r="G65" i="17"/>
  <c r="Y382" i="13"/>
  <c r="U386" i="13"/>
  <c r="T386" i="13"/>
  <c r="X348" i="10"/>
  <c r="X341" i="10"/>
  <c r="Y338" i="10"/>
  <c r="X334" i="10"/>
  <c r="M5" i="5"/>
  <c r="N5" i="5" s="1"/>
  <c r="U5" i="5" s="1"/>
  <c r="E26" i="18"/>
  <c r="J2" i="18" s="1"/>
  <c r="V30" i="17"/>
  <c r="N30" i="17"/>
  <c r="O30" i="17" s="1"/>
  <c r="S30" i="17" s="1"/>
  <c r="N20" i="17"/>
  <c r="O20" i="17" s="1"/>
  <c r="S20" i="17" s="1"/>
  <c r="V20" i="17"/>
  <c r="N45" i="17"/>
  <c r="O45" i="17" s="1"/>
  <c r="S45" i="17" s="1"/>
  <c r="V45" i="17"/>
  <c r="S25" i="17"/>
  <c r="S46" i="17"/>
  <c r="V40" i="17"/>
  <c r="V26" i="17"/>
  <c r="N26" i="17"/>
  <c r="O26" i="17" s="1"/>
  <c r="S26" i="17" s="1"/>
  <c r="N33" i="17"/>
  <c r="O33" i="17" s="1"/>
  <c r="S33" i="17" s="1"/>
  <c r="V33" i="17"/>
  <c r="S35" i="17"/>
  <c r="S8" i="17"/>
  <c r="V32" i="17"/>
  <c r="Q15" i="17"/>
  <c r="V15" i="17"/>
  <c r="N15" i="17"/>
  <c r="O15" i="17" s="1"/>
  <c r="S15" i="17" s="1"/>
  <c r="X5" i="5"/>
  <c r="T5" i="5"/>
  <c r="M374" i="15"/>
  <c r="N374" i="15" s="1"/>
  <c r="L435" i="15"/>
  <c r="M435" i="15" s="1"/>
  <c r="N435" i="15" s="1"/>
  <c r="R81" i="15"/>
  <c r="T81" i="15"/>
  <c r="U81" i="15"/>
  <c r="M300" i="15"/>
  <c r="N300" i="15" s="1"/>
  <c r="X300" i="15"/>
  <c r="L474" i="15"/>
  <c r="R165" i="15"/>
  <c r="T165" i="15"/>
  <c r="X324" i="15"/>
  <c r="M324" i="15"/>
  <c r="N324" i="15" s="1"/>
  <c r="M308" i="15"/>
  <c r="N308" i="15" s="1"/>
  <c r="X308" i="15"/>
  <c r="L392" i="15"/>
  <c r="W392" i="15"/>
  <c r="U141" i="15"/>
  <c r="R141" i="15"/>
  <c r="T420" i="15"/>
  <c r="U420" i="15"/>
  <c r="U370" i="15"/>
  <c r="X316" i="15"/>
  <c r="U154" i="15"/>
  <c r="U105" i="15"/>
  <c r="X381" i="15"/>
  <c r="R188" i="15"/>
  <c r="T188" i="15"/>
  <c r="U104" i="15"/>
  <c r="T104" i="15"/>
  <c r="R104" i="15"/>
  <c r="L376" i="15"/>
  <c r="X377" i="15"/>
  <c r="U37" i="15"/>
  <c r="R157" i="15"/>
  <c r="U157" i="15"/>
  <c r="X448" i="15"/>
  <c r="M448" i="15"/>
  <c r="N448" i="15" s="1"/>
  <c r="X288" i="15"/>
  <c r="T381" i="13"/>
  <c r="U381" i="13"/>
  <c r="T371" i="13"/>
  <c r="U371" i="13"/>
  <c r="T365" i="13"/>
  <c r="U365" i="13"/>
  <c r="Y358" i="13"/>
  <c r="Y354" i="13"/>
  <c r="X355" i="10"/>
  <c r="T348" i="10"/>
  <c r="V54" i="17"/>
  <c r="G22" i="18"/>
  <c r="E29" i="18"/>
  <c r="B27" i="18" s="1"/>
  <c r="E64" i="17"/>
  <c r="N44" i="17"/>
  <c r="O44" i="17" s="1"/>
  <c r="S44" i="17" s="1"/>
  <c r="V44" i="17"/>
  <c r="S32" i="17"/>
  <c r="V35" i="17"/>
  <c r="Q18" i="17"/>
  <c r="V18" i="17"/>
  <c r="N18" i="17"/>
  <c r="O18" i="17" s="1"/>
  <c r="S18" i="17" s="1"/>
  <c r="V25" i="17"/>
  <c r="N40" i="17"/>
  <c r="O40" i="17" s="1"/>
  <c r="S40" i="17" s="1"/>
  <c r="N22" i="17"/>
  <c r="O22" i="17" s="1"/>
  <c r="S22" i="17" s="1"/>
  <c r="V22" i="17"/>
  <c r="G14" i="18"/>
  <c r="N37" i="17"/>
  <c r="O37" i="17" s="1"/>
  <c r="S37" i="17" s="1"/>
  <c r="V37" i="17"/>
  <c r="S19" i="17"/>
  <c r="N28" i="17"/>
  <c r="O28" i="17" s="1"/>
  <c r="S28" i="17" s="1"/>
  <c r="V28" i="17"/>
  <c r="H9" i="3"/>
  <c r="I9" i="3" s="1"/>
  <c r="M300" i="10"/>
  <c r="N300" i="10" s="1"/>
  <c r="U300" i="10" s="1"/>
  <c r="X300" i="10"/>
  <c r="U287" i="10"/>
  <c r="T287" i="10"/>
  <c r="U333" i="15"/>
  <c r="L425" i="15"/>
  <c r="M425" i="15" s="1"/>
  <c r="N425" i="15" s="1"/>
  <c r="T425" i="15" s="1"/>
  <c r="U69" i="15"/>
  <c r="L246" i="15"/>
  <c r="R160" i="15"/>
  <c r="T150" i="15"/>
  <c r="L226" i="15"/>
  <c r="X201" i="15"/>
  <c r="X359" i="15"/>
  <c r="L210" i="15"/>
  <c r="R36" i="15"/>
  <c r="L350" i="15"/>
  <c r="X165" i="10"/>
  <c r="W342" i="10"/>
  <c r="X342" i="10" s="1"/>
  <c r="R54" i="10"/>
  <c r="R126" i="10"/>
  <c r="T103" i="10"/>
  <c r="T105" i="10"/>
  <c r="X182" i="10"/>
  <c r="X335" i="10"/>
  <c r="Y310" i="10"/>
  <c r="T22" i="10"/>
  <c r="T87" i="10"/>
  <c r="L272" i="10"/>
  <c r="M272" i="10" s="1"/>
  <c r="N272" i="10" s="1"/>
  <c r="L352" i="16"/>
  <c r="L179" i="16"/>
  <c r="U54" i="16"/>
  <c r="R54" i="16"/>
  <c r="T54" i="16"/>
  <c r="T7" i="16"/>
  <c r="U7" i="16"/>
  <c r="R103" i="14"/>
  <c r="T103" i="14"/>
  <c r="U103" i="14"/>
  <c r="X344" i="13"/>
  <c r="M344" i="13"/>
  <c r="N344" i="13" s="1"/>
  <c r="R80" i="14"/>
  <c r="U80" i="14"/>
  <c r="T80" i="14"/>
  <c r="Y346" i="13"/>
  <c r="X346" i="13"/>
  <c r="M346" i="13"/>
  <c r="N346" i="13" s="1"/>
  <c r="M183" i="16"/>
  <c r="N183" i="16" s="1"/>
  <c r="X183" i="16"/>
  <c r="L285" i="13"/>
  <c r="Y285" i="13" s="1"/>
  <c r="L58" i="13"/>
  <c r="W58" i="13"/>
  <c r="X193" i="9"/>
  <c r="M193" i="9"/>
  <c r="N193" i="9" s="1"/>
  <c r="W9" i="5"/>
  <c r="H14" i="5"/>
  <c r="F8" i="3" s="1"/>
  <c r="Y289" i="13"/>
  <c r="T78" i="14"/>
  <c r="U78" i="14"/>
  <c r="R78" i="14"/>
  <c r="Y380" i="13"/>
  <c r="X380" i="13"/>
  <c r="W263" i="13"/>
  <c r="Y263" i="13" s="1"/>
  <c r="L263" i="13"/>
  <c r="Y257" i="13"/>
  <c r="M194" i="13"/>
  <c r="N194" i="13" s="1"/>
  <c r="X194" i="13"/>
  <c r="U220" i="13"/>
  <c r="T220" i="13"/>
  <c r="U167" i="13"/>
  <c r="T167" i="13"/>
  <c r="X113" i="9"/>
  <c r="M113" i="9"/>
  <c r="N113" i="9" s="1"/>
  <c r="Y307" i="13"/>
  <c r="U234" i="16"/>
  <c r="T234" i="16"/>
  <c r="T377" i="13"/>
  <c r="U377" i="13"/>
  <c r="X201" i="9"/>
  <c r="X80" i="13"/>
  <c r="M80" i="13"/>
  <c r="N80" i="13" s="1"/>
  <c r="Y298" i="13"/>
  <c r="U317" i="16"/>
  <c r="T317" i="16"/>
  <c r="T209" i="16"/>
  <c r="U209" i="16"/>
  <c r="Y224" i="13"/>
  <c r="T293" i="13"/>
  <c r="U293" i="13"/>
  <c r="T74" i="13"/>
  <c r="U74" i="13"/>
  <c r="R74" i="13"/>
  <c r="X210" i="16"/>
  <c r="M210" i="16"/>
  <c r="N210" i="16" s="1"/>
  <c r="M338" i="13"/>
  <c r="N338" i="13" s="1"/>
  <c r="X338" i="13"/>
  <c r="X243" i="16"/>
  <c r="X444" i="16"/>
  <c r="M444" i="16"/>
  <c r="N444" i="16" s="1"/>
  <c r="X104" i="9"/>
  <c r="M104" i="9"/>
  <c r="N104" i="9" s="1"/>
  <c r="M198" i="16"/>
  <c r="N198" i="16" s="1"/>
  <c r="X198" i="16"/>
  <c r="T56" i="9"/>
  <c r="U56" i="9"/>
  <c r="T108" i="9"/>
  <c r="U108" i="9"/>
  <c r="U306" i="13"/>
  <c r="T306" i="13"/>
  <c r="M283" i="13"/>
  <c r="N283" i="13" s="1"/>
  <c r="X283" i="13"/>
  <c r="U322" i="13"/>
  <c r="T322" i="13"/>
  <c r="X132" i="9"/>
  <c r="M132" i="9"/>
  <c r="N132" i="9" s="1"/>
  <c r="U376" i="13"/>
  <c r="T376" i="13"/>
  <c r="T242" i="16"/>
  <c r="Y302" i="13"/>
  <c r="Y344" i="13"/>
  <c r="M320" i="16"/>
  <c r="N320" i="16" s="1"/>
  <c r="X320" i="16"/>
  <c r="U292" i="13"/>
  <c r="T292" i="13"/>
  <c r="X236" i="13"/>
  <c r="T347" i="13"/>
  <c r="U347" i="13"/>
  <c r="X216" i="15"/>
  <c r="X375" i="15"/>
  <c r="X402" i="15"/>
  <c r="T302" i="15"/>
  <c r="X290" i="15"/>
  <c r="Y344" i="10"/>
  <c r="U121" i="10"/>
  <c r="U157" i="10"/>
  <c r="L428" i="16"/>
  <c r="W428" i="16"/>
  <c r="M336" i="16"/>
  <c r="N336" i="16" s="1"/>
  <c r="X336" i="16"/>
  <c r="X228" i="16"/>
  <c r="M228" i="16"/>
  <c r="N228" i="16" s="1"/>
  <c r="L439" i="16"/>
  <c r="X436" i="16"/>
  <c r="M436" i="16"/>
  <c r="N436" i="16" s="1"/>
  <c r="U28" i="16"/>
  <c r="R28" i="16"/>
  <c r="T28" i="16"/>
  <c r="T123" i="16"/>
  <c r="R123" i="16"/>
  <c r="U123" i="16"/>
  <c r="U116" i="14"/>
  <c r="T116" i="14"/>
  <c r="M341" i="13"/>
  <c r="N341" i="13" s="1"/>
  <c r="Y341" i="13"/>
  <c r="X341" i="13"/>
  <c r="L171" i="14"/>
  <c r="W19" i="14"/>
  <c r="H201" i="14"/>
  <c r="F29" i="3" s="1"/>
  <c r="M194" i="9"/>
  <c r="N194" i="9" s="1"/>
  <c r="X194" i="9"/>
  <c r="L133" i="14"/>
  <c r="R160" i="13"/>
  <c r="U160" i="13"/>
  <c r="T160" i="13"/>
  <c r="X389" i="16"/>
  <c r="M389" i="16"/>
  <c r="N389" i="16" s="1"/>
  <c r="L9" i="12"/>
  <c r="H10" i="12"/>
  <c r="F28" i="3" s="1"/>
  <c r="L149" i="9"/>
  <c r="H15" i="7"/>
  <c r="F9" i="3" s="1"/>
  <c r="W8" i="7"/>
  <c r="X8" i="7" s="1"/>
  <c r="R8" i="7"/>
  <c r="U43" i="9"/>
  <c r="T43" i="9"/>
  <c r="R43" i="9"/>
  <c r="T400" i="16"/>
  <c r="U400" i="16"/>
  <c r="T31" i="13"/>
  <c r="U31" i="13"/>
  <c r="R31" i="13"/>
  <c r="M257" i="13"/>
  <c r="N257" i="13" s="1"/>
  <c r="X257" i="13"/>
  <c r="X182" i="13"/>
  <c r="M182" i="13"/>
  <c r="N182" i="13" s="1"/>
  <c r="U125" i="14"/>
  <c r="T125" i="14"/>
  <c r="M179" i="13"/>
  <c r="N179" i="13" s="1"/>
  <c r="X179" i="13"/>
  <c r="M354" i="13"/>
  <c r="N354" i="13" s="1"/>
  <c r="X354" i="13"/>
  <c r="X296" i="13"/>
  <c r="M296" i="13"/>
  <c r="N296" i="13" s="1"/>
  <c r="M298" i="13"/>
  <c r="N298" i="13" s="1"/>
  <c r="X298" i="13"/>
  <c r="U347" i="16"/>
  <c r="T347" i="16"/>
  <c r="X277" i="15"/>
  <c r="M249" i="16"/>
  <c r="N249" i="16" s="1"/>
  <c r="X249" i="16"/>
  <c r="U310" i="16"/>
  <c r="T310" i="16"/>
  <c r="Y290" i="13"/>
  <c r="M429" i="16"/>
  <c r="N429" i="16" s="1"/>
  <c r="X429" i="16"/>
  <c r="U406" i="16"/>
  <c r="T406" i="16"/>
  <c r="M54" i="9"/>
  <c r="X54" i="9"/>
  <c r="T84" i="9"/>
  <c r="U84" i="9"/>
  <c r="U231" i="13"/>
  <c r="T231" i="13"/>
  <c r="T237" i="13"/>
  <c r="U237" i="13"/>
  <c r="X455" i="16"/>
  <c r="M455" i="16"/>
  <c r="N455" i="16" s="1"/>
  <c r="T209" i="13"/>
  <c r="U209" i="13"/>
  <c r="X302" i="13"/>
  <c r="M302" i="13"/>
  <c r="N302" i="13" s="1"/>
  <c r="U308" i="13"/>
  <c r="T308" i="13"/>
  <c r="U251" i="13"/>
  <c r="T251" i="13"/>
  <c r="H240" i="9"/>
  <c r="F10" i="3" s="1"/>
  <c r="S13" i="17"/>
  <c r="L334" i="16"/>
  <c r="W334" i="16"/>
  <c r="R93" i="16"/>
  <c r="T93" i="16"/>
  <c r="U93" i="16"/>
  <c r="R16" i="16"/>
  <c r="U16" i="16"/>
  <c r="T16" i="16"/>
  <c r="T107" i="16"/>
  <c r="R107" i="16"/>
  <c r="U107" i="16"/>
  <c r="U10" i="14"/>
  <c r="T10" i="14"/>
  <c r="R10" i="14"/>
  <c r="R45" i="14"/>
  <c r="U45" i="14"/>
  <c r="T45" i="14"/>
  <c r="W149" i="14"/>
  <c r="L149" i="14"/>
  <c r="U363" i="13"/>
  <c r="T363" i="13"/>
  <c r="T19" i="14"/>
  <c r="R19" i="14"/>
  <c r="U19" i="14"/>
  <c r="R151" i="13"/>
  <c r="U151" i="13"/>
  <c r="T151" i="13"/>
  <c r="M204" i="16"/>
  <c r="N204" i="16" s="1"/>
  <c r="X204" i="16"/>
  <c r="M262" i="13"/>
  <c r="N262" i="13" s="1"/>
  <c r="Y262" i="13"/>
  <c r="X262" i="13"/>
  <c r="M7" i="5"/>
  <c r="L14" i="5"/>
  <c r="X7" i="5"/>
  <c r="X345" i="13"/>
  <c r="M345" i="13"/>
  <c r="N345" i="13" s="1"/>
  <c r="Y345" i="13"/>
  <c r="M187" i="16"/>
  <c r="N187" i="16" s="1"/>
  <c r="X187" i="16"/>
  <c r="M369" i="16"/>
  <c r="N369" i="16" s="1"/>
  <c r="X369" i="16"/>
  <c r="Y370" i="13"/>
  <c r="X370" i="13"/>
  <c r="U164" i="13"/>
  <c r="T164" i="13"/>
  <c r="T191" i="16"/>
  <c r="U191" i="16"/>
  <c r="L361" i="13"/>
  <c r="W361" i="13"/>
  <c r="M207" i="16"/>
  <c r="N207" i="16" s="1"/>
  <c r="X207" i="16"/>
  <c r="X250" i="13"/>
  <c r="M250" i="13"/>
  <c r="N250" i="13" s="1"/>
  <c r="Y250" i="13"/>
  <c r="X216" i="13"/>
  <c r="M216" i="13"/>
  <c r="N216" i="13" s="1"/>
  <c r="W192" i="13"/>
  <c r="L192" i="13"/>
  <c r="X178" i="13"/>
  <c r="M178" i="13"/>
  <c r="N178" i="13" s="1"/>
  <c r="M175" i="13"/>
  <c r="N175" i="13" s="1"/>
  <c r="X175" i="13"/>
  <c r="T133" i="13"/>
  <c r="U133" i="13"/>
  <c r="R133" i="13"/>
  <c r="M441" i="16"/>
  <c r="N441" i="16" s="1"/>
  <c r="X441" i="16"/>
  <c r="X150" i="14"/>
  <c r="M150" i="14"/>
  <c r="N150" i="14" s="1"/>
  <c r="U239" i="13"/>
  <c r="T239" i="13"/>
  <c r="T71" i="9"/>
  <c r="U71" i="9"/>
  <c r="M89" i="9"/>
  <c r="N89" i="9" s="1"/>
  <c r="X89" i="9"/>
  <c r="T239" i="16"/>
  <c r="U239" i="16"/>
  <c r="U314" i="13"/>
  <c r="T314" i="13"/>
  <c r="T160" i="14"/>
  <c r="U160" i="14"/>
  <c r="M274" i="13"/>
  <c r="N274" i="13" s="1"/>
  <c r="X274" i="13"/>
  <c r="T135" i="9"/>
  <c r="U135" i="9"/>
  <c r="M117" i="9"/>
  <c r="N117" i="9" s="1"/>
  <c r="X117" i="9"/>
  <c r="M153" i="9"/>
  <c r="N153" i="9" s="1"/>
  <c r="X153" i="9"/>
  <c r="X240" i="16"/>
  <c r="M240" i="16"/>
  <c r="N240" i="16" s="1"/>
  <c r="M290" i="13"/>
  <c r="N290" i="13" s="1"/>
  <c r="X290" i="13"/>
  <c r="M183" i="13"/>
  <c r="N183" i="13" s="1"/>
  <c r="X183" i="13"/>
  <c r="M420" i="16"/>
  <c r="N420" i="16" s="1"/>
  <c r="X420" i="16"/>
  <c r="T178" i="14"/>
  <c r="U178" i="14"/>
  <c r="X271" i="13"/>
  <c r="Y271" i="13"/>
  <c r="M271" i="13"/>
  <c r="N271" i="13" s="1"/>
  <c r="X300" i="13"/>
  <c r="M300" i="13"/>
  <c r="N300" i="13" s="1"/>
  <c r="Y300" i="13"/>
  <c r="X68" i="9"/>
  <c r="M68" i="9"/>
  <c r="N68" i="9" s="1"/>
  <c r="X346" i="16"/>
  <c r="M346" i="16"/>
  <c r="N346" i="16" s="1"/>
  <c r="U189" i="14"/>
  <c r="T189" i="14"/>
  <c r="M360" i="13"/>
  <c r="N360" i="13" s="1"/>
  <c r="X360" i="13"/>
  <c r="T171" i="9"/>
  <c r="U171" i="9"/>
  <c r="H447" i="13"/>
  <c r="F12" i="3" s="1"/>
  <c r="T402" i="16"/>
  <c r="U402" i="16"/>
  <c r="T62" i="13"/>
  <c r="R62" i="13"/>
  <c r="U62" i="13"/>
  <c r="X358" i="13"/>
  <c r="M358" i="13"/>
  <c r="N358" i="13" s="1"/>
  <c r="T362" i="13"/>
  <c r="U362" i="13"/>
  <c r="T384" i="15"/>
  <c r="T75" i="15"/>
  <c r="T176" i="15"/>
  <c r="T278" i="15"/>
  <c r="R151" i="15"/>
  <c r="X238" i="15"/>
  <c r="X433" i="16"/>
  <c r="W333" i="16"/>
  <c r="L333" i="16"/>
  <c r="L337" i="16"/>
  <c r="N59" i="17"/>
  <c r="O59" i="17" s="1"/>
  <c r="M60" i="17"/>
  <c r="U62" i="17" s="1"/>
  <c r="M299" i="16"/>
  <c r="N299" i="16" s="1"/>
  <c r="X299" i="16"/>
  <c r="R57" i="16"/>
  <c r="U57" i="16"/>
  <c r="T57" i="16"/>
  <c r="W107" i="16"/>
  <c r="H466" i="16"/>
  <c r="F30" i="3" s="1"/>
  <c r="M351" i="13"/>
  <c r="N351" i="13" s="1"/>
  <c r="Y351" i="13"/>
  <c r="X351" i="13"/>
  <c r="W12" i="7"/>
  <c r="X12" i="7" s="1"/>
  <c r="R12" i="7"/>
  <c r="M200" i="13"/>
  <c r="N200" i="13" s="1"/>
  <c r="X200" i="13"/>
  <c r="T134" i="13"/>
  <c r="U134" i="13"/>
  <c r="R134" i="13"/>
  <c r="X69" i="9"/>
  <c r="M69" i="9"/>
  <c r="N69" i="9" s="1"/>
  <c r="X374" i="16"/>
  <c r="M8" i="7"/>
  <c r="M360" i="16"/>
  <c r="N360" i="16" s="1"/>
  <c r="X360" i="16"/>
  <c r="L327" i="13"/>
  <c r="W327" i="13"/>
  <c r="M289" i="13"/>
  <c r="N289" i="13" s="1"/>
  <c r="X289" i="13"/>
  <c r="Y337" i="13"/>
  <c r="X337" i="13"/>
  <c r="U183" i="14"/>
  <c r="T183" i="14"/>
  <c r="U230" i="13"/>
  <c r="T230" i="13"/>
  <c r="N122" i="14"/>
  <c r="T456" i="16"/>
  <c r="U456" i="16"/>
  <c r="L265" i="13"/>
  <c r="Y265" i="13" s="1"/>
  <c r="M260" i="13"/>
  <c r="N260" i="13" s="1"/>
  <c r="X260" i="13"/>
  <c r="M180" i="13"/>
  <c r="N180" i="13" s="1"/>
  <c r="X180" i="13"/>
  <c r="X173" i="13"/>
  <c r="M173" i="13"/>
  <c r="N173" i="13" s="1"/>
  <c r="M171" i="13"/>
  <c r="N171" i="13" s="1"/>
  <c r="X171" i="13"/>
  <c r="U115" i="13"/>
  <c r="R115" i="13"/>
  <c r="T115" i="13"/>
  <c r="U112" i="9"/>
  <c r="T112" i="9"/>
  <c r="X307" i="13"/>
  <c r="M307" i="13"/>
  <c r="N307" i="13" s="1"/>
  <c r="M140" i="14"/>
  <c r="N140" i="14" s="1"/>
  <c r="X140" i="14"/>
  <c r="U445" i="16"/>
  <c r="T445" i="16"/>
  <c r="U383" i="16"/>
  <c r="T383" i="16"/>
  <c r="T242" i="13"/>
  <c r="U242" i="13"/>
  <c r="M224" i="13"/>
  <c r="N224" i="13" s="1"/>
  <c r="X224" i="13"/>
  <c r="Y274" i="13"/>
  <c r="M203" i="9"/>
  <c r="N203" i="9" s="1"/>
  <c r="X203" i="9"/>
  <c r="X170" i="9"/>
  <c r="M170" i="9"/>
  <c r="N170" i="9" s="1"/>
  <c r="M164" i="9"/>
  <c r="N164" i="9" s="1"/>
  <c r="U60" i="13"/>
  <c r="T60" i="13"/>
  <c r="R60" i="13"/>
  <c r="M166" i="13"/>
  <c r="N166" i="13" s="1"/>
  <c r="X166" i="13"/>
  <c r="M288" i="16"/>
  <c r="N288" i="16" s="1"/>
  <c r="X288" i="16"/>
  <c r="M305" i="16"/>
  <c r="N305" i="16" s="1"/>
  <c r="X305" i="16"/>
  <c r="M307" i="16"/>
  <c r="N307" i="16" s="1"/>
  <c r="X307" i="16"/>
  <c r="T151" i="9"/>
  <c r="U151" i="9"/>
  <c r="X324" i="16"/>
  <c r="M324" i="16"/>
  <c r="N324" i="16" s="1"/>
  <c r="X342" i="13"/>
  <c r="Y342" i="13"/>
  <c r="M382" i="13"/>
  <c r="N382" i="13" s="1"/>
  <c r="X382" i="13"/>
  <c r="T351" i="16"/>
  <c r="U351" i="16"/>
  <c r="U177" i="9"/>
  <c r="T177" i="9"/>
  <c r="T176" i="14"/>
  <c r="U176" i="14"/>
  <c r="Y360" i="13"/>
  <c r="U453" i="16"/>
  <c r="T453" i="16"/>
  <c r="U210" i="13"/>
  <c r="T210" i="13"/>
  <c r="M216" i="9"/>
  <c r="N216" i="9" s="1"/>
  <c r="X216" i="9"/>
  <c r="U236" i="13"/>
  <c r="T236" i="13"/>
  <c r="U55" i="9"/>
  <c r="T55" i="9"/>
  <c r="B17" i="3"/>
  <c r="U201" i="9"/>
  <c r="T201" i="9"/>
  <c r="U253" i="10"/>
  <c r="T253" i="10"/>
  <c r="R98" i="10"/>
  <c r="T175" i="10"/>
  <c r="X289" i="10"/>
  <c r="W323" i="10"/>
  <c r="X323" i="10" s="1"/>
  <c r="Y266" i="10"/>
  <c r="R121" i="10"/>
  <c r="R105" i="10"/>
  <c r="L208" i="10"/>
  <c r="X208" i="10" s="1"/>
  <c r="U119" i="10"/>
  <c r="R119" i="10"/>
  <c r="R108" i="10"/>
  <c r="T73" i="10"/>
  <c r="U177" i="10"/>
  <c r="T244" i="10"/>
  <c r="U108" i="10"/>
  <c r="Y244" i="10"/>
  <c r="U73" i="10"/>
  <c r="U23" i="10"/>
  <c r="X227" i="10"/>
  <c r="X272" i="10"/>
  <c r="L306" i="10"/>
  <c r="M306" i="10" s="1"/>
  <c r="N306" i="10" s="1"/>
  <c r="U306" i="10" s="1"/>
  <c r="X253" i="10"/>
  <c r="U86" i="10"/>
  <c r="R86" i="10"/>
  <c r="U84" i="10"/>
  <c r="R84" i="10"/>
  <c r="X305" i="10"/>
  <c r="T150" i="10"/>
  <c r="W356" i="10"/>
  <c r="X356" i="10" s="1"/>
  <c r="U125" i="10"/>
  <c r="R125" i="10"/>
  <c r="U70" i="10"/>
  <c r="R70" i="10"/>
  <c r="X292" i="10"/>
  <c r="L246" i="10"/>
  <c r="Y246" i="10" s="1"/>
  <c r="X235" i="10"/>
  <c r="T158" i="10"/>
  <c r="U158" i="10"/>
  <c r="R158" i="10"/>
  <c r="M276" i="10"/>
  <c r="N276" i="10" s="1"/>
  <c r="Y276" i="10"/>
  <c r="Y341" i="10"/>
  <c r="T104" i="10"/>
  <c r="R104" i="10"/>
  <c r="Y228" i="10"/>
  <c r="Y272" i="10"/>
  <c r="X266" i="10"/>
  <c r="L190" i="10"/>
  <c r="U33" i="10"/>
  <c r="T33" i="10"/>
  <c r="U96" i="10"/>
  <c r="R96" i="10"/>
  <c r="U341" i="10"/>
  <c r="T341" i="10"/>
  <c r="T75" i="10"/>
  <c r="X310" i="10"/>
  <c r="Y355" i="10"/>
  <c r="R55" i="10"/>
  <c r="T55" i="10"/>
  <c r="W278" i="10"/>
  <c r="L278" i="10"/>
  <c r="U39" i="10"/>
  <c r="T39" i="10"/>
  <c r="W249" i="10"/>
  <c r="L249" i="10"/>
  <c r="L349" i="10"/>
  <c r="W349" i="10"/>
  <c r="L304" i="10"/>
  <c r="W304" i="10"/>
  <c r="L231" i="10"/>
  <c r="M231" i="10" s="1"/>
  <c r="N231" i="10" s="1"/>
  <c r="L256" i="10"/>
  <c r="L213" i="10"/>
  <c r="X213" i="10" s="1"/>
  <c r="Y227" i="10"/>
  <c r="L247" i="10"/>
  <c r="W247" i="10"/>
  <c r="M251" i="10"/>
  <c r="N251" i="10" s="1"/>
  <c r="X251" i="10"/>
  <c r="Y251" i="10"/>
  <c r="L259" i="10"/>
  <c r="W259" i="10"/>
  <c r="X259" i="10" s="1"/>
  <c r="W312" i="10"/>
  <c r="L312" i="10"/>
  <c r="W187" i="10"/>
  <c r="L187" i="10"/>
  <c r="U143" i="10"/>
  <c r="R143" i="10"/>
  <c r="T143" i="10"/>
  <c r="R74" i="10"/>
  <c r="T74" i="10"/>
  <c r="Y291" i="10"/>
  <c r="M291" i="10"/>
  <c r="N291" i="10" s="1"/>
  <c r="X302" i="10"/>
  <c r="M302" i="10"/>
  <c r="N302" i="10" s="1"/>
  <c r="X373" i="15"/>
  <c r="L243" i="15"/>
  <c r="X243" i="15" s="1"/>
  <c r="X353" i="15"/>
  <c r="M322" i="15"/>
  <c r="N322" i="15" s="1"/>
  <c r="X322" i="15"/>
  <c r="L423" i="15"/>
  <c r="X423" i="15" s="1"/>
  <c r="L314" i="15"/>
  <c r="X211" i="15"/>
  <c r="M211" i="15"/>
  <c r="N211" i="15" s="1"/>
  <c r="X212" i="10"/>
  <c r="M212" i="10"/>
  <c r="N212" i="10" s="1"/>
  <c r="Y212" i="10"/>
  <c r="T46" i="10"/>
  <c r="U59" i="10"/>
  <c r="R140" i="10"/>
  <c r="T129" i="10"/>
  <c r="U281" i="10"/>
  <c r="T79" i="10"/>
  <c r="X255" i="10"/>
  <c r="T300" i="10"/>
  <c r="M340" i="10"/>
  <c r="N340" i="10" s="1"/>
  <c r="U340" i="10" s="1"/>
  <c r="R59" i="10"/>
  <c r="R60" i="10"/>
  <c r="T7" i="10"/>
  <c r="U79" i="10"/>
  <c r="Y255" i="10"/>
  <c r="Y342" i="10"/>
  <c r="L234" i="10"/>
  <c r="X234" i="10" s="1"/>
  <c r="W174" i="10"/>
  <c r="X174" i="10" s="1"/>
  <c r="Y326" i="10"/>
  <c r="L275" i="10"/>
  <c r="M275" i="10" s="1"/>
  <c r="N275" i="10" s="1"/>
  <c r="U275" i="10" s="1"/>
  <c r="Y300" i="10"/>
  <c r="W204" i="10"/>
  <c r="X204" i="10" s="1"/>
  <c r="U255" i="10"/>
  <c r="M295" i="10"/>
  <c r="N295" i="10" s="1"/>
  <c r="U295" i="10" s="1"/>
  <c r="T306" i="10"/>
  <c r="T115" i="10"/>
  <c r="R120" i="10"/>
  <c r="Y296" i="10"/>
  <c r="X175" i="10"/>
  <c r="W321" i="10"/>
  <c r="L321" i="10"/>
  <c r="T230" i="10"/>
  <c r="U230" i="10"/>
  <c r="W360" i="10"/>
  <c r="X360" i="10" s="1"/>
  <c r="W192" i="10"/>
  <c r="L192" i="10"/>
  <c r="T142" i="10"/>
  <c r="R142" i="10"/>
  <c r="T25" i="10"/>
  <c r="U25" i="10"/>
  <c r="X233" i="10"/>
  <c r="U360" i="10"/>
  <c r="W236" i="10"/>
  <c r="L236" i="10"/>
  <c r="L309" i="10"/>
  <c r="W309" i="10"/>
  <c r="R101" i="10"/>
  <c r="T101" i="10"/>
  <c r="W194" i="10"/>
  <c r="L194" i="10"/>
  <c r="U31" i="10"/>
  <c r="T31" i="10"/>
  <c r="U71" i="10"/>
  <c r="R71" i="10"/>
  <c r="U99" i="10"/>
  <c r="R99" i="10"/>
  <c r="R67" i="10"/>
  <c r="U67" i="10"/>
  <c r="T67" i="10"/>
  <c r="U155" i="10"/>
  <c r="R155" i="10"/>
  <c r="U14" i="10"/>
  <c r="T14" i="10"/>
  <c r="W308" i="10"/>
  <c r="X308" i="10" s="1"/>
  <c r="U220" i="10"/>
  <c r="M279" i="10"/>
  <c r="N279" i="10" s="1"/>
  <c r="T279" i="10" s="1"/>
  <c r="X244" i="10"/>
  <c r="Y306" i="10"/>
  <c r="W313" i="10"/>
  <c r="Y313" i="10" s="1"/>
  <c r="T147" i="10"/>
  <c r="T71" i="10"/>
  <c r="W339" i="10"/>
  <c r="Y339" i="10" s="1"/>
  <c r="U138" i="10"/>
  <c r="R138" i="10"/>
  <c r="T138" i="10"/>
  <c r="W238" i="10"/>
  <c r="L238" i="10"/>
  <c r="Y301" i="10"/>
  <c r="M301" i="10"/>
  <c r="N301" i="10" s="1"/>
  <c r="T153" i="10"/>
  <c r="R153" i="10"/>
  <c r="M356" i="10"/>
  <c r="N356" i="10" s="1"/>
  <c r="T36" i="10"/>
  <c r="U36" i="10"/>
  <c r="W202" i="10"/>
  <c r="L202" i="10"/>
  <c r="M330" i="10"/>
  <c r="N330" i="10" s="1"/>
  <c r="X330" i="10"/>
  <c r="Y330" i="10"/>
  <c r="U323" i="10"/>
  <c r="X290" i="10"/>
  <c r="X346" i="10"/>
  <c r="T282" i="10"/>
  <c r="X340" i="10"/>
  <c r="L191" i="10"/>
  <c r="M191" i="10" s="1"/>
  <c r="N191" i="10" s="1"/>
  <c r="U191" i="10" s="1"/>
  <c r="T106" i="10"/>
  <c r="R106" i="10"/>
  <c r="U106" i="10"/>
  <c r="W283" i="10"/>
  <c r="L283" i="10"/>
  <c r="T65" i="10"/>
  <c r="U65" i="10"/>
  <c r="R65" i="10"/>
  <c r="X214" i="10"/>
  <c r="Y214" i="10"/>
  <c r="M214" i="10"/>
  <c r="N214" i="10" s="1"/>
  <c r="W172" i="10"/>
  <c r="L172" i="10"/>
  <c r="R145" i="10"/>
  <c r="T145" i="10"/>
  <c r="Y235" i="10"/>
  <c r="L206" i="10"/>
  <c r="W219" i="10"/>
  <c r="Y219" i="10" s="1"/>
  <c r="M290" i="10"/>
  <c r="N290" i="10" s="1"/>
  <c r="T290" i="10" s="1"/>
  <c r="W325" i="10"/>
  <c r="L250" i="10"/>
  <c r="Y282" i="10"/>
  <c r="M208" i="10"/>
  <c r="N208" i="10" s="1"/>
  <c r="U208" i="10" s="1"/>
  <c r="R83" i="10"/>
  <c r="T83" i="10"/>
  <c r="T11" i="10"/>
  <c r="U11" i="10"/>
  <c r="W311" i="10"/>
  <c r="L311" i="10"/>
  <c r="W327" i="10"/>
  <c r="L327" i="10"/>
  <c r="T29" i="10"/>
  <c r="U29" i="10"/>
  <c r="U235" i="10"/>
  <c r="T235" i="10"/>
  <c r="U130" i="10"/>
  <c r="R130" i="10"/>
  <c r="T149" i="10"/>
  <c r="R149" i="10"/>
  <c r="U149" i="10"/>
  <c r="M343" i="10"/>
  <c r="N343" i="10" s="1"/>
  <c r="X343" i="10"/>
  <c r="W329" i="10"/>
  <c r="Y292" i="10"/>
  <c r="W354" i="10"/>
  <c r="X354" i="10" s="1"/>
  <c r="R111" i="10"/>
  <c r="T111" i="10"/>
  <c r="U111" i="10"/>
  <c r="W245" i="10"/>
  <c r="L245" i="10"/>
  <c r="L248" i="10"/>
  <c r="R139" i="10"/>
  <c r="T139" i="10"/>
  <c r="U139" i="10"/>
  <c r="R72" i="10"/>
  <c r="T72" i="10"/>
  <c r="U72" i="10"/>
  <c r="U42" i="10"/>
  <c r="T42" i="10"/>
  <c r="X196" i="10"/>
  <c r="M196" i="10"/>
  <c r="N196" i="10" s="1"/>
  <c r="R102" i="10"/>
  <c r="T102" i="10"/>
  <c r="W315" i="10"/>
  <c r="L315" i="10"/>
  <c r="X282" i="10"/>
  <c r="X270" i="10"/>
  <c r="Y270" i="10"/>
  <c r="M270" i="10"/>
  <c r="N270" i="10" s="1"/>
  <c r="Y343" i="10"/>
  <c r="T62" i="10"/>
  <c r="U62" i="10"/>
  <c r="R62" i="10"/>
  <c r="W223" i="10"/>
  <c r="L223" i="10"/>
  <c r="M354" i="10"/>
  <c r="N354" i="10" s="1"/>
  <c r="Y256" i="10"/>
  <c r="X256" i="10"/>
  <c r="M256" i="10"/>
  <c r="N256" i="10" s="1"/>
  <c r="T295" i="10"/>
  <c r="M257" i="10"/>
  <c r="N257" i="10" s="1"/>
  <c r="Y257" i="10"/>
  <c r="X257" i="10"/>
  <c r="Y319" i="10"/>
  <c r="X319" i="10"/>
  <c r="M319" i="10"/>
  <c r="N319" i="10" s="1"/>
  <c r="L186" i="10"/>
  <c r="W186" i="10"/>
  <c r="T266" i="10"/>
  <c r="L325" i="10"/>
  <c r="M325" i="10" s="1"/>
  <c r="N325" i="10" s="1"/>
  <c r="L181" i="10"/>
  <c r="M181" i="10" s="1"/>
  <c r="N181" i="10" s="1"/>
  <c r="R77" i="10"/>
  <c r="T77" i="10"/>
  <c r="U77" i="10"/>
  <c r="T146" i="10"/>
  <c r="R146" i="10"/>
  <c r="T310" i="10"/>
  <c r="U310" i="10"/>
  <c r="M339" i="10"/>
  <c r="N339" i="10" s="1"/>
  <c r="W347" i="10"/>
  <c r="L347" i="10"/>
  <c r="W324" i="10"/>
  <c r="L324" i="10"/>
  <c r="T107" i="10"/>
  <c r="U107" i="10"/>
  <c r="R107" i="10"/>
  <c r="L350" i="10"/>
  <c r="W350" i="10"/>
  <c r="L271" i="10"/>
  <c r="T264" i="10"/>
  <c r="U264" i="10"/>
  <c r="X336" i="10"/>
  <c r="U200" i="10"/>
  <c r="T200" i="10"/>
  <c r="X215" i="10"/>
  <c r="T82" i="10"/>
  <c r="U82" i="10"/>
  <c r="R82" i="10"/>
  <c r="Y280" i="10"/>
  <c r="X280" i="10"/>
  <c r="M280" i="10"/>
  <c r="N280" i="10" s="1"/>
  <c r="M237" i="10"/>
  <c r="N237" i="10" s="1"/>
  <c r="X237" i="10"/>
  <c r="Y237" i="10"/>
  <c r="U10" i="10"/>
  <c r="L167" i="10"/>
  <c r="X167" i="10" s="1"/>
  <c r="R117" i="10"/>
  <c r="T6" i="10"/>
  <c r="T225" i="10"/>
  <c r="T48" i="10"/>
  <c r="U48" i="10"/>
  <c r="X286" i="10"/>
  <c r="M286" i="10"/>
  <c r="N286" i="10" s="1"/>
  <c r="Y286" i="10"/>
  <c r="W337" i="10"/>
  <c r="L337" i="10"/>
  <c r="W316" i="10"/>
  <c r="L316" i="10"/>
  <c r="L243" i="10"/>
  <c r="W243" i="10"/>
  <c r="M174" i="10"/>
  <c r="N174" i="10" s="1"/>
  <c r="U114" i="10"/>
  <c r="R114" i="10"/>
  <c r="T114" i="10"/>
  <c r="X344" i="10"/>
  <c r="M344" i="10"/>
  <c r="N344" i="10" s="1"/>
  <c r="U346" i="10"/>
  <c r="T346" i="10"/>
  <c r="Y357" i="10"/>
  <c r="L211" i="10"/>
  <c r="L277" i="10"/>
  <c r="L258" i="10"/>
  <c r="M308" i="10"/>
  <c r="N308" i="10" s="1"/>
  <c r="T208" i="10"/>
  <c r="T284" i="10"/>
  <c r="X200" i="10"/>
  <c r="L193" i="10"/>
  <c r="M193" i="10" s="1"/>
  <c r="N193" i="10" s="1"/>
  <c r="L188" i="10"/>
  <c r="M188" i="10" s="1"/>
  <c r="N188" i="10" s="1"/>
  <c r="U201" i="10"/>
  <c r="T201" i="10"/>
  <c r="L293" i="10"/>
  <c r="W293" i="10"/>
  <c r="U88" i="10"/>
  <c r="R88" i="10"/>
  <c r="T88" i="10"/>
  <c r="U19" i="10"/>
  <c r="T19" i="10"/>
  <c r="Y233" i="10"/>
  <c r="M233" i="10"/>
  <c r="N233" i="10" s="1"/>
  <c r="M213" i="10"/>
  <c r="N213" i="10" s="1"/>
  <c r="Y335" i="10"/>
  <c r="M335" i="10"/>
  <c r="N335" i="10" s="1"/>
  <c r="X298" i="10"/>
  <c r="Y298" i="10"/>
  <c r="M298" i="10"/>
  <c r="N298" i="10" s="1"/>
  <c r="X279" i="10"/>
  <c r="L329" i="10"/>
  <c r="M329" i="10" s="1"/>
  <c r="N329" i="10" s="1"/>
  <c r="R135" i="10"/>
  <c r="T135" i="10"/>
  <c r="U135" i="10"/>
  <c r="U40" i="10"/>
  <c r="T40" i="10"/>
  <c r="M207" i="10"/>
  <c r="N207" i="10" s="1"/>
  <c r="X207" i="10"/>
  <c r="U68" i="10"/>
  <c r="R68" i="10"/>
  <c r="T68" i="10"/>
  <c r="M198" i="10"/>
  <c r="N198" i="10" s="1"/>
  <c r="X198" i="10"/>
  <c r="U313" i="10"/>
  <c r="T313" i="10"/>
  <c r="T269" i="10"/>
  <c r="U269" i="10"/>
  <c r="L217" i="10"/>
  <c r="T285" i="10"/>
  <c r="U285" i="10"/>
  <c r="L265" i="10"/>
  <c r="L273" i="10"/>
  <c r="W267" i="10"/>
  <c r="L267" i="10"/>
  <c r="L260" i="10"/>
  <c r="M221" i="10"/>
  <c r="N221" i="10" s="1"/>
  <c r="X221" i="10"/>
  <c r="Y221" i="10"/>
  <c r="Y213" i="10"/>
  <c r="M359" i="10"/>
  <c r="N359" i="10" s="1"/>
  <c r="Y359" i="10"/>
  <c r="X359" i="10"/>
  <c r="M168" i="10"/>
  <c r="N168" i="10" s="1"/>
  <c r="X168" i="10"/>
  <c r="U355" i="10"/>
  <c r="T355" i="10"/>
  <c r="W184" i="10"/>
  <c r="L184" i="10"/>
  <c r="M254" i="10"/>
  <c r="N254" i="10" s="1"/>
  <c r="Y254" i="10"/>
  <c r="X254" i="10"/>
  <c r="M358" i="10"/>
  <c r="N358" i="10" s="1"/>
  <c r="X358" i="10"/>
  <c r="Y358" i="10"/>
  <c r="U183" i="10"/>
  <c r="T183" i="10"/>
  <c r="U142" i="15"/>
  <c r="T142" i="15"/>
  <c r="R142" i="15"/>
  <c r="W391" i="15"/>
  <c r="L391" i="15"/>
  <c r="L194" i="15"/>
  <c r="M194" i="15" s="1"/>
  <c r="N194" i="15" s="1"/>
  <c r="L338" i="15"/>
  <c r="M338" i="15" s="1"/>
  <c r="N338" i="15" s="1"/>
  <c r="T151" i="15"/>
  <c r="R29" i="15"/>
  <c r="U29" i="15"/>
  <c r="U82" i="15"/>
  <c r="T82" i="15"/>
  <c r="R82" i="15"/>
  <c r="T167" i="15"/>
  <c r="R167" i="15"/>
  <c r="U167" i="15"/>
  <c r="W248" i="15"/>
  <c r="L248" i="15"/>
  <c r="L343" i="15"/>
  <c r="W343" i="15"/>
  <c r="T29" i="15"/>
  <c r="X382" i="15"/>
  <c r="M382" i="15"/>
  <c r="N382" i="15" s="1"/>
  <c r="M418" i="15"/>
  <c r="N418" i="15" s="1"/>
  <c r="X418" i="15"/>
  <c r="W490" i="15"/>
  <c r="T488" i="15"/>
  <c r="U488" i="15"/>
  <c r="X348" i="15"/>
  <c r="M348" i="15"/>
  <c r="N348" i="15" s="1"/>
  <c r="U236" i="15"/>
  <c r="L492" i="15"/>
  <c r="M492" i="15" s="1"/>
  <c r="N492" i="15" s="1"/>
  <c r="R79" i="15"/>
  <c r="T196" i="15"/>
  <c r="T346" i="15"/>
  <c r="T481" i="15"/>
  <c r="T332" i="15"/>
  <c r="T325" i="15"/>
  <c r="L442" i="15"/>
  <c r="M442" i="15" s="1"/>
  <c r="N442" i="15" s="1"/>
  <c r="L465" i="15"/>
  <c r="M465" i="15" s="1"/>
  <c r="N465" i="15" s="1"/>
  <c r="X435" i="15"/>
  <c r="R149" i="15"/>
  <c r="X341" i="15"/>
  <c r="X481" i="15"/>
  <c r="M441" i="15"/>
  <c r="N441" i="15" s="1"/>
  <c r="T441" i="15" s="1"/>
  <c r="T458" i="15"/>
  <c r="X278" i="15"/>
  <c r="L406" i="15"/>
  <c r="X406" i="15" s="1"/>
  <c r="T158" i="15"/>
  <c r="R37" i="15"/>
  <c r="X332" i="15"/>
  <c r="T276" i="15"/>
  <c r="L206" i="15"/>
  <c r="M206" i="15" s="1"/>
  <c r="N206" i="15" s="1"/>
  <c r="T279" i="15"/>
  <c r="R25" i="15"/>
  <c r="U25" i="15"/>
  <c r="R164" i="15"/>
  <c r="T164" i="15"/>
  <c r="T76" i="15"/>
  <c r="R76" i="15"/>
  <c r="U76" i="15"/>
  <c r="T132" i="15"/>
  <c r="R132" i="15"/>
  <c r="U132" i="15"/>
  <c r="R189" i="15"/>
  <c r="T189" i="15"/>
  <c r="U189" i="15"/>
  <c r="W270" i="15"/>
  <c r="L270" i="15"/>
  <c r="X466" i="15"/>
  <c r="M466" i="15"/>
  <c r="N466" i="15" s="1"/>
  <c r="W409" i="15"/>
  <c r="L409" i="15"/>
  <c r="M470" i="15"/>
  <c r="N470" i="15" s="1"/>
  <c r="X470" i="15"/>
  <c r="U238" i="15"/>
  <c r="T238" i="15"/>
  <c r="M232" i="15"/>
  <c r="N232" i="15" s="1"/>
  <c r="X232" i="15"/>
  <c r="X488" i="15"/>
  <c r="M469" i="15"/>
  <c r="N469" i="15" s="1"/>
  <c r="X469" i="15"/>
  <c r="M245" i="15"/>
  <c r="N245" i="15" s="1"/>
  <c r="X245" i="15"/>
  <c r="M350" i="15"/>
  <c r="N350" i="15" s="1"/>
  <c r="X350" i="15"/>
  <c r="M330" i="15"/>
  <c r="N330" i="15" s="1"/>
  <c r="X330" i="15"/>
  <c r="M485" i="15"/>
  <c r="N485" i="15" s="1"/>
  <c r="X485" i="15"/>
  <c r="U32" i="15"/>
  <c r="T79" i="15"/>
  <c r="M404" i="15"/>
  <c r="N404" i="15" s="1"/>
  <c r="U404" i="15" s="1"/>
  <c r="U377" i="15"/>
  <c r="U75" i="15"/>
  <c r="L387" i="15"/>
  <c r="R176" i="15"/>
  <c r="R158" i="15"/>
  <c r="M352" i="15"/>
  <c r="N352" i="15" s="1"/>
  <c r="U352" i="15" s="1"/>
  <c r="U164" i="15"/>
  <c r="T341" i="15"/>
  <c r="L223" i="15"/>
  <c r="R54" i="15"/>
  <c r="T54" i="15"/>
  <c r="U54" i="15"/>
  <c r="R89" i="15"/>
  <c r="U89" i="15"/>
  <c r="T89" i="15"/>
  <c r="T25" i="15"/>
  <c r="M394" i="15"/>
  <c r="N394" i="15" s="1"/>
  <c r="X394" i="15"/>
  <c r="W417" i="15"/>
  <c r="L417" i="15"/>
  <c r="R58" i="15"/>
  <c r="U58" i="15"/>
  <c r="T58" i="15"/>
  <c r="W484" i="15"/>
  <c r="L484" i="15"/>
  <c r="M484" i="15" s="1"/>
  <c r="N484" i="15" s="1"/>
  <c r="U17" i="15"/>
  <c r="T17" i="15"/>
  <c r="X302" i="15"/>
  <c r="L490" i="15"/>
  <c r="M490" i="15" s="1"/>
  <c r="N490" i="15" s="1"/>
  <c r="U490" i="15" s="1"/>
  <c r="T402" i="15"/>
  <c r="M429" i="15"/>
  <c r="N429" i="15" s="1"/>
  <c r="X429" i="15"/>
  <c r="U102" i="15"/>
  <c r="T102" i="15"/>
  <c r="R102" i="15"/>
  <c r="R144" i="15"/>
  <c r="T144" i="15"/>
  <c r="U144" i="15"/>
  <c r="X314" i="15"/>
  <c r="M314" i="15"/>
  <c r="N314" i="15" s="1"/>
  <c r="W447" i="15"/>
  <c r="L447" i="15"/>
  <c r="W451" i="15"/>
  <c r="L451" i="15"/>
  <c r="M451" i="15" s="1"/>
  <c r="N451" i="15" s="1"/>
  <c r="L320" i="15"/>
  <c r="W320" i="15"/>
  <c r="M252" i="15"/>
  <c r="N252" i="15" s="1"/>
  <c r="X252" i="15"/>
  <c r="T67" i="15"/>
  <c r="R67" i="15"/>
  <c r="U67" i="15"/>
  <c r="M247" i="15"/>
  <c r="N247" i="15" s="1"/>
  <c r="X247" i="15"/>
  <c r="L213" i="15"/>
  <c r="W213" i="15"/>
  <c r="L328" i="15"/>
  <c r="W328" i="15"/>
  <c r="R108" i="15"/>
  <c r="T108" i="15"/>
  <c r="U108" i="15"/>
  <c r="X349" i="15"/>
  <c r="M349" i="15"/>
  <c r="N349" i="15" s="1"/>
  <c r="X369" i="15"/>
  <c r="M369" i="15"/>
  <c r="N369" i="15" s="1"/>
  <c r="D16" i="3"/>
  <c r="L219" i="15"/>
  <c r="M219" i="15" s="1"/>
  <c r="N219" i="15" s="1"/>
  <c r="X251" i="15"/>
  <c r="M251" i="15"/>
  <c r="N251" i="15" s="1"/>
  <c r="T95" i="15"/>
  <c r="U95" i="15"/>
  <c r="R95" i="15"/>
  <c r="W317" i="15"/>
  <c r="L317" i="15"/>
  <c r="U220" i="15"/>
  <c r="T220" i="15"/>
  <c r="L487" i="15"/>
  <c r="W487" i="15"/>
  <c r="U18" i="15"/>
  <c r="T18" i="15"/>
  <c r="T309" i="15"/>
  <c r="U309" i="15"/>
  <c r="X408" i="15"/>
  <c r="M408" i="15"/>
  <c r="N408" i="15" s="1"/>
  <c r="X413" i="15"/>
  <c r="M413" i="15"/>
  <c r="N413" i="15" s="1"/>
  <c r="L202" i="15"/>
  <c r="M202" i="15" s="1"/>
  <c r="N202" i="15" s="1"/>
  <c r="W202" i="15"/>
  <c r="X295" i="15"/>
  <c r="L424" i="15"/>
  <c r="X424" i="15" s="1"/>
  <c r="T69" i="15"/>
  <c r="L419" i="15"/>
  <c r="M419" i="15" s="1"/>
  <c r="N419" i="15" s="1"/>
  <c r="L403" i="15"/>
  <c r="L239" i="15"/>
  <c r="M239" i="15" s="1"/>
  <c r="N239" i="15" s="1"/>
  <c r="U74" i="15"/>
  <c r="R74" i="15"/>
  <c r="T74" i="15"/>
  <c r="T73" i="15"/>
  <c r="U73" i="15"/>
  <c r="R73" i="15"/>
  <c r="T15" i="15"/>
  <c r="U15" i="15"/>
  <c r="W195" i="15"/>
  <c r="L195" i="15"/>
  <c r="M231" i="15"/>
  <c r="N231" i="15" s="1"/>
  <c r="X231" i="15"/>
  <c r="W261" i="15"/>
  <c r="L261" i="15"/>
  <c r="M364" i="15"/>
  <c r="N364" i="15" s="1"/>
  <c r="X364" i="15"/>
  <c r="L358" i="15"/>
  <c r="U90" i="15"/>
  <c r="T90" i="15"/>
  <c r="R90" i="15"/>
  <c r="U321" i="15"/>
  <c r="T321" i="15"/>
  <c r="X226" i="15"/>
  <c r="M226" i="15"/>
  <c r="N226" i="15" s="1"/>
  <c r="T351" i="15"/>
  <c r="R86" i="15"/>
  <c r="T86" i="15"/>
  <c r="U86" i="15"/>
  <c r="R117" i="15"/>
  <c r="U117" i="15"/>
  <c r="T117" i="15"/>
  <c r="W471" i="15"/>
  <c r="L471" i="15"/>
  <c r="M263" i="15"/>
  <c r="N263" i="15" s="1"/>
  <c r="X263" i="15"/>
  <c r="M456" i="15"/>
  <c r="N456" i="15" s="1"/>
  <c r="X456" i="15"/>
  <c r="X449" i="15"/>
  <c r="M449" i="15"/>
  <c r="N449" i="15" s="1"/>
  <c r="X218" i="15"/>
  <c r="M218" i="15"/>
  <c r="N218" i="15" s="1"/>
  <c r="T241" i="15"/>
  <c r="U241" i="15"/>
  <c r="U441" i="15"/>
  <c r="T277" i="15"/>
  <c r="U277" i="15"/>
  <c r="T35" i="15"/>
  <c r="R35" i="15"/>
  <c r="U35" i="15"/>
  <c r="L197" i="15"/>
  <c r="U298" i="15"/>
  <c r="T298" i="15"/>
  <c r="X233" i="15"/>
  <c r="M233" i="15"/>
  <c r="N233" i="15" s="1"/>
  <c r="M434" i="15"/>
  <c r="N434" i="15" s="1"/>
  <c r="X434" i="15"/>
  <c r="X464" i="15"/>
  <c r="M464" i="15"/>
  <c r="N464" i="15" s="1"/>
  <c r="T352" i="15"/>
  <c r="L393" i="15"/>
  <c r="L331" i="15"/>
  <c r="L255" i="15"/>
  <c r="W255" i="15"/>
  <c r="X498" i="15"/>
  <c r="M498" i="15"/>
  <c r="N498" i="15" s="1"/>
  <c r="T273" i="15"/>
  <c r="U273" i="15"/>
  <c r="M246" i="15"/>
  <c r="N246" i="15" s="1"/>
  <c r="X246" i="15"/>
  <c r="U244" i="15"/>
  <c r="T244" i="15"/>
  <c r="T380" i="15"/>
  <c r="U380" i="15"/>
  <c r="L235" i="15"/>
  <c r="M235" i="15" s="1"/>
  <c r="N235" i="15" s="1"/>
  <c r="W235" i="15"/>
  <c r="L415" i="15"/>
  <c r="M415" i="15" s="1"/>
  <c r="N415" i="15" s="1"/>
  <c r="W415" i="15"/>
  <c r="U173" i="15"/>
  <c r="T173" i="15"/>
  <c r="R173" i="15"/>
  <c r="U319" i="15"/>
  <c r="T319" i="15"/>
  <c r="L450" i="15"/>
  <c r="L268" i="15"/>
  <c r="M268" i="15" s="1"/>
  <c r="N268" i="15" s="1"/>
  <c r="T444" i="15"/>
  <c r="R65" i="15"/>
  <c r="U65" i="15"/>
  <c r="T65" i="15"/>
  <c r="U425" i="15"/>
  <c r="R53" i="15"/>
  <c r="U53" i="15"/>
  <c r="T53" i="15"/>
  <c r="R217" i="15"/>
  <c r="M216" i="15"/>
  <c r="N216" i="15" s="1"/>
  <c r="M287" i="15"/>
  <c r="N287" i="15" s="1"/>
  <c r="X287" i="15"/>
  <c r="X390" i="15"/>
  <c r="M390" i="15"/>
  <c r="N390" i="15" s="1"/>
  <c r="L271" i="15"/>
  <c r="L275" i="15"/>
  <c r="W275" i="15"/>
  <c r="W360" i="15"/>
  <c r="L360" i="15"/>
  <c r="X425" i="15"/>
  <c r="L468" i="15"/>
  <c r="W468" i="15"/>
  <c r="U177" i="15"/>
  <c r="T177" i="15"/>
  <c r="R177" i="15"/>
  <c r="X269" i="15"/>
  <c r="M269" i="15"/>
  <c r="N269" i="15" s="1"/>
  <c r="M453" i="15"/>
  <c r="N453" i="15" s="1"/>
  <c r="X453" i="15"/>
  <c r="L303" i="15"/>
  <c r="M303" i="15" s="1"/>
  <c r="N303" i="15" s="1"/>
  <c r="W229" i="15"/>
  <c r="L229" i="15"/>
  <c r="M334" i="15"/>
  <c r="N334" i="15" s="1"/>
  <c r="X334" i="15"/>
  <c r="M455" i="15"/>
  <c r="N455" i="15" s="1"/>
  <c r="X455" i="15"/>
  <c r="L347" i="15"/>
  <c r="M411" i="15"/>
  <c r="N411" i="15" s="1"/>
  <c r="X411" i="15"/>
  <c r="U116" i="15"/>
  <c r="T116" i="15"/>
  <c r="R116" i="15"/>
  <c r="L440" i="15"/>
  <c r="W440" i="15"/>
  <c r="R145" i="15"/>
  <c r="T145" i="15"/>
  <c r="U145" i="15"/>
  <c r="M480" i="15"/>
  <c r="N480" i="15" s="1"/>
  <c r="X480" i="15"/>
  <c r="T91" i="15"/>
  <c r="R91" i="15"/>
  <c r="U91" i="15"/>
  <c r="U168" i="15"/>
  <c r="R168" i="15"/>
  <c r="T168" i="15"/>
  <c r="L365" i="15"/>
  <c r="U427" i="15"/>
  <c r="T21" i="15"/>
  <c r="U21" i="15"/>
  <c r="W459" i="15"/>
  <c r="L459" i="15"/>
  <c r="W224" i="15"/>
  <c r="L224" i="15"/>
  <c r="T22" i="15"/>
  <c r="U22" i="15"/>
  <c r="X460" i="15"/>
  <c r="M460" i="15"/>
  <c r="N460" i="15" s="1"/>
  <c r="X388" i="15"/>
  <c r="M388" i="15"/>
  <c r="N388" i="15" s="1"/>
  <c r="U435" i="15"/>
  <c r="T435" i="15"/>
  <c r="T316" i="15"/>
  <c r="U316" i="15"/>
  <c r="U172" i="15"/>
  <c r="T172" i="15"/>
  <c r="R172" i="15"/>
  <c r="M215" i="15"/>
  <c r="N215" i="15" s="1"/>
  <c r="X215" i="15"/>
  <c r="W306" i="15"/>
  <c r="L306" i="15"/>
  <c r="L368" i="15"/>
  <c r="T162" i="15"/>
  <c r="R162" i="15"/>
  <c r="U162" i="15"/>
  <c r="T84" i="15"/>
  <c r="U84" i="15"/>
  <c r="R84" i="15"/>
  <c r="R191" i="15"/>
  <c r="U191" i="15"/>
  <c r="T191" i="15"/>
  <c r="L355" i="15"/>
  <c r="M214" i="15"/>
  <c r="N214" i="15" s="1"/>
  <c r="X214" i="15"/>
  <c r="R181" i="15"/>
  <c r="T181" i="15"/>
  <c r="U181" i="15"/>
  <c r="M243" i="15"/>
  <c r="N243" i="15" s="1"/>
  <c r="L344" i="15"/>
  <c r="L209" i="15"/>
  <c r="X351" i="15"/>
  <c r="U88" i="15"/>
  <c r="R88" i="15"/>
  <c r="T88" i="15"/>
  <c r="T106" i="15"/>
  <c r="R106" i="15"/>
  <c r="U106" i="15"/>
  <c r="X205" i="15"/>
  <c r="M205" i="15"/>
  <c r="N205" i="15" s="1"/>
  <c r="M228" i="15"/>
  <c r="N228" i="15" s="1"/>
  <c r="X228" i="15"/>
  <c r="M225" i="15"/>
  <c r="N225" i="15" s="1"/>
  <c r="X225" i="15"/>
  <c r="T443" i="15"/>
  <c r="U443" i="15"/>
  <c r="X6" i="15"/>
  <c r="X499" i="15"/>
  <c r="M499" i="15"/>
  <c r="N499" i="15" s="1"/>
  <c r="X340" i="15"/>
  <c r="M340" i="15"/>
  <c r="N340" i="15" s="1"/>
  <c r="M249" i="15"/>
  <c r="N249" i="15" s="1"/>
  <c r="X249" i="15"/>
  <c r="U353" i="15"/>
  <c r="T353" i="15"/>
  <c r="T258" i="15"/>
  <c r="U258" i="15"/>
  <c r="T357" i="15"/>
  <c r="U357" i="15"/>
  <c r="T200" i="15"/>
  <c r="U200" i="15"/>
  <c r="L428" i="15"/>
  <c r="T414" i="15"/>
  <c r="U414" i="15"/>
  <c r="X472" i="15"/>
  <c r="M472" i="15"/>
  <c r="N472" i="15" s="1"/>
  <c r="X284" i="15"/>
  <c r="M284" i="15"/>
  <c r="N284" i="15" s="1"/>
  <c r="M315" i="15"/>
  <c r="N315" i="15" s="1"/>
  <c r="X315" i="15"/>
  <c r="U452" i="15"/>
  <c r="T452" i="15"/>
  <c r="X312" i="15"/>
  <c r="M312" i="15"/>
  <c r="N312" i="15" s="1"/>
  <c r="X305" i="15"/>
  <c r="M305" i="15"/>
  <c r="N305" i="15" s="1"/>
  <c r="M431" i="15"/>
  <c r="N431" i="15" s="1"/>
  <c r="X431" i="15"/>
  <c r="X253" i="15"/>
  <c r="M253" i="15"/>
  <c r="N253" i="15" s="1"/>
  <c r="T240" i="15"/>
  <c r="U240" i="15"/>
  <c r="U362" i="15"/>
  <c r="T362" i="15"/>
  <c r="T407" i="15"/>
  <c r="U407" i="15"/>
  <c r="T416" i="15"/>
  <c r="U416" i="15"/>
  <c r="U227" i="15"/>
  <c r="T227" i="15"/>
  <c r="T436" i="15"/>
  <c r="U436" i="15"/>
  <c r="X473" i="15"/>
  <c r="M473" i="15"/>
  <c r="N473" i="15" s="1"/>
  <c r="M259" i="15"/>
  <c r="N259" i="15" s="1"/>
  <c r="X259" i="15"/>
  <c r="M457" i="15"/>
  <c r="N457" i="15" s="1"/>
  <c r="X457" i="15"/>
  <c r="T133" i="15"/>
  <c r="U133" i="15"/>
  <c r="R133" i="15"/>
  <c r="X475" i="15"/>
  <c r="M475" i="15"/>
  <c r="N475" i="15" s="1"/>
  <c r="X462" i="15"/>
  <c r="M462" i="15"/>
  <c r="N462" i="15" s="1"/>
  <c r="U379" i="15"/>
  <c r="T379" i="15"/>
  <c r="T421" i="15"/>
  <c r="U421" i="15"/>
  <c r="T293" i="15"/>
  <c r="U293" i="15"/>
  <c r="U373" i="15"/>
  <c r="T373" i="15"/>
  <c r="U237" i="15"/>
  <c r="T237" i="15"/>
  <c r="X327" i="15"/>
  <c r="M327" i="15"/>
  <c r="N327" i="15" s="1"/>
  <c r="L256" i="15"/>
  <c r="R99" i="15"/>
  <c r="U99" i="15"/>
  <c r="T99" i="15"/>
  <c r="M476" i="15"/>
  <c r="N476" i="15" s="1"/>
  <c r="X476" i="15"/>
  <c r="M494" i="15"/>
  <c r="N494" i="15" s="1"/>
  <c r="X494" i="15"/>
  <c r="X230" i="15"/>
  <c r="M230" i="15"/>
  <c r="N230" i="15" s="1"/>
  <c r="M339" i="15"/>
  <c r="N339" i="15" s="1"/>
  <c r="X339" i="15"/>
  <c r="T234" i="15"/>
  <c r="U234" i="15"/>
  <c r="U439" i="15"/>
  <c r="T439" i="15"/>
  <c r="M383" i="15"/>
  <c r="N383" i="15" s="1"/>
  <c r="X383" i="15"/>
  <c r="T463" i="15"/>
  <c r="U463" i="15"/>
  <c r="M365" i="15"/>
  <c r="N365" i="15" s="1"/>
  <c r="X365" i="15"/>
  <c r="H537" i="15"/>
  <c r="F13" i="3" s="1"/>
  <c r="T361" i="15"/>
  <c r="U361" i="15"/>
  <c r="U294" i="15"/>
  <c r="T294" i="15"/>
  <c r="X193" i="15"/>
  <c r="M193" i="15"/>
  <c r="X426" i="15"/>
  <c r="M426" i="15"/>
  <c r="N426" i="15" s="1"/>
  <c r="X286" i="15"/>
  <c r="M286" i="15"/>
  <c r="N286" i="15" s="1"/>
  <c r="T262" i="15"/>
  <c r="U262" i="15"/>
  <c r="T375" i="15"/>
  <c r="U375" i="15"/>
  <c r="U398" i="15"/>
  <c r="T398" i="15"/>
  <c r="U381" i="15"/>
  <c r="T381" i="15"/>
  <c r="X318" i="15"/>
  <c r="M318" i="15"/>
  <c r="N318" i="15" s="1"/>
  <c r="M262" i="10"/>
  <c r="N262" i="10" s="1"/>
  <c r="Y262" i="10"/>
  <c r="X262" i="10"/>
  <c r="X7" i="10"/>
  <c r="T169" i="10"/>
  <c r="U169" i="10"/>
  <c r="T78" i="10"/>
  <c r="R78" i="10"/>
  <c r="U78" i="10"/>
  <c r="U292" i="10"/>
  <c r="T292" i="10"/>
  <c r="U26" i="10"/>
  <c r="T26" i="10"/>
  <c r="R63" i="10"/>
  <c r="T63" i="10"/>
  <c r="U63" i="10"/>
  <c r="M288" i="10"/>
  <c r="N288" i="10" s="1"/>
  <c r="Y288" i="10"/>
  <c r="X288" i="10"/>
  <c r="X353" i="10"/>
  <c r="Y353" i="10"/>
  <c r="M353" i="10"/>
  <c r="N353" i="10" s="1"/>
  <c r="T176" i="10"/>
  <c r="U176" i="10"/>
  <c r="U279" i="10"/>
  <c r="U204" i="10"/>
  <c r="T204" i="10"/>
  <c r="H378" i="10"/>
  <c r="F27" i="3" s="1"/>
  <c r="N165" i="10"/>
  <c r="L195" i="10"/>
  <c r="U215" i="10"/>
  <c r="T215" i="10"/>
  <c r="X231" i="10"/>
  <c r="M203" i="10"/>
  <c r="N203" i="10" s="1"/>
  <c r="X203" i="10"/>
  <c r="L173" i="10"/>
  <c r="U113" i="10"/>
  <c r="R113" i="10"/>
  <c r="T113" i="10"/>
  <c r="U342" i="10"/>
  <c r="T342" i="10"/>
  <c r="W332" i="10"/>
  <c r="L332" i="10"/>
  <c r="Y307" i="10"/>
  <c r="M307" i="10"/>
  <c r="N307" i="10" s="1"/>
  <c r="X307" i="10"/>
  <c r="M199" i="10"/>
  <c r="N199" i="10" s="1"/>
  <c r="X199" i="10"/>
  <c r="T58" i="10"/>
  <c r="U58" i="10"/>
  <c r="R58" i="10"/>
  <c r="M317" i="10"/>
  <c r="N317" i="10" s="1"/>
  <c r="Y317" i="10"/>
  <c r="X317" i="10"/>
  <c r="M351" i="10"/>
  <c r="N351" i="10" s="1"/>
  <c r="X351" i="10"/>
  <c r="Y351" i="10"/>
  <c r="T222" i="10"/>
  <c r="U222" i="10"/>
  <c r="Y252" i="10"/>
  <c r="X252" i="10"/>
  <c r="M252" i="10"/>
  <c r="N252" i="10" s="1"/>
  <c r="X179" i="10"/>
  <c r="M179" i="10"/>
  <c r="N179" i="10" s="1"/>
  <c r="T228" i="10"/>
  <c r="U228" i="10"/>
  <c r="U171" i="10"/>
  <c r="T171" i="10"/>
  <c r="U132" i="10"/>
  <c r="R132" i="10"/>
  <c r="T132" i="10"/>
  <c r="U185" i="10"/>
  <c r="T185" i="10"/>
  <c r="X263" i="10"/>
  <c r="M263" i="10"/>
  <c r="N263" i="10" s="1"/>
  <c r="Y263" i="10"/>
  <c r="U296" i="10"/>
  <c r="T296" i="10"/>
  <c r="U27" i="10"/>
  <c r="T27" i="10"/>
  <c r="X345" i="10"/>
  <c r="Y345" i="10"/>
  <c r="X294" i="10"/>
  <c r="Y294" i="10"/>
  <c r="M294" i="10"/>
  <c r="N294" i="10" s="1"/>
  <c r="U289" i="10"/>
  <c r="T289" i="10"/>
  <c r="M320" i="10"/>
  <c r="N320" i="10" s="1"/>
  <c r="X320" i="10"/>
  <c r="Y320" i="10"/>
  <c r="R124" i="10"/>
  <c r="T124" i="10"/>
  <c r="U38" i="10"/>
  <c r="T38" i="10"/>
  <c r="M210" i="10"/>
  <c r="N210" i="10" s="1"/>
  <c r="X210" i="10"/>
  <c r="Y210" i="10"/>
  <c r="T218" i="10"/>
  <c r="U218" i="10"/>
  <c r="T80" i="10"/>
  <c r="R80" i="10"/>
  <c r="Y361" i="10"/>
  <c r="M361" i="10"/>
  <c r="N361" i="10" s="1"/>
  <c r="X361" i="10"/>
  <c r="Y232" i="10"/>
  <c r="X232" i="10"/>
  <c r="M232" i="10"/>
  <c r="N232" i="10" s="1"/>
  <c r="Y328" i="10"/>
  <c r="M328" i="10"/>
  <c r="N328" i="10" s="1"/>
  <c r="X328" i="10"/>
  <c r="U268" i="10"/>
  <c r="T268" i="10"/>
  <c r="M219" i="10"/>
  <c r="N219" i="10" s="1"/>
  <c r="U338" i="10"/>
  <c r="T338" i="10"/>
  <c r="T229" i="10"/>
  <c r="U229" i="10"/>
  <c r="Y303" i="10"/>
  <c r="X303" i="10"/>
  <c r="M303" i="10"/>
  <c r="N303" i="10" s="1"/>
  <c r="W170" i="10"/>
  <c r="L170" i="10"/>
  <c r="T128" i="10"/>
  <c r="R128" i="10"/>
  <c r="U128" i="10"/>
  <c r="T123" i="10"/>
  <c r="U123" i="10"/>
  <c r="R123" i="10"/>
  <c r="T9" i="10"/>
  <c r="U9" i="10"/>
  <c r="U272" i="10"/>
  <c r="T272" i="10"/>
  <c r="T142" i="14" l="1"/>
  <c r="U142" i="14"/>
  <c r="U297" i="13"/>
  <c r="T297" i="13"/>
  <c r="T253" i="13"/>
  <c r="U253" i="13"/>
  <c r="R70" i="13"/>
  <c r="U70" i="13"/>
  <c r="T70" i="13"/>
  <c r="T303" i="13"/>
  <c r="U303" i="13"/>
  <c r="G8" i="3"/>
  <c r="F2" i="2"/>
  <c r="M372" i="15"/>
  <c r="N372" i="15" s="1"/>
  <c r="X372" i="15"/>
  <c r="W447" i="13"/>
  <c r="T393" i="16"/>
  <c r="T148" i="14"/>
  <c r="U148" i="14"/>
  <c r="T191" i="10"/>
  <c r="U290" i="10"/>
  <c r="X306" i="10"/>
  <c r="X211" i="16"/>
  <c r="X353" i="16"/>
  <c r="X185" i="9"/>
  <c r="Y231" i="10"/>
  <c r="X275" i="10"/>
  <c r="R201" i="14"/>
  <c r="T152" i="14"/>
  <c r="U152" i="14"/>
  <c r="R152" i="14"/>
  <c r="T273" i="13"/>
  <c r="U273" i="13"/>
  <c r="X452" i="16"/>
  <c r="X321" i="16"/>
  <c r="U258" i="13"/>
  <c r="T258" i="13"/>
  <c r="T212" i="13"/>
  <c r="U212" i="13"/>
  <c r="U288" i="13"/>
  <c r="T288" i="13"/>
  <c r="U309" i="13"/>
  <c r="T309" i="13"/>
  <c r="M295" i="16"/>
  <c r="N295" i="16" s="1"/>
  <c r="X295" i="16"/>
  <c r="M60" i="9"/>
  <c r="N60" i="9" s="1"/>
  <c r="T60" i="9" s="1"/>
  <c r="X60" i="9"/>
  <c r="X109" i="9"/>
  <c r="M109" i="9"/>
  <c r="N109" i="9" s="1"/>
  <c r="U139" i="14"/>
  <c r="T139" i="14"/>
  <c r="X203" i="16"/>
  <c r="U206" i="13"/>
  <c r="T206" i="13"/>
  <c r="T52" i="13"/>
  <c r="U52" i="13"/>
  <c r="R52" i="13"/>
  <c r="X286" i="16"/>
  <c r="F31" i="3"/>
  <c r="X131" i="9"/>
  <c r="T169" i="14"/>
  <c r="U169" i="14"/>
  <c r="U124" i="9"/>
  <c r="T124" i="9"/>
  <c r="X194" i="15"/>
  <c r="M92" i="9"/>
  <c r="N92" i="9" s="1"/>
  <c r="X92" i="9"/>
  <c r="X264" i="15"/>
  <c r="M264" i="15"/>
  <c r="N264" i="15" s="1"/>
  <c r="T340" i="10"/>
  <c r="Y329" i="10"/>
  <c r="Y323" i="10"/>
  <c r="W240" i="9"/>
  <c r="T5" i="6"/>
  <c r="U5" i="6"/>
  <c r="N6" i="6"/>
  <c r="M446" i="16"/>
  <c r="N446" i="16" s="1"/>
  <c r="X446" i="16"/>
  <c r="M385" i="16"/>
  <c r="N385" i="16" s="1"/>
  <c r="X385" i="16"/>
  <c r="X367" i="16"/>
  <c r="M367" i="16"/>
  <c r="N367" i="16" s="1"/>
  <c r="M438" i="16"/>
  <c r="N438" i="16" s="1"/>
  <c r="M363" i="16"/>
  <c r="N363" i="16" s="1"/>
  <c r="X363" i="16"/>
  <c r="X190" i="16"/>
  <c r="M190" i="16"/>
  <c r="N190" i="16" s="1"/>
  <c r="X329" i="16"/>
  <c r="X403" i="16"/>
  <c r="U321" i="16"/>
  <c r="T321" i="16"/>
  <c r="X395" i="16"/>
  <c r="X359" i="16"/>
  <c r="T343" i="16"/>
  <c r="U343" i="16"/>
  <c r="X418" i="16"/>
  <c r="X158" i="9"/>
  <c r="M158" i="9"/>
  <c r="N158" i="9" s="1"/>
  <c r="X144" i="9"/>
  <c r="M144" i="9"/>
  <c r="N144" i="9" s="1"/>
  <c r="M175" i="9"/>
  <c r="N175" i="9" s="1"/>
  <c r="X175" i="9"/>
  <c r="T121" i="9"/>
  <c r="U121" i="9"/>
  <c r="M58" i="9"/>
  <c r="N58" i="9" s="1"/>
  <c r="X58" i="9"/>
  <c r="T137" i="9"/>
  <c r="U137" i="9"/>
  <c r="X162" i="9"/>
  <c r="M162" i="9"/>
  <c r="N162" i="9" s="1"/>
  <c r="X127" i="9"/>
  <c r="M127" i="9"/>
  <c r="N127" i="9" s="1"/>
  <c r="T209" i="9"/>
  <c r="T53" i="9"/>
  <c r="U53" i="9"/>
  <c r="U212" i="9"/>
  <c r="M105" i="9"/>
  <c r="N105" i="9" s="1"/>
  <c r="X105" i="9"/>
  <c r="U189" i="9"/>
  <c r="T189" i="9"/>
  <c r="U150" i="9"/>
  <c r="T150" i="9"/>
  <c r="T129" i="9"/>
  <c r="U129" i="9"/>
  <c r="M140" i="9"/>
  <c r="N140" i="9" s="1"/>
  <c r="X140" i="9"/>
  <c r="U141" i="9"/>
  <c r="T141" i="9"/>
  <c r="T196" i="9"/>
  <c r="U196" i="9"/>
  <c r="M183" i="9"/>
  <c r="N183" i="9" s="1"/>
  <c r="X183" i="9"/>
  <c r="M99" i="9"/>
  <c r="N99" i="9" s="1"/>
  <c r="X99" i="9"/>
  <c r="M75" i="9"/>
  <c r="N75" i="9" s="1"/>
  <c r="X75" i="9"/>
  <c r="X67" i="9"/>
  <c r="M67" i="9"/>
  <c r="N67" i="9" s="1"/>
  <c r="T146" i="9"/>
  <c r="U146" i="9"/>
  <c r="T131" i="9"/>
  <c r="U131" i="9"/>
  <c r="M198" i="9"/>
  <c r="N198" i="9" s="1"/>
  <c r="X198" i="9"/>
  <c r="T148" i="9"/>
  <c r="U148" i="9"/>
  <c r="T85" i="9"/>
  <c r="U85" i="9"/>
  <c r="X178" i="9"/>
  <c r="M178" i="9"/>
  <c r="N178" i="9" s="1"/>
  <c r="T168" i="9"/>
  <c r="U168" i="9"/>
  <c r="T77" i="9"/>
  <c r="U77" i="9"/>
  <c r="U154" i="9"/>
  <c r="T154" i="9"/>
  <c r="X74" i="9"/>
  <c r="M74" i="9"/>
  <c r="N74" i="9" s="1"/>
  <c r="M210" i="9"/>
  <c r="N210" i="9" s="1"/>
  <c r="X210" i="9"/>
  <c r="T173" i="9"/>
  <c r="U173" i="9"/>
  <c r="T123" i="9"/>
  <c r="U123" i="9"/>
  <c r="U197" i="9"/>
  <c r="T197" i="9"/>
  <c r="X172" i="9"/>
  <c r="M172" i="9"/>
  <c r="N172" i="9" s="1"/>
  <c r="X80" i="9"/>
  <c r="X63" i="9"/>
  <c r="M63" i="9"/>
  <c r="N63" i="9" s="1"/>
  <c r="M94" i="9"/>
  <c r="N94" i="9" s="1"/>
  <c r="X94" i="9"/>
  <c r="T166" i="9"/>
  <c r="U166" i="9"/>
  <c r="T111" i="9"/>
  <c r="U111" i="9"/>
  <c r="U192" i="9"/>
  <c r="T192" i="9"/>
  <c r="M152" i="9"/>
  <c r="N152" i="9" s="1"/>
  <c r="X152" i="9"/>
  <c r="U80" i="9"/>
  <c r="T80" i="9"/>
  <c r="U118" i="9"/>
  <c r="T118" i="9"/>
  <c r="U98" i="9"/>
  <c r="T98" i="9"/>
  <c r="T90" i="9"/>
  <c r="U90" i="9"/>
  <c r="T79" i="9"/>
  <c r="U79" i="9"/>
  <c r="U143" i="9"/>
  <c r="T143" i="9"/>
  <c r="X191" i="9"/>
  <c r="M191" i="9"/>
  <c r="N191" i="9" s="1"/>
  <c r="M155" i="9"/>
  <c r="N155" i="9" s="1"/>
  <c r="X155" i="9"/>
  <c r="M147" i="9"/>
  <c r="N147" i="9" s="1"/>
  <c r="X147" i="9"/>
  <c r="T110" i="9"/>
  <c r="U110" i="9"/>
  <c r="U52" i="9"/>
  <c r="T52" i="9"/>
  <c r="X161" i="9"/>
  <c r="M72" i="9"/>
  <c r="N72" i="9" s="1"/>
  <c r="X72" i="9"/>
  <c r="U130" i="9"/>
  <c r="T130" i="9"/>
  <c r="T184" i="9"/>
  <c r="U184" i="9"/>
  <c r="U157" i="9"/>
  <c r="T157" i="9"/>
  <c r="U133" i="9"/>
  <c r="T133" i="9"/>
  <c r="T160" i="9"/>
  <c r="U160" i="9"/>
  <c r="U95" i="9"/>
  <c r="T95" i="9"/>
  <c r="X187" i="9"/>
  <c r="M187" i="9"/>
  <c r="N187" i="9" s="1"/>
  <c r="M142" i="9"/>
  <c r="N142" i="9" s="1"/>
  <c r="X142" i="9"/>
  <c r="T306" i="16"/>
  <c r="M261" i="16"/>
  <c r="N261" i="16" s="1"/>
  <c r="X261" i="16"/>
  <c r="U356" i="16"/>
  <c r="T356" i="16"/>
  <c r="M265" i="16"/>
  <c r="N265" i="16" s="1"/>
  <c r="X265" i="16"/>
  <c r="U328" i="16"/>
  <c r="T328" i="16"/>
  <c r="M358" i="16"/>
  <c r="N358" i="16" s="1"/>
  <c r="X358" i="16"/>
  <c r="X291" i="16"/>
  <c r="M291" i="16"/>
  <c r="N291" i="16" s="1"/>
  <c r="U457" i="16"/>
  <c r="T457" i="16"/>
  <c r="M350" i="16"/>
  <c r="N350" i="16" s="1"/>
  <c r="X350" i="16"/>
  <c r="M238" i="16"/>
  <c r="N238" i="16" s="1"/>
  <c r="X238" i="16"/>
  <c r="U391" i="16"/>
  <c r="T391" i="16"/>
  <c r="M304" i="16"/>
  <c r="N304" i="16" s="1"/>
  <c r="X304" i="16"/>
  <c r="X284" i="16"/>
  <c r="M284" i="16"/>
  <c r="N284" i="16" s="1"/>
  <c r="X227" i="16"/>
  <c r="X306" i="16"/>
  <c r="X386" i="16"/>
  <c r="M386" i="16"/>
  <c r="N386" i="16" s="1"/>
  <c r="M208" i="16"/>
  <c r="N208" i="16" s="1"/>
  <c r="X208" i="16"/>
  <c r="X356" i="16"/>
  <c r="U257" i="16"/>
  <c r="T257" i="16"/>
  <c r="X278" i="16"/>
  <c r="M278" i="16"/>
  <c r="N278" i="16" s="1"/>
  <c r="U427" i="16"/>
  <c r="T427" i="16"/>
  <c r="M342" i="16"/>
  <c r="N342" i="16" s="1"/>
  <c r="X342" i="16"/>
  <c r="M415" i="16"/>
  <c r="N415" i="16" s="1"/>
  <c r="X415" i="16"/>
  <c r="U396" i="16"/>
  <c r="T396" i="16"/>
  <c r="M425" i="16"/>
  <c r="N425" i="16" s="1"/>
  <c r="X425" i="16"/>
  <c r="X338" i="16"/>
  <c r="M338" i="16"/>
  <c r="N338" i="16" s="1"/>
  <c r="X246" i="16"/>
  <c r="M246" i="16"/>
  <c r="N246" i="16" s="1"/>
  <c r="U267" i="16"/>
  <c r="T267" i="16"/>
  <c r="M327" i="16"/>
  <c r="N327" i="16" s="1"/>
  <c r="X327" i="16"/>
  <c r="M450" i="16"/>
  <c r="N450" i="16" s="1"/>
  <c r="X450" i="16"/>
  <c r="U193" i="16"/>
  <c r="T193" i="16"/>
  <c r="U397" i="16"/>
  <c r="T397" i="16"/>
  <c r="U271" i="16"/>
  <c r="T271" i="16"/>
  <c r="U199" i="16"/>
  <c r="T199" i="16"/>
  <c r="U218" i="16"/>
  <c r="T218" i="16"/>
  <c r="X325" i="16"/>
  <c r="M325" i="16"/>
  <c r="N325" i="16" s="1"/>
  <c r="U438" i="16"/>
  <c r="T438" i="16"/>
  <c r="X370" i="16"/>
  <c r="M370" i="16"/>
  <c r="N370" i="16" s="1"/>
  <c r="T407" i="16"/>
  <c r="U407" i="16"/>
  <c r="U303" i="16"/>
  <c r="T303" i="16"/>
  <c r="T181" i="16"/>
  <c r="U181" i="16"/>
  <c r="X397" i="16"/>
  <c r="X180" i="16"/>
  <c r="M339" i="16"/>
  <c r="N339" i="16" s="1"/>
  <c r="X339" i="16"/>
  <c r="M221" i="16"/>
  <c r="N221" i="16" s="1"/>
  <c r="X221" i="16"/>
  <c r="X262" i="16"/>
  <c r="M262" i="16"/>
  <c r="N262" i="16" s="1"/>
  <c r="U432" i="16"/>
  <c r="T432" i="16"/>
  <c r="U194" i="16"/>
  <c r="T194" i="16"/>
  <c r="X411" i="16"/>
  <c r="M411" i="16"/>
  <c r="N411" i="16" s="1"/>
  <c r="M382" i="16"/>
  <c r="N382" i="16" s="1"/>
  <c r="X382" i="16"/>
  <c r="X357" i="16"/>
  <c r="M357" i="16"/>
  <c r="N357" i="16" s="1"/>
  <c r="M296" i="16"/>
  <c r="N296" i="16" s="1"/>
  <c r="X296" i="16"/>
  <c r="M434" i="16"/>
  <c r="N434" i="16" s="1"/>
  <c r="X434" i="16"/>
  <c r="U409" i="16"/>
  <c r="T409" i="16"/>
  <c r="X181" i="16"/>
  <c r="T298" i="16"/>
  <c r="U298" i="16"/>
  <c r="T329" i="16"/>
  <c r="U329" i="16"/>
  <c r="T394" i="16"/>
  <c r="U394" i="16"/>
  <c r="M213" i="16"/>
  <c r="N213" i="16" s="1"/>
  <c r="X213" i="16"/>
  <c r="X380" i="16"/>
  <c r="M380" i="16"/>
  <c r="N380" i="16" s="1"/>
  <c r="T180" i="16"/>
  <c r="U180" i="16"/>
  <c r="X275" i="16"/>
  <c r="M275" i="16"/>
  <c r="N275" i="16" s="1"/>
  <c r="M424" i="16"/>
  <c r="N424" i="16" s="1"/>
  <c r="X424" i="16"/>
  <c r="M256" i="16"/>
  <c r="N256" i="16" s="1"/>
  <c r="X256" i="16"/>
  <c r="U452" i="16"/>
  <c r="T452" i="16"/>
  <c r="X281" i="16"/>
  <c r="M281" i="16"/>
  <c r="N281" i="16" s="1"/>
  <c r="M205" i="16"/>
  <c r="N205" i="16" s="1"/>
  <c r="X205" i="16"/>
  <c r="X401" i="16"/>
  <c r="M401" i="16"/>
  <c r="N401" i="16" s="1"/>
  <c r="M458" i="16"/>
  <c r="N458" i="16" s="1"/>
  <c r="X458" i="16"/>
  <c r="M287" i="16"/>
  <c r="N287" i="16" s="1"/>
  <c r="X287" i="16"/>
  <c r="M341" i="16"/>
  <c r="N341" i="16" s="1"/>
  <c r="X341" i="16"/>
  <c r="M192" i="16"/>
  <c r="N192" i="16" s="1"/>
  <c r="X192" i="16"/>
  <c r="X313" i="16"/>
  <c r="M313" i="16"/>
  <c r="N313" i="16" s="1"/>
  <c r="M245" i="16"/>
  <c r="N245" i="16" s="1"/>
  <c r="X245" i="16"/>
  <c r="X361" i="16"/>
  <c r="M361" i="16"/>
  <c r="N361" i="16" s="1"/>
  <c r="X269" i="16"/>
  <c r="M269" i="16"/>
  <c r="N269" i="16" s="1"/>
  <c r="T285" i="16"/>
  <c r="U285" i="16"/>
  <c r="T353" i="16"/>
  <c r="U353" i="16"/>
  <c r="T188" i="16"/>
  <c r="U188" i="16"/>
  <c r="X218" i="16"/>
  <c r="M376" i="16"/>
  <c r="N376" i="16" s="1"/>
  <c r="X376" i="16"/>
  <c r="T359" i="16"/>
  <c r="U359" i="16"/>
  <c r="U422" i="16"/>
  <c r="T422" i="16"/>
  <c r="M258" i="16"/>
  <c r="N258" i="16" s="1"/>
  <c r="X258" i="16"/>
  <c r="U384" i="16"/>
  <c r="T384" i="16"/>
  <c r="T442" i="16"/>
  <c r="U442" i="16"/>
  <c r="T378" i="16"/>
  <c r="U378" i="16"/>
  <c r="U229" i="16"/>
  <c r="T229" i="16"/>
  <c r="M276" i="16"/>
  <c r="N276" i="16" s="1"/>
  <c r="X276" i="16"/>
  <c r="T203" i="16"/>
  <c r="U203" i="16"/>
  <c r="U354" i="16"/>
  <c r="T354" i="16"/>
  <c r="U390" i="16"/>
  <c r="T390" i="16"/>
  <c r="X289" i="16"/>
  <c r="M289" i="16"/>
  <c r="N289" i="16" s="1"/>
  <c r="X440" i="16"/>
  <c r="M440" i="16"/>
  <c r="N440" i="16" s="1"/>
  <c r="M259" i="16"/>
  <c r="N259" i="16" s="1"/>
  <c r="X259" i="16"/>
  <c r="M184" i="16"/>
  <c r="N184" i="16" s="1"/>
  <c r="X184" i="16"/>
  <c r="U233" i="16"/>
  <c r="T233" i="16"/>
  <c r="X232" i="16"/>
  <c r="M232" i="16"/>
  <c r="N232" i="16" s="1"/>
  <c r="U212" i="16"/>
  <c r="T212" i="16"/>
  <c r="T250" i="16"/>
  <c r="U250" i="16"/>
  <c r="U399" i="16"/>
  <c r="T399" i="16"/>
  <c r="M277" i="16"/>
  <c r="N277" i="16" s="1"/>
  <c r="X277" i="16"/>
  <c r="M230" i="16"/>
  <c r="N230" i="16" s="1"/>
  <c r="X230" i="16"/>
  <c r="U447" i="16"/>
  <c r="T447" i="16"/>
  <c r="X236" i="16"/>
  <c r="M236" i="16"/>
  <c r="N236" i="16" s="1"/>
  <c r="T340" i="16"/>
  <c r="U340" i="16"/>
  <c r="U375" i="16"/>
  <c r="T375" i="16"/>
  <c r="T215" i="16"/>
  <c r="U215" i="16"/>
  <c r="T318" i="16"/>
  <c r="U318" i="16"/>
  <c r="T315" i="16"/>
  <c r="U315" i="16"/>
  <c r="U197" i="16"/>
  <c r="T197" i="16"/>
  <c r="M189" i="16"/>
  <c r="N189" i="16" s="1"/>
  <c r="X189" i="16"/>
  <c r="M379" i="16"/>
  <c r="N379" i="16" s="1"/>
  <c r="X379" i="16"/>
  <c r="X447" i="16"/>
  <c r="T368" i="16"/>
  <c r="U368" i="16"/>
  <c r="T395" i="16"/>
  <c r="U395" i="16"/>
  <c r="U414" i="16"/>
  <c r="T414" i="16"/>
  <c r="X451" i="16"/>
  <c r="M451" i="16"/>
  <c r="N451" i="16" s="1"/>
  <c r="U286" i="16"/>
  <c r="T286" i="16"/>
  <c r="X430" i="16"/>
  <c r="M430" i="16"/>
  <c r="N430" i="16" s="1"/>
  <c r="M371" i="16"/>
  <c r="N371" i="16" s="1"/>
  <c r="X371" i="16"/>
  <c r="X318" i="16"/>
  <c r="T410" i="16"/>
  <c r="U410" i="16"/>
  <c r="U227" i="16"/>
  <c r="T227" i="16"/>
  <c r="X264" i="16"/>
  <c r="M264" i="16"/>
  <c r="N264" i="16" s="1"/>
  <c r="M186" i="16"/>
  <c r="N186" i="16" s="1"/>
  <c r="X186" i="16"/>
  <c r="T362" i="16"/>
  <c r="U362" i="16"/>
  <c r="U349" i="16"/>
  <c r="T349" i="16"/>
  <c r="T214" i="16"/>
  <c r="U214" i="16"/>
  <c r="T449" i="16"/>
  <c r="U449" i="16"/>
  <c r="X419" i="16"/>
  <c r="U272" i="16"/>
  <c r="T272" i="16"/>
  <c r="T185" i="16"/>
  <c r="U185" i="16"/>
  <c r="X297" i="16"/>
  <c r="M297" i="16"/>
  <c r="N297" i="16" s="1"/>
  <c r="X274" i="16"/>
  <c r="M274" i="16"/>
  <c r="N274" i="16" s="1"/>
  <c r="T252" i="16"/>
  <c r="U252" i="16"/>
  <c r="X319" i="16"/>
  <c r="M319" i="16"/>
  <c r="N319" i="16" s="1"/>
  <c r="M364" i="16"/>
  <c r="N364" i="16" s="1"/>
  <c r="X364" i="16"/>
  <c r="T224" i="16"/>
  <c r="U224" i="16"/>
  <c r="X308" i="16"/>
  <c r="M308" i="16"/>
  <c r="N308" i="16" s="1"/>
  <c r="T316" i="16"/>
  <c r="U316" i="16"/>
  <c r="M311" i="16"/>
  <c r="N311" i="16" s="1"/>
  <c r="X311" i="16"/>
  <c r="T419" i="16"/>
  <c r="U419" i="16"/>
  <c r="X325" i="10"/>
  <c r="E34" i="18"/>
  <c r="E63" i="17"/>
  <c r="E28" i="18"/>
  <c r="B26" i="18" s="1"/>
  <c r="O60" i="17"/>
  <c r="T324" i="15"/>
  <c r="U324" i="15"/>
  <c r="M423" i="15"/>
  <c r="N423" i="15" s="1"/>
  <c r="U423" i="15" s="1"/>
  <c r="X338" i="15"/>
  <c r="X376" i="15"/>
  <c r="M376" i="15"/>
  <c r="N376" i="15" s="1"/>
  <c r="M392" i="15"/>
  <c r="N392" i="15" s="1"/>
  <c r="X392" i="15"/>
  <c r="U300" i="15"/>
  <c r="T300" i="15"/>
  <c r="T448" i="15"/>
  <c r="U448" i="15"/>
  <c r="T308" i="15"/>
  <c r="U308" i="15"/>
  <c r="U374" i="15"/>
  <c r="T374" i="15"/>
  <c r="X492" i="15"/>
  <c r="Y325" i="10"/>
  <c r="L9" i="3"/>
  <c r="M9" i="3" s="1"/>
  <c r="J9" i="3"/>
  <c r="J5" i="18"/>
  <c r="E37" i="18"/>
  <c r="B35" i="18" s="1"/>
  <c r="T404" i="15"/>
  <c r="X465" i="15"/>
  <c r="Y308" i="10"/>
  <c r="M234" i="10"/>
  <c r="N234" i="10" s="1"/>
  <c r="U234" i="10" s="1"/>
  <c r="T324" i="16"/>
  <c r="U324" i="16"/>
  <c r="U164" i="9"/>
  <c r="T164" i="9"/>
  <c r="T260" i="13"/>
  <c r="U260" i="13"/>
  <c r="U360" i="16"/>
  <c r="T360" i="16"/>
  <c r="U374" i="16"/>
  <c r="T374" i="16"/>
  <c r="T299" i="16"/>
  <c r="U299" i="16"/>
  <c r="X333" i="16"/>
  <c r="M333" i="16"/>
  <c r="N333" i="16" s="1"/>
  <c r="T358" i="13"/>
  <c r="U358" i="13"/>
  <c r="U360" i="13"/>
  <c r="T360" i="13"/>
  <c r="U271" i="13"/>
  <c r="T271" i="13"/>
  <c r="T183" i="13"/>
  <c r="U183" i="13"/>
  <c r="U153" i="9"/>
  <c r="T153" i="9"/>
  <c r="U89" i="9"/>
  <c r="T89" i="9"/>
  <c r="T441" i="16"/>
  <c r="U441" i="16"/>
  <c r="M192" i="13"/>
  <c r="N192" i="13" s="1"/>
  <c r="X192" i="13"/>
  <c r="T207" i="16"/>
  <c r="U207" i="16"/>
  <c r="T187" i="16"/>
  <c r="U187" i="16"/>
  <c r="X334" i="16"/>
  <c r="M334" i="16"/>
  <c r="N334" i="16" s="1"/>
  <c r="T302" i="13"/>
  <c r="U302" i="13"/>
  <c r="U455" i="16"/>
  <c r="T455" i="16"/>
  <c r="U249" i="16"/>
  <c r="T249" i="16"/>
  <c r="T182" i="13"/>
  <c r="U182" i="13"/>
  <c r="M149" i="9"/>
  <c r="N149" i="9" s="1"/>
  <c r="X149" i="9"/>
  <c r="L240" i="9"/>
  <c r="G10" i="3" s="1"/>
  <c r="H10" i="3" s="1"/>
  <c r="T389" i="16"/>
  <c r="U389" i="16"/>
  <c r="M171" i="14"/>
  <c r="N171" i="14" s="1"/>
  <c r="X171" i="14"/>
  <c r="U436" i="16"/>
  <c r="T436" i="16"/>
  <c r="X428" i="16"/>
  <c r="M428" i="16"/>
  <c r="N428" i="16" s="1"/>
  <c r="N60" i="17"/>
  <c r="T283" i="13"/>
  <c r="U283" i="13"/>
  <c r="T198" i="16"/>
  <c r="U198" i="16"/>
  <c r="U338" i="13"/>
  <c r="T338" i="13"/>
  <c r="R80" i="13"/>
  <c r="U80" i="13"/>
  <c r="T80" i="13"/>
  <c r="U113" i="9"/>
  <c r="T113" i="9"/>
  <c r="X9" i="5"/>
  <c r="W14" i="5"/>
  <c r="W15" i="5" s="1"/>
  <c r="M58" i="13"/>
  <c r="X58" i="13"/>
  <c r="L447" i="13"/>
  <c r="U346" i="13"/>
  <c r="T346" i="13"/>
  <c r="X191" i="10"/>
  <c r="T216" i="9"/>
  <c r="U216" i="9"/>
  <c r="U382" i="13"/>
  <c r="T382" i="13"/>
  <c r="U307" i="16"/>
  <c r="T307" i="16"/>
  <c r="U288" i="16"/>
  <c r="T288" i="16"/>
  <c r="T224" i="13"/>
  <c r="U224" i="13"/>
  <c r="U140" i="14"/>
  <c r="T140" i="14"/>
  <c r="X265" i="13"/>
  <c r="M265" i="13"/>
  <c r="N265" i="13" s="1"/>
  <c r="T122" i="14"/>
  <c r="U122" i="14"/>
  <c r="Y327" i="13"/>
  <c r="U69" i="9"/>
  <c r="T69" i="9"/>
  <c r="U351" i="13"/>
  <c r="T351" i="13"/>
  <c r="T346" i="16"/>
  <c r="U346" i="16"/>
  <c r="U150" i="14"/>
  <c r="T150" i="14"/>
  <c r="T175" i="13"/>
  <c r="U175" i="13"/>
  <c r="U250" i="13"/>
  <c r="T250" i="13"/>
  <c r="Y361" i="13"/>
  <c r="L8" i="3"/>
  <c r="U262" i="13"/>
  <c r="T262" i="13"/>
  <c r="M149" i="14"/>
  <c r="N149" i="14" s="1"/>
  <c r="X149" i="14"/>
  <c r="N54" i="9"/>
  <c r="U429" i="16"/>
  <c r="T429" i="16"/>
  <c r="U211" i="16"/>
  <c r="T211" i="16"/>
  <c r="T298" i="13"/>
  <c r="U298" i="13"/>
  <c r="T354" i="13"/>
  <c r="U354" i="13"/>
  <c r="R15" i="7"/>
  <c r="T194" i="9"/>
  <c r="U194" i="9"/>
  <c r="T104" i="9"/>
  <c r="U104" i="9"/>
  <c r="U210" i="16"/>
  <c r="T210" i="16"/>
  <c r="X263" i="13"/>
  <c r="M263" i="13"/>
  <c r="N263" i="13" s="1"/>
  <c r="U193" i="9"/>
  <c r="T193" i="9"/>
  <c r="M285" i="13"/>
  <c r="N285" i="13" s="1"/>
  <c r="X285" i="13"/>
  <c r="T161" i="9"/>
  <c r="U161" i="9"/>
  <c r="U203" i="9"/>
  <c r="T203" i="9"/>
  <c r="T307" i="13"/>
  <c r="U307" i="13"/>
  <c r="U171" i="13"/>
  <c r="T171" i="13"/>
  <c r="T180" i="13"/>
  <c r="U180" i="13"/>
  <c r="T289" i="13"/>
  <c r="U289" i="13"/>
  <c r="M327" i="13"/>
  <c r="N327" i="13" s="1"/>
  <c r="X327" i="13"/>
  <c r="M15" i="7"/>
  <c r="N8" i="7"/>
  <c r="M350" i="13"/>
  <c r="N350" i="13" s="1"/>
  <c r="X350" i="13"/>
  <c r="T300" i="13"/>
  <c r="U300" i="13"/>
  <c r="T420" i="16"/>
  <c r="U420" i="16"/>
  <c r="U290" i="13"/>
  <c r="T290" i="13"/>
  <c r="U117" i="9"/>
  <c r="T117" i="9"/>
  <c r="U274" i="13"/>
  <c r="T274" i="13"/>
  <c r="U178" i="13"/>
  <c r="T178" i="13"/>
  <c r="T216" i="13"/>
  <c r="U216" i="13"/>
  <c r="M361" i="13"/>
  <c r="N361" i="13" s="1"/>
  <c r="X361" i="13"/>
  <c r="U369" i="16"/>
  <c r="T369" i="16"/>
  <c r="U345" i="13"/>
  <c r="T345" i="13"/>
  <c r="M14" i="5"/>
  <c r="N7" i="5"/>
  <c r="T296" i="13"/>
  <c r="U296" i="13"/>
  <c r="W15" i="7"/>
  <c r="M9" i="12"/>
  <c r="L10" i="12"/>
  <c r="M439" i="16"/>
  <c r="N439" i="16" s="1"/>
  <c r="X439" i="16"/>
  <c r="U336" i="16"/>
  <c r="T336" i="16"/>
  <c r="T243" i="16"/>
  <c r="U243" i="16"/>
  <c r="M179" i="16"/>
  <c r="X179" i="16"/>
  <c r="L466" i="16"/>
  <c r="M210" i="15"/>
  <c r="N210" i="15" s="1"/>
  <c r="X210" i="15"/>
  <c r="X206" i="15"/>
  <c r="U305" i="16"/>
  <c r="T305" i="16"/>
  <c r="U166" i="13"/>
  <c r="T166" i="13"/>
  <c r="U170" i="9"/>
  <c r="T170" i="9"/>
  <c r="U173" i="13"/>
  <c r="T173" i="13"/>
  <c r="U200" i="13"/>
  <c r="T200" i="13"/>
  <c r="X107" i="16"/>
  <c r="W466" i="16"/>
  <c r="X337" i="16"/>
  <c r="M337" i="16"/>
  <c r="N337" i="16" s="1"/>
  <c r="U433" i="16"/>
  <c r="T433" i="16"/>
  <c r="T68" i="9"/>
  <c r="U68" i="9"/>
  <c r="T240" i="16"/>
  <c r="U240" i="16"/>
  <c r="T204" i="16"/>
  <c r="U204" i="16"/>
  <c r="Y350" i="13"/>
  <c r="R466" i="16"/>
  <c r="T179" i="13"/>
  <c r="U179" i="13"/>
  <c r="T257" i="13"/>
  <c r="U257" i="13"/>
  <c r="X133" i="14"/>
  <c r="M133" i="14"/>
  <c r="L201" i="14"/>
  <c r="X19" i="14"/>
  <c r="W201" i="14"/>
  <c r="U341" i="13"/>
  <c r="T341" i="13"/>
  <c r="T228" i="16"/>
  <c r="U228" i="16"/>
  <c r="T320" i="16"/>
  <c r="U320" i="16"/>
  <c r="T132" i="9"/>
  <c r="U132" i="9"/>
  <c r="U444" i="16"/>
  <c r="T444" i="16"/>
  <c r="T194" i="13"/>
  <c r="U194" i="13"/>
  <c r="U183" i="16"/>
  <c r="T183" i="16"/>
  <c r="U344" i="13"/>
  <c r="T344" i="13"/>
  <c r="M352" i="16"/>
  <c r="N352" i="16" s="1"/>
  <c r="X352" i="16"/>
  <c r="Y356" i="10"/>
  <c r="X249" i="10"/>
  <c r="Y234" i="10"/>
  <c r="X339" i="10"/>
  <c r="Y350" i="10"/>
  <c r="T302" i="10"/>
  <c r="U302" i="10"/>
  <c r="M249" i="10"/>
  <c r="N249" i="10" s="1"/>
  <c r="Y249" i="10"/>
  <c r="M278" i="10"/>
  <c r="N278" i="10" s="1"/>
  <c r="X278" i="10"/>
  <c r="Y278" i="10"/>
  <c r="M187" i="10"/>
  <c r="N187" i="10" s="1"/>
  <c r="X187" i="10"/>
  <c r="U251" i="10"/>
  <c r="T251" i="10"/>
  <c r="M304" i="10"/>
  <c r="N304" i="10" s="1"/>
  <c r="X304" i="10"/>
  <c r="Y304" i="10"/>
  <c r="M190" i="10"/>
  <c r="N190" i="10" s="1"/>
  <c r="X190" i="10"/>
  <c r="U276" i="10"/>
  <c r="T276" i="10"/>
  <c r="T291" i="10"/>
  <c r="U291" i="10"/>
  <c r="M259" i="10"/>
  <c r="N259" i="10" s="1"/>
  <c r="Y259" i="10"/>
  <c r="X246" i="10"/>
  <c r="M246" i="10"/>
  <c r="N246" i="10" s="1"/>
  <c r="M312" i="10"/>
  <c r="N312" i="10" s="1"/>
  <c r="Y312" i="10"/>
  <c r="X312" i="10"/>
  <c r="Y247" i="10"/>
  <c r="M247" i="10"/>
  <c r="N247" i="10" s="1"/>
  <c r="X247" i="10"/>
  <c r="M349" i="10"/>
  <c r="N349" i="10" s="1"/>
  <c r="Y349" i="10"/>
  <c r="X349" i="10"/>
  <c r="T322" i="15"/>
  <c r="U322" i="15"/>
  <c r="M406" i="15"/>
  <c r="N406" i="15" s="1"/>
  <c r="X235" i="15"/>
  <c r="T211" i="15"/>
  <c r="U211" i="15"/>
  <c r="U301" i="10"/>
  <c r="T301" i="10"/>
  <c r="M167" i="10"/>
  <c r="N167" i="10" s="1"/>
  <c r="U167" i="10" s="1"/>
  <c r="Y275" i="10"/>
  <c r="T356" i="10"/>
  <c r="U356" i="10"/>
  <c r="M194" i="10"/>
  <c r="N194" i="10" s="1"/>
  <c r="X194" i="10"/>
  <c r="M321" i="10"/>
  <c r="N321" i="10" s="1"/>
  <c r="Y321" i="10"/>
  <c r="X321" i="10"/>
  <c r="Y360" i="10"/>
  <c r="M236" i="10"/>
  <c r="N236" i="10" s="1"/>
  <c r="X236" i="10"/>
  <c r="Y236" i="10"/>
  <c r="M192" i="10"/>
  <c r="N192" i="10" s="1"/>
  <c r="X192" i="10"/>
  <c r="X219" i="10"/>
  <c r="T275" i="10"/>
  <c r="X329" i="10"/>
  <c r="M238" i="10"/>
  <c r="N238" i="10" s="1"/>
  <c r="Y238" i="10"/>
  <c r="X238" i="10"/>
  <c r="X313" i="10"/>
  <c r="T212" i="10"/>
  <c r="U212" i="10"/>
  <c r="X193" i="10"/>
  <c r="Y309" i="10"/>
  <c r="X309" i="10"/>
  <c r="M309" i="10"/>
  <c r="N309" i="10" s="1"/>
  <c r="Y354" i="10"/>
  <c r="X248" i="10"/>
  <c r="M248" i="10"/>
  <c r="N248" i="10" s="1"/>
  <c r="Y248" i="10"/>
  <c r="Y327" i="10"/>
  <c r="M327" i="10"/>
  <c r="N327" i="10" s="1"/>
  <c r="X327" i="10"/>
  <c r="X188" i="10"/>
  <c r="M245" i="10"/>
  <c r="N245" i="10" s="1"/>
  <c r="X245" i="10"/>
  <c r="Y245" i="10"/>
  <c r="T214" i="10"/>
  <c r="U214" i="10"/>
  <c r="U330" i="10"/>
  <c r="T330" i="10"/>
  <c r="T270" i="10"/>
  <c r="U270" i="10"/>
  <c r="M315" i="10"/>
  <c r="N315" i="10" s="1"/>
  <c r="Y315" i="10"/>
  <c r="X315" i="10"/>
  <c r="U196" i="10"/>
  <c r="T196" i="10"/>
  <c r="U343" i="10"/>
  <c r="T343" i="10"/>
  <c r="X311" i="10"/>
  <c r="Y311" i="10"/>
  <c r="M311" i="10"/>
  <c r="N311" i="10" s="1"/>
  <c r="M250" i="10"/>
  <c r="N250" i="10" s="1"/>
  <c r="X250" i="10"/>
  <c r="Y250" i="10"/>
  <c r="X202" i="10"/>
  <c r="M202" i="10"/>
  <c r="N202" i="10" s="1"/>
  <c r="W378" i="10"/>
  <c r="M206" i="10"/>
  <c r="N206" i="10" s="1"/>
  <c r="X206" i="10"/>
  <c r="X172" i="10"/>
  <c r="M172" i="10"/>
  <c r="N172" i="10" s="1"/>
  <c r="Y283" i="10"/>
  <c r="M283" i="10"/>
  <c r="N283" i="10" s="1"/>
  <c r="X283" i="10"/>
  <c r="T358" i="10"/>
  <c r="U358" i="10"/>
  <c r="T298" i="10"/>
  <c r="U298" i="10"/>
  <c r="U308" i="10"/>
  <c r="T308" i="10"/>
  <c r="T234" i="10"/>
  <c r="T237" i="10"/>
  <c r="U237" i="10"/>
  <c r="M271" i="10"/>
  <c r="N271" i="10" s="1"/>
  <c r="Y271" i="10"/>
  <c r="X271" i="10"/>
  <c r="X186" i="10"/>
  <c r="M186" i="10"/>
  <c r="N186" i="10" s="1"/>
  <c r="X181" i="10"/>
  <c r="M184" i="10"/>
  <c r="N184" i="10" s="1"/>
  <c r="X184" i="10"/>
  <c r="T359" i="10"/>
  <c r="U359" i="10"/>
  <c r="T221" i="10"/>
  <c r="U221" i="10"/>
  <c r="M273" i="10"/>
  <c r="N273" i="10" s="1"/>
  <c r="X273" i="10"/>
  <c r="Y273" i="10"/>
  <c r="Y217" i="10"/>
  <c r="M217" i="10"/>
  <c r="N217" i="10" s="1"/>
  <c r="X217" i="10"/>
  <c r="X211" i="10"/>
  <c r="Y211" i="10"/>
  <c r="M211" i="10"/>
  <c r="N211" i="10" s="1"/>
  <c r="U344" i="10"/>
  <c r="T344" i="10"/>
  <c r="U174" i="10"/>
  <c r="T174" i="10"/>
  <c r="Y316" i="10"/>
  <c r="X337" i="10"/>
  <c r="U280" i="10"/>
  <c r="T280" i="10"/>
  <c r="U319" i="10"/>
  <c r="T319" i="10"/>
  <c r="X223" i="10"/>
  <c r="M223" i="10"/>
  <c r="N223" i="10" s="1"/>
  <c r="T254" i="10"/>
  <c r="U254" i="10"/>
  <c r="T207" i="10"/>
  <c r="U207" i="10"/>
  <c r="Y277" i="10"/>
  <c r="X277" i="10"/>
  <c r="M277" i="10"/>
  <c r="N277" i="10" s="1"/>
  <c r="X316" i="10"/>
  <c r="M316" i="10"/>
  <c r="N316" i="10" s="1"/>
  <c r="M347" i="10"/>
  <c r="N347" i="10" s="1"/>
  <c r="X347" i="10"/>
  <c r="Y347" i="10"/>
  <c r="U168" i="10"/>
  <c r="T168" i="10"/>
  <c r="Y260" i="10"/>
  <c r="M260" i="10"/>
  <c r="N260" i="10" s="1"/>
  <c r="X260" i="10"/>
  <c r="Y265" i="10"/>
  <c r="X265" i="10"/>
  <c r="M265" i="10"/>
  <c r="N265" i="10" s="1"/>
  <c r="U213" i="10"/>
  <c r="T213" i="10"/>
  <c r="T188" i="10"/>
  <c r="U188" i="10"/>
  <c r="T286" i="10"/>
  <c r="U286" i="10"/>
  <c r="M350" i="10"/>
  <c r="N350" i="10" s="1"/>
  <c r="X350" i="10"/>
  <c r="Y324" i="10"/>
  <c r="M324" i="10"/>
  <c r="N324" i="10" s="1"/>
  <c r="X324" i="10"/>
  <c r="T339" i="10"/>
  <c r="U339" i="10"/>
  <c r="U257" i="10"/>
  <c r="T257" i="10"/>
  <c r="U354" i="10"/>
  <c r="T354" i="10"/>
  <c r="Y223" i="10"/>
  <c r="M337" i="10"/>
  <c r="N337" i="10" s="1"/>
  <c r="Y337" i="10"/>
  <c r="L378" i="10"/>
  <c r="Y267" i="10"/>
  <c r="X267" i="10"/>
  <c r="M267" i="10"/>
  <c r="N267" i="10" s="1"/>
  <c r="U198" i="10"/>
  <c r="T198" i="10"/>
  <c r="U335" i="10"/>
  <c r="T335" i="10"/>
  <c r="T233" i="10"/>
  <c r="U233" i="10"/>
  <c r="M293" i="10"/>
  <c r="N293" i="10" s="1"/>
  <c r="X293" i="10"/>
  <c r="Y293" i="10"/>
  <c r="U193" i="10"/>
  <c r="T193" i="10"/>
  <c r="M258" i="10"/>
  <c r="N258" i="10" s="1"/>
  <c r="X258" i="10"/>
  <c r="Y258" i="10"/>
  <c r="M243" i="10"/>
  <c r="N243" i="10" s="1"/>
  <c r="X243" i="10"/>
  <c r="Y243" i="10"/>
  <c r="T256" i="10"/>
  <c r="U256" i="10"/>
  <c r="U484" i="15"/>
  <c r="T484" i="15"/>
  <c r="T394" i="15"/>
  <c r="U394" i="15"/>
  <c r="X223" i="15"/>
  <c r="M223" i="15"/>
  <c r="N223" i="15" s="1"/>
  <c r="U232" i="15"/>
  <c r="T232" i="15"/>
  <c r="U470" i="15"/>
  <c r="T470" i="15"/>
  <c r="T490" i="15"/>
  <c r="U418" i="15"/>
  <c r="T418" i="15"/>
  <c r="M424" i="15"/>
  <c r="N424" i="15" s="1"/>
  <c r="T424" i="15" s="1"/>
  <c r="X484" i="15"/>
  <c r="M417" i="15"/>
  <c r="N417" i="15" s="1"/>
  <c r="X417" i="15"/>
  <c r="U485" i="15"/>
  <c r="T485" i="15"/>
  <c r="T350" i="15"/>
  <c r="U350" i="15"/>
  <c r="U469" i="15"/>
  <c r="T469" i="15"/>
  <c r="M409" i="15"/>
  <c r="N409" i="15" s="1"/>
  <c r="X409" i="15"/>
  <c r="M270" i="15"/>
  <c r="N270" i="15" s="1"/>
  <c r="X270" i="15"/>
  <c r="U348" i="15"/>
  <c r="T348" i="15"/>
  <c r="U382" i="15"/>
  <c r="T382" i="15"/>
  <c r="M343" i="15"/>
  <c r="N343" i="15" s="1"/>
  <c r="X343" i="15"/>
  <c r="X442" i="15"/>
  <c r="X239" i="15"/>
  <c r="U429" i="15"/>
  <c r="T429" i="15"/>
  <c r="X387" i="15"/>
  <c r="M387" i="15"/>
  <c r="N387" i="15" s="1"/>
  <c r="X490" i="15"/>
  <c r="X248" i="15"/>
  <c r="M248" i="15"/>
  <c r="N248" i="15" s="1"/>
  <c r="U330" i="15"/>
  <c r="T330" i="15"/>
  <c r="T245" i="15"/>
  <c r="U245" i="15"/>
  <c r="U466" i="15"/>
  <c r="T466" i="15"/>
  <c r="M391" i="15"/>
  <c r="N391" i="15" s="1"/>
  <c r="X391" i="15"/>
  <c r="T364" i="15"/>
  <c r="U364" i="15"/>
  <c r="X403" i="15"/>
  <c r="M403" i="15"/>
  <c r="N403" i="15" s="1"/>
  <c r="U349" i="15"/>
  <c r="T349" i="15"/>
  <c r="T247" i="15"/>
  <c r="R247" i="15"/>
  <c r="U247" i="15"/>
  <c r="X447" i="15"/>
  <c r="M447" i="15"/>
  <c r="N447" i="15" s="1"/>
  <c r="U231" i="15"/>
  <c r="T231" i="15"/>
  <c r="T202" i="15"/>
  <c r="U202" i="15"/>
  <c r="R205" i="15"/>
  <c r="R218" i="15" s="1"/>
  <c r="X261" i="15"/>
  <c r="M261" i="15"/>
  <c r="N261" i="15" s="1"/>
  <c r="X195" i="15"/>
  <c r="M195" i="15"/>
  <c r="N195" i="15" s="1"/>
  <c r="T413" i="15"/>
  <c r="U413" i="15"/>
  <c r="M317" i="15"/>
  <c r="N317" i="15" s="1"/>
  <c r="X317" i="15"/>
  <c r="U252" i="15"/>
  <c r="T252" i="15"/>
  <c r="T206" i="15"/>
  <c r="U206" i="15"/>
  <c r="X268" i="15"/>
  <c r="L537" i="15"/>
  <c r="W537" i="15"/>
  <c r="X419" i="15"/>
  <c r="X219" i="15"/>
  <c r="X303" i="15"/>
  <c r="M358" i="15"/>
  <c r="N358" i="15" s="1"/>
  <c r="X358" i="15"/>
  <c r="M487" i="15"/>
  <c r="N487" i="15" s="1"/>
  <c r="X487" i="15"/>
  <c r="T251" i="15"/>
  <c r="U251" i="15"/>
  <c r="U369" i="15"/>
  <c r="T369" i="15"/>
  <c r="M328" i="15"/>
  <c r="N328" i="15" s="1"/>
  <c r="X328" i="15"/>
  <c r="X213" i="15"/>
  <c r="M213" i="15"/>
  <c r="N213" i="15" s="1"/>
  <c r="U451" i="15"/>
  <c r="T451" i="15"/>
  <c r="T314" i="15"/>
  <c r="U314" i="15"/>
  <c r="L539" i="15"/>
  <c r="C2" i="2" s="1"/>
  <c r="T239" i="15"/>
  <c r="U239" i="15"/>
  <c r="X202" i="15"/>
  <c r="T408" i="15"/>
  <c r="U408" i="15"/>
  <c r="M320" i="15"/>
  <c r="N320" i="15" s="1"/>
  <c r="X320" i="15"/>
  <c r="X451" i="15"/>
  <c r="X344" i="15"/>
  <c r="M344" i="15"/>
  <c r="N344" i="15" s="1"/>
  <c r="X306" i="15"/>
  <c r="M306" i="15"/>
  <c r="N306" i="15" s="1"/>
  <c r="U411" i="15"/>
  <c r="T411" i="15"/>
  <c r="U453" i="15"/>
  <c r="T453" i="15"/>
  <c r="M275" i="15"/>
  <c r="N275" i="15" s="1"/>
  <c r="X275" i="15"/>
  <c r="U235" i="15"/>
  <c r="T235" i="15"/>
  <c r="T419" i="15"/>
  <c r="U419" i="15"/>
  <c r="M393" i="15"/>
  <c r="N393" i="15" s="1"/>
  <c r="X393" i="15"/>
  <c r="T219" i="15"/>
  <c r="U219" i="15"/>
  <c r="T456" i="15"/>
  <c r="U456" i="15"/>
  <c r="T263" i="15"/>
  <c r="U263" i="15"/>
  <c r="U226" i="15"/>
  <c r="T226" i="15"/>
  <c r="U215" i="15"/>
  <c r="T215" i="15"/>
  <c r="X440" i="15"/>
  <c r="M440" i="15"/>
  <c r="N440" i="15" s="1"/>
  <c r="U455" i="15"/>
  <c r="T455" i="15"/>
  <c r="M468" i="15"/>
  <c r="N468" i="15" s="1"/>
  <c r="X468" i="15"/>
  <c r="X450" i="15"/>
  <c r="M450" i="15"/>
  <c r="N450" i="15" s="1"/>
  <c r="T498" i="15"/>
  <c r="U498" i="15"/>
  <c r="U233" i="15"/>
  <c r="T233" i="15"/>
  <c r="T243" i="15"/>
  <c r="U243" i="15"/>
  <c r="T460" i="15"/>
  <c r="U460" i="15"/>
  <c r="X459" i="15"/>
  <c r="M459" i="15"/>
  <c r="N459" i="15" s="1"/>
  <c r="X347" i="15"/>
  <c r="M347" i="15"/>
  <c r="N347" i="15" s="1"/>
  <c r="U334" i="15"/>
  <c r="T334" i="15"/>
  <c r="T338" i="15"/>
  <c r="U338" i="15"/>
  <c r="T269" i="15"/>
  <c r="U269" i="15"/>
  <c r="X360" i="15"/>
  <c r="M360" i="15"/>
  <c r="N360" i="15" s="1"/>
  <c r="M271" i="15"/>
  <c r="N271" i="15" s="1"/>
  <c r="X271" i="15"/>
  <c r="T287" i="15"/>
  <c r="U287" i="15"/>
  <c r="X415" i="15"/>
  <c r="M197" i="15"/>
  <c r="N197" i="15" s="1"/>
  <c r="X197" i="15"/>
  <c r="U449" i="15"/>
  <c r="T449" i="15"/>
  <c r="X471" i="15"/>
  <c r="M471" i="15"/>
  <c r="N471" i="15" s="1"/>
  <c r="X355" i="15"/>
  <c r="M355" i="15"/>
  <c r="N355" i="15" s="1"/>
  <c r="M368" i="15"/>
  <c r="N368" i="15" s="1"/>
  <c r="X368" i="15"/>
  <c r="T388" i="15"/>
  <c r="U388" i="15"/>
  <c r="M224" i="15"/>
  <c r="N224" i="15" s="1"/>
  <c r="X224" i="15"/>
  <c r="M331" i="15"/>
  <c r="N331" i="15" s="1"/>
  <c r="X331" i="15"/>
  <c r="T464" i="15"/>
  <c r="U464" i="15"/>
  <c r="U218" i="15"/>
  <c r="T218" i="15"/>
  <c r="M209" i="15"/>
  <c r="N209" i="15" s="1"/>
  <c r="X209" i="15"/>
  <c r="U214" i="15"/>
  <c r="T214" i="15"/>
  <c r="T423" i="15"/>
  <c r="T442" i="15"/>
  <c r="U442" i="15"/>
  <c r="U480" i="15"/>
  <c r="T480" i="15"/>
  <c r="X229" i="15"/>
  <c r="M229" i="15"/>
  <c r="N229" i="15" s="1"/>
  <c r="U303" i="15"/>
  <c r="T303" i="15"/>
  <c r="T390" i="15"/>
  <c r="U390" i="15"/>
  <c r="U216" i="15"/>
  <c r="T216" i="15"/>
  <c r="U415" i="15"/>
  <c r="T415" i="15"/>
  <c r="U246" i="15"/>
  <c r="T246" i="15"/>
  <c r="M255" i="15"/>
  <c r="N255" i="15" s="1"/>
  <c r="X255" i="15"/>
  <c r="U434" i="15"/>
  <c r="T434" i="15"/>
  <c r="T465" i="15"/>
  <c r="U465" i="15"/>
  <c r="U457" i="15"/>
  <c r="T457" i="15"/>
  <c r="U253" i="15"/>
  <c r="T253" i="15"/>
  <c r="T305" i="15"/>
  <c r="U305" i="15"/>
  <c r="X428" i="15"/>
  <c r="M428" i="15"/>
  <c r="N428" i="15" s="1"/>
  <c r="U499" i="15"/>
  <c r="T499" i="15"/>
  <c r="T205" i="15"/>
  <c r="U205" i="15"/>
  <c r="U318" i="15"/>
  <c r="T318" i="15"/>
  <c r="U426" i="15"/>
  <c r="T426" i="15"/>
  <c r="T230" i="15"/>
  <c r="U230" i="15"/>
  <c r="T476" i="15"/>
  <c r="U476" i="15"/>
  <c r="M256" i="15"/>
  <c r="N256" i="15" s="1"/>
  <c r="X256" i="15"/>
  <c r="U315" i="15"/>
  <c r="T315" i="15"/>
  <c r="T249" i="15"/>
  <c r="U249" i="15"/>
  <c r="T225" i="15"/>
  <c r="U225" i="15"/>
  <c r="U383" i="15"/>
  <c r="T383" i="15"/>
  <c r="U494" i="15"/>
  <c r="T494" i="15"/>
  <c r="U365" i="15"/>
  <c r="T365" i="15"/>
  <c r="U492" i="15"/>
  <c r="T492" i="15"/>
  <c r="U327" i="15"/>
  <c r="T327" i="15"/>
  <c r="T194" i="15"/>
  <c r="U194" i="15"/>
  <c r="U475" i="15"/>
  <c r="T475" i="15"/>
  <c r="U259" i="15"/>
  <c r="T259" i="15"/>
  <c r="T312" i="15"/>
  <c r="U312" i="15"/>
  <c r="T284" i="15"/>
  <c r="U284" i="15"/>
  <c r="U340" i="15"/>
  <c r="T340" i="15"/>
  <c r="U339" i="15"/>
  <c r="T339" i="15"/>
  <c r="U462" i="15"/>
  <c r="T462" i="15"/>
  <c r="U472" i="15"/>
  <c r="T472" i="15"/>
  <c r="U286" i="15"/>
  <c r="T286" i="15"/>
  <c r="N193" i="15"/>
  <c r="M474" i="15"/>
  <c r="N474" i="15" s="1"/>
  <c r="X474" i="15"/>
  <c r="U268" i="15"/>
  <c r="T268" i="15"/>
  <c r="T473" i="15"/>
  <c r="U473" i="15"/>
  <c r="U431" i="15"/>
  <c r="T431" i="15"/>
  <c r="U228" i="15"/>
  <c r="T228" i="15"/>
  <c r="T351" i="10"/>
  <c r="U351" i="10"/>
  <c r="U199" i="10"/>
  <c r="T199" i="10"/>
  <c r="T329" i="10"/>
  <c r="U329" i="10"/>
  <c r="T219" i="10"/>
  <c r="U219" i="10"/>
  <c r="U232" i="10"/>
  <c r="T232" i="10"/>
  <c r="T361" i="10"/>
  <c r="U361" i="10"/>
  <c r="U210" i="10"/>
  <c r="T210" i="10"/>
  <c r="U294" i="10"/>
  <c r="T294" i="10"/>
  <c r="U325" i="10"/>
  <c r="T325" i="10"/>
  <c r="D17" i="3"/>
  <c r="U179" i="10"/>
  <c r="T179" i="10"/>
  <c r="U203" i="10"/>
  <c r="T203" i="10"/>
  <c r="U165" i="10"/>
  <c r="T165" i="10"/>
  <c r="T353" i="10"/>
  <c r="U353" i="10"/>
  <c r="X170" i="10"/>
  <c r="M170" i="10"/>
  <c r="R378" i="10"/>
  <c r="M332" i="10"/>
  <c r="N332" i="10" s="1"/>
  <c r="X332" i="10"/>
  <c r="Y332" i="10"/>
  <c r="T303" i="10"/>
  <c r="U303" i="10"/>
  <c r="U320" i="10"/>
  <c r="T320" i="10"/>
  <c r="U307" i="10"/>
  <c r="T307" i="10"/>
  <c r="F17" i="3"/>
  <c r="U288" i="10"/>
  <c r="T288" i="10"/>
  <c r="U328" i="10"/>
  <c r="T328" i="10"/>
  <c r="T263" i="10"/>
  <c r="U263" i="10"/>
  <c r="T181" i="10"/>
  <c r="U181" i="10"/>
  <c r="U252" i="10"/>
  <c r="T252" i="10"/>
  <c r="T317" i="10"/>
  <c r="U317" i="10"/>
  <c r="M173" i="10"/>
  <c r="N173" i="10" s="1"/>
  <c r="X173" i="10"/>
  <c r="U231" i="10"/>
  <c r="T231" i="10"/>
  <c r="M195" i="10"/>
  <c r="N195" i="10" s="1"/>
  <c r="X195" i="10"/>
  <c r="U262" i="10"/>
  <c r="T262" i="10"/>
  <c r="F7" i="2" l="1"/>
  <c r="G13" i="3"/>
  <c r="H13" i="3" s="1"/>
  <c r="R537" i="15"/>
  <c r="U372" i="15"/>
  <c r="T372" i="15"/>
  <c r="U424" i="15"/>
  <c r="G29" i="3"/>
  <c r="H29" i="3" s="1"/>
  <c r="I29" i="3" s="1"/>
  <c r="F14" i="2"/>
  <c r="T295" i="16"/>
  <c r="U295" i="16"/>
  <c r="F15" i="2"/>
  <c r="G30" i="3"/>
  <c r="H30" i="3" s="1"/>
  <c r="I30" i="3" s="1"/>
  <c r="F6" i="2"/>
  <c r="G12" i="3"/>
  <c r="F12" i="2"/>
  <c r="G27" i="3"/>
  <c r="G20" i="11"/>
  <c r="U92" i="9"/>
  <c r="T92" i="9"/>
  <c r="G28" i="3"/>
  <c r="H28" i="3" s="1"/>
  <c r="I28" i="3" s="1"/>
  <c r="F13" i="2"/>
  <c r="T109" i="9"/>
  <c r="U109" i="9"/>
  <c r="U264" i="15"/>
  <c r="T264" i="15"/>
  <c r="F4" i="2"/>
  <c r="U190" i="16"/>
  <c r="T190" i="16"/>
  <c r="U385" i="16"/>
  <c r="T385" i="16"/>
  <c r="T367" i="16"/>
  <c r="U367" i="16"/>
  <c r="T363" i="16"/>
  <c r="U363" i="16"/>
  <c r="U446" i="16"/>
  <c r="T446" i="16"/>
  <c r="U198" i="9"/>
  <c r="T198" i="9"/>
  <c r="U75" i="9"/>
  <c r="T75" i="9"/>
  <c r="T183" i="9"/>
  <c r="U183" i="9"/>
  <c r="T127" i="9"/>
  <c r="U127" i="9"/>
  <c r="T144" i="9"/>
  <c r="U144" i="9"/>
  <c r="U178" i="9"/>
  <c r="T178" i="9"/>
  <c r="U67" i="9"/>
  <c r="T67" i="9"/>
  <c r="U162" i="9"/>
  <c r="T162" i="9"/>
  <c r="T158" i="9"/>
  <c r="U158" i="9"/>
  <c r="T99" i="9"/>
  <c r="U99" i="9"/>
  <c r="U140" i="9"/>
  <c r="T140" i="9"/>
  <c r="U105" i="9"/>
  <c r="T105" i="9"/>
  <c r="T58" i="9"/>
  <c r="U58" i="9"/>
  <c r="U175" i="9"/>
  <c r="T175" i="9"/>
  <c r="T72" i="9"/>
  <c r="U72" i="9"/>
  <c r="U74" i="9"/>
  <c r="T74" i="9"/>
  <c r="U142" i="9"/>
  <c r="T142" i="9"/>
  <c r="M240" i="9"/>
  <c r="T187" i="9"/>
  <c r="U187" i="9"/>
  <c r="U155" i="9"/>
  <c r="T155" i="9"/>
  <c r="T152" i="9"/>
  <c r="U152" i="9"/>
  <c r="U94" i="9"/>
  <c r="T94" i="9"/>
  <c r="T172" i="9"/>
  <c r="U172" i="9"/>
  <c r="U147" i="9"/>
  <c r="T147" i="9"/>
  <c r="U191" i="9"/>
  <c r="T191" i="9"/>
  <c r="T63" i="9"/>
  <c r="U63" i="9"/>
  <c r="T210" i="9"/>
  <c r="U210" i="9"/>
  <c r="U246" i="16"/>
  <c r="T246" i="16"/>
  <c r="T208" i="16"/>
  <c r="U208" i="16"/>
  <c r="U304" i="16"/>
  <c r="T304" i="16"/>
  <c r="T238" i="16"/>
  <c r="U238" i="16"/>
  <c r="U358" i="16"/>
  <c r="T358" i="16"/>
  <c r="U265" i="16"/>
  <c r="T265" i="16"/>
  <c r="T261" i="16"/>
  <c r="U261" i="16"/>
  <c r="T338" i="16"/>
  <c r="U338" i="16"/>
  <c r="T278" i="16"/>
  <c r="U278" i="16"/>
  <c r="T350" i="16"/>
  <c r="U350" i="16"/>
  <c r="U342" i="16"/>
  <c r="T342" i="16"/>
  <c r="T425" i="16"/>
  <c r="U425" i="16"/>
  <c r="U415" i="16"/>
  <c r="T415" i="16"/>
  <c r="U386" i="16"/>
  <c r="T386" i="16"/>
  <c r="T284" i="16"/>
  <c r="U284" i="16"/>
  <c r="T291" i="16"/>
  <c r="U291" i="16"/>
  <c r="U192" i="16"/>
  <c r="T192" i="16"/>
  <c r="U287" i="16"/>
  <c r="T287" i="16"/>
  <c r="T256" i="16"/>
  <c r="U256" i="16"/>
  <c r="T357" i="16"/>
  <c r="U357" i="16"/>
  <c r="U411" i="16"/>
  <c r="T411" i="16"/>
  <c r="T370" i="16"/>
  <c r="U370" i="16"/>
  <c r="T325" i="16"/>
  <c r="U325" i="16"/>
  <c r="T258" i="16"/>
  <c r="U258" i="16"/>
  <c r="T361" i="16"/>
  <c r="U361" i="16"/>
  <c r="T313" i="16"/>
  <c r="U313" i="16"/>
  <c r="U434" i="16"/>
  <c r="T434" i="16"/>
  <c r="T221" i="16"/>
  <c r="U221" i="16"/>
  <c r="T450" i="16"/>
  <c r="U450" i="16"/>
  <c r="U245" i="16"/>
  <c r="T245" i="16"/>
  <c r="T341" i="16"/>
  <c r="U341" i="16"/>
  <c r="U458" i="16"/>
  <c r="T458" i="16"/>
  <c r="U205" i="16"/>
  <c r="T205" i="16"/>
  <c r="T424" i="16"/>
  <c r="U424" i="16"/>
  <c r="T213" i="16"/>
  <c r="U213" i="16"/>
  <c r="U262" i="16"/>
  <c r="T262" i="16"/>
  <c r="T376" i="16"/>
  <c r="U376" i="16"/>
  <c r="T269" i="16"/>
  <c r="U269" i="16"/>
  <c r="T401" i="16"/>
  <c r="U401" i="16"/>
  <c r="U281" i="16"/>
  <c r="T281" i="16"/>
  <c r="U275" i="16"/>
  <c r="T275" i="16"/>
  <c r="T380" i="16"/>
  <c r="U380" i="16"/>
  <c r="T296" i="16"/>
  <c r="U296" i="16"/>
  <c r="U382" i="16"/>
  <c r="T382" i="16"/>
  <c r="T339" i="16"/>
  <c r="U339" i="16"/>
  <c r="T327" i="16"/>
  <c r="U327" i="16"/>
  <c r="T236" i="16"/>
  <c r="U236" i="16"/>
  <c r="U289" i="16"/>
  <c r="T289" i="16"/>
  <c r="U308" i="16"/>
  <c r="T308" i="16"/>
  <c r="T297" i="16"/>
  <c r="U297" i="16"/>
  <c r="U186" i="16"/>
  <c r="T186" i="16"/>
  <c r="U379" i="16"/>
  <c r="T379" i="16"/>
  <c r="T230" i="16"/>
  <c r="U230" i="16"/>
  <c r="U259" i="16"/>
  <c r="T259" i="16"/>
  <c r="U276" i="16"/>
  <c r="T276" i="16"/>
  <c r="U311" i="16"/>
  <c r="T311" i="16"/>
  <c r="T364" i="16"/>
  <c r="U364" i="16"/>
  <c r="U264" i="16"/>
  <c r="T264" i="16"/>
  <c r="U371" i="16"/>
  <c r="T371" i="16"/>
  <c r="T232" i="16"/>
  <c r="U232" i="16"/>
  <c r="T440" i="16"/>
  <c r="U440" i="16"/>
  <c r="T319" i="16"/>
  <c r="U319" i="16"/>
  <c r="T274" i="16"/>
  <c r="U274" i="16"/>
  <c r="T430" i="16"/>
  <c r="U430" i="16"/>
  <c r="U451" i="16"/>
  <c r="T451" i="16"/>
  <c r="U189" i="16"/>
  <c r="T189" i="16"/>
  <c r="U277" i="16"/>
  <c r="T277" i="16"/>
  <c r="T184" i="16"/>
  <c r="U184" i="16"/>
  <c r="H12" i="3"/>
  <c r="T392" i="15"/>
  <c r="U392" i="15"/>
  <c r="U376" i="15"/>
  <c r="T376" i="15"/>
  <c r="J4" i="18"/>
  <c r="J6" i="18" s="1"/>
  <c r="K7" i="18" s="1"/>
  <c r="E36" i="18"/>
  <c r="E30" i="18"/>
  <c r="B30" i="18"/>
  <c r="L540" i="15"/>
  <c r="L541" i="15" s="1"/>
  <c r="T352" i="16"/>
  <c r="U352" i="16"/>
  <c r="U439" i="16"/>
  <c r="T439" i="16"/>
  <c r="U285" i="13"/>
  <c r="T285" i="13"/>
  <c r="U149" i="14"/>
  <c r="T149" i="14"/>
  <c r="J8" i="3"/>
  <c r="H8" i="3"/>
  <c r="I8" i="3" s="1"/>
  <c r="M8" i="3" s="1"/>
  <c r="U428" i="16"/>
  <c r="T428" i="16"/>
  <c r="I10" i="3"/>
  <c r="N133" i="14"/>
  <c r="M201" i="14"/>
  <c r="V11" i="12"/>
  <c r="N58" i="13"/>
  <c r="M447" i="13"/>
  <c r="T171" i="14"/>
  <c r="U171" i="14"/>
  <c r="T333" i="16"/>
  <c r="U333" i="16"/>
  <c r="M466" i="16"/>
  <c r="N179" i="16"/>
  <c r="N9" i="12"/>
  <c r="N10" i="12" s="1"/>
  <c r="M10" i="12"/>
  <c r="T361" i="13"/>
  <c r="U361" i="13"/>
  <c r="U350" i="13"/>
  <c r="T350" i="13"/>
  <c r="U327" i="13"/>
  <c r="T327" i="13"/>
  <c r="T54" i="9"/>
  <c r="U54" i="9"/>
  <c r="N240" i="9"/>
  <c r="U265" i="13"/>
  <c r="T265" i="13"/>
  <c r="T149" i="9"/>
  <c r="U149" i="9"/>
  <c r="T192" i="13"/>
  <c r="U192" i="13"/>
  <c r="U337" i="16"/>
  <c r="T337" i="16"/>
  <c r="T210" i="15"/>
  <c r="U210" i="15"/>
  <c r="W16" i="7"/>
  <c r="X15" i="7"/>
  <c r="T7" i="5"/>
  <c r="U7" i="5"/>
  <c r="N14" i="5"/>
  <c r="U8" i="7"/>
  <c r="N15" i="7"/>
  <c r="T8" i="7"/>
  <c r="T263" i="13"/>
  <c r="U263" i="13"/>
  <c r="U334" i="16"/>
  <c r="T334" i="16"/>
  <c r="U349" i="10"/>
  <c r="T349" i="10"/>
  <c r="U190" i="10"/>
  <c r="T190" i="10"/>
  <c r="U249" i="10"/>
  <c r="T249" i="10"/>
  <c r="U247" i="10"/>
  <c r="T247" i="10"/>
  <c r="T312" i="10"/>
  <c r="U312" i="10"/>
  <c r="U259" i="10"/>
  <c r="T259" i="10"/>
  <c r="T278" i="10"/>
  <c r="U278" i="10"/>
  <c r="T246" i="10"/>
  <c r="U246" i="10"/>
  <c r="U304" i="10"/>
  <c r="T304" i="10"/>
  <c r="T187" i="10"/>
  <c r="U187" i="10"/>
  <c r="T406" i="15"/>
  <c r="U406" i="15"/>
  <c r="U194" i="10"/>
  <c r="T194" i="10"/>
  <c r="T167" i="10"/>
  <c r="U309" i="10"/>
  <c r="T309" i="10"/>
  <c r="T238" i="10"/>
  <c r="U238" i="10"/>
  <c r="U236" i="10"/>
  <c r="T236" i="10"/>
  <c r="T321" i="10"/>
  <c r="U321" i="10"/>
  <c r="T192" i="10"/>
  <c r="U192" i="10"/>
  <c r="U202" i="10"/>
  <c r="T202" i="10"/>
  <c r="T250" i="10"/>
  <c r="U250" i="10"/>
  <c r="T283" i="10"/>
  <c r="U283" i="10"/>
  <c r="U311" i="10"/>
  <c r="T311" i="10"/>
  <c r="T248" i="10"/>
  <c r="U248" i="10"/>
  <c r="T206" i="10"/>
  <c r="U206" i="10"/>
  <c r="T315" i="10"/>
  <c r="U315" i="10"/>
  <c r="U327" i="10"/>
  <c r="T327" i="10"/>
  <c r="T172" i="10"/>
  <c r="U172" i="10"/>
  <c r="U245" i="10"/>
  <c r="T245" i="10"/>
  <c r="U258" i="10"/>
  <c r="T258" i="10"/>
  <c r="U267" i="10"/>
  <c r="T267" i="10"/>
  <c r="U265" i="10"/>
  <c r="T265" i="10"/>
  <c r="U260" i="10"/>
  <c r="T260" i="10"/>
  <c r="U223" i="10"/>
  <c r="T223" i="10"/>
  <c r="U211" i="10"/>
  <c r="T211" i="10"/>
  <c r="U217" i="10"/>
  <c r="T217" i="10"/>
  <c r="U273" i="10"/>
  <c r="T273" i="10"/>
  <c r="T186" i="10"/>
  <c r="U186" i="10"/>
  <c r="U271" i="10"/>
  <c r="T271" i="10"/>
  <c r="G17" i="3"/>
  <c r="T243" i="10"/>
  <c r="U243" i="10"/>
  <c r="U293" i="10"/>
  <c r="T293" i="10"/>
  <c r="U337" i="10"/>
  <c r="T337" i="10"/>
  <c r="T350" i="10"/>
  <c r="U350" i="10"/>
  <c r="U277" i="10"/>
  <c r="T277" i="10"/>
  <c r="U316" i="10"/>
  <c r="T316" i="10"/>
  <c r="T324" i="10"/>
  <c r="U324" i="10"/>
  <c r="U347" i="10"/>
  <c r="T347" i="10"/>
  <c r="U184" i="10"/>
  <c r="T184" i="10"/>
  <c r="U343" i="15"/>
  <c r="T343" i="15"/>
  <c r="T409" i="15"/>
  <c r="U409" i="15"/>
  <c r="T417" i="15"/>
  <c r="U417" i="15"/>
  <c r="U387" i="15"/>
  <c r="T387" i="15"/>
  <c r="U248" i="15"/>
  <c r="T248" i="15"/>
  <c r="T270" i="15"/>
  <c r="U270" i="15"/>
  <c r="T223" i="15"/>
  <c r="U223" i="15"/>
  <c r="T391" i="15"/>
  <c r="U391" i="15"/>
  <c r="T195" i="15"/>
  <c r="U195" i="15"/>
  <c r="T317" i="15"/>
  <c r="U317" i="15"/>
  <c r="T447" i="15"/>
  <c r="U447" i="15"/>
  <c r="U261" i="15"/>
  <c r="T261" i="15"/>
  <c r="U403" i="15"/>
  <c r="T403" i="15"/>
  <c r="U328" i="15"/>
  <c r="T328" i="15"/>
  <c r="U358" i="15"/>
  <c r="T358" i="15"/>
  <c r="U213" i="15"/>
  <c r="T213" i="15"/>
  <c r="U320" i="15"/>
  <c r="T320" i="15"/>
  <c r="T487" i="15"/>
  <c r="U487" i="15"/>
  <c r="T331" i="15"/>
  <c r="U331" i="15"/>
  <c r="T347" i="15"/>
  <c r="U347" i="15"/>
  <c r="U209" i="15"/>
  <c r="T209" i="15"/>
  <c r="U224" i="15"/>
  <c r="T224" i="15"/>
  <c r="U368" i="15"/>
  <c r="T368" i="15"/>
  <c r="T197" i="15"/>
  <c r="U197" i="15"/>
  <c r="U459" i="15"/>
  <c r="T459" i="15"/>
  <c r="U275" i="15"/>
  <c r="T275" i="15"/>
  <c r="U344" i="15"/>
  <c r="T344" i="15"/>
  <c r="U255" i="15"/>
  <c r="T255" i="15"/>
  <c r="U360" i="15"/>
  <c r="T360" i="15"/>
  <c r="T468" i="15"/>
  <c r="U468" i="15"/>
  <c r="U393" i="15"/>
  <c r="T393" i="15"/>
  <c r="T471" i="15"/>
  <c r="U471" i="15"/>
  <c r="T450" i="15"/>
  <c r="U450" i="15"/>
  <c r="U229" i="15"/>
  <c r="T229" i="15"/>
  <c r="U355" i="15"/>
  <c r="T355" i="15"/>
  <c r="U271" i="15"/>
  <c r="T271" i="15"/>
  <c r="U440" i="15"/>
  <c r="T440" i="15"/>
  <c r="T306" i="15"/>
  <c r="U306" i="15"/>
  <c r="M537" i="15"/>
  <c r="T193" i="15"/>
  <c r="U193" i="15"/>
  <c r="N537" i="15"/>
  <c r="T474" i="15"/>
  <c r="U474" i="15"/>
  <c r="T256" i="15"/>
  <c r="U256" i="15"/>
  <c r="T428" i="15"/>
  <c r="U428" i="15"/>
  <c r="G21" i="11"/>
  <c r="T173" i="10"/>
  <c r="U173" i="10"/>
  <c r="T332" i="10"/>
  <c r="U332" i="10"/>
  <c r="N170" i="10"/>
  <c r="M378" i="10"/>
  <c r="U195" i="10"/>
  <c r="T195" i="10"/>
  <c r="F14" i="3"/>
  <c r="H27" i="3" l="1"/>
  <c r="G31" i="3"/>
  <c r="C3" i="2"/>
  <c r="L13" i="3"/>
  <c r="I13" i="3"/>
  <c r="M13" i="3" s="1"/>
  <c r="J10" i="3"/>
  <c r="F16" i="2"/>
  <c r="C4" i="2" s="1"/>
  <c r="F8" i="2"/>
  <c r="L10" i="3"/>
  <c r="G30" i="18"/>
  <c r="B34" i="18"/>
  <c r="B38" i="18" s="1"/>
  <c r="E38" i="18"/>
  <c r="I12" i="3"/>
  <c r="J12" i="3"/>
  <c r="L12" i="3"/>
  <c r="T58" i="13"/>
  <c r="U58" i="13"/>
  <c r="R58" i="13"/>
  <c r="R447" i="13" s="1"/>
  <c r="N447" i="13"/>
  <c r="U179" i="16"/>
  <c r="T179" i="16"/>
  <c r="N466" i="16"/>
  <c r="H11" i="3"/>
  <c r="I11" i="3" s="1"/>
  <c r="J11" i="3"/>
  <c r="L11" i="3"/>
  <c r="U133" i="14"/>
  <c r="T133" i="14"/>
  <c r="N201" i="14"/>
  <c r="G14" i="3"/>
  <c r="G18" i="3" s="1"/>
  <c r="J13" i="3"/>
  <c r="H17" i="3"/>
  <c r="F18" i="3"/>
  <c r="F16" i="3"/>
  <c r="T170" i="10"/>
  <c r="U170" i="10"/>
  <c r="N378" i="10"/>
  <c r="I27" i="3" l="1"/>
  <c r="I31" i="3" s="1"/>
  <c r="H31" i="3"/>
  <c r="M11" i="3"/>
  <c r="F17" i="2"/>
  <c r="C17" i="2"/>
  <c r="G38" i="18"/>
  <c r="J14" i="3"/>
  <c r="M12" i="3"/>
  <c r="H14" i="3"/>
  <c r="H18" i="3" s="1"/>
  <c r="M10" i="3"/>
  <c r="I14" i="3"/>
  <c r="H16" i="3" l="1"/>
  <c r="I16" i="3"/>
  <c r="H19" i="3"/>
</calcChain>
</file>

<file path=xl/comments1.xml><?xml version="1.0" encoding="utf-8"?>
<comments xmlns="http://schemas.openxmlformats.org/spreadsheetml/2006/main">
  <authors>
    <author>Infraware Corporation</author>
  </authors>
  <commentList>
    <comment ref="B154" authorId="0" shapeId="0">
      <text>
        <r>
          <rPr>
            <b/>
            <sz val="9"/>
            <color indexed="10"/>
            <rFont val="굴림"/>
            <family val="3"/>
            <charset val="129"/>
          </rPr>
          <t>DIE → WIRE</t>
        </r>
        <r>
          <rPr>
            <sz val="9"/>
            <color indexed="8"/>
            <rFont val="굴림"/>
            <family val="3"/>
            <charset val="129"/>
          </rPr>
          <t xml:space="preserve">
</t>
        </r>
      </text>
    </comment>
    <comment ref="B159" authorId="0" shapeId="0">
      <text>
        <r>
          <rPr>
            <b/>
            <sz val="9"/>
            <color indexed="10"/>
            <rFont val="굴림"/>
            <family val="3"/>
            <charset val="129"/>
          </rPr>
          <t>한국내쇼날인스투루먼트
2011-7-20자 : 8,330,000원 제거
2011-7-25자 :    415,000원 제거(자본적지출)
총 액 :           8,745,000원 
감가상각비 3분기 : 437,250원
              4분기 : 437,250원</t>
        </r>
        <r>
          <rPr>
            <sz val="9"/>
            <color indexed="8"/>
            <rFont val="굴림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Infraware Corporation</author>
  </authors>
  <commentList>
    <comment ref="Q111" authorId="0" shapeId="0">
      <text>
        <r>
          <rPr>
            <b/>
            <sz val="9"/>
            <color indexed="8"/>
            <rFont val="굴림"/>
            <family val="3"/>
            <charset val="129"/>
          </rPr>
          <t>06.02.09 자본지출</t>
        </r>
      </text>
    </comment>
    <comment ref="Q128" authorId="0" shapeId="0">
      <text>
        <r>
          <rPr>
            <b/>
            <sz val="9"/>
            <color indexed="8"/>
            <rFont val="굴림"/>
            <family val="3"/>
            <charset val="129"/>
          </rPr>
          <t xml:space="preserve">06.03.07 자본지출
06.05.09 자본지출
06.06.30 자본지출
</t>
        </r>
        <r>
          <rPr>
            <sz val="9"/>
            <color indexed="8"/>
            <rFont val="굴림"/>
            <family val="3"/>
            <charset val="129"/>
          </rPr>
          <t xml:space="preserve">
</t>
        </r>
      </text>
    </comment>
    <comment ref="B303" authorId="0" shapeId="0">
      <text>
        <r>
          <rPr>
            <b/>
            <sz val="9"/>
            <color indexed="10"/>
            <rFont val="굴림"/>
            <family val="3"/>
            <charset val="129"/>
          </rPr>
          <t>무상대여 (상품→기계장치대체)
2011년 감가상각비(9개월분) 상각
4/28자 타기계장치와 동일취득처리</t>
        </r>
        <r>
          <rPr>
            <sz val="9"/>
            <color indexed="8"/>
            <rFont val="굴림"/>
            <family val="3"/>
            <charset val="129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Infraware Corporation</author>
  </authors>
  <commentList>
    <comment ref="Q13" authorId="0" shapeId="0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김강호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부사장님</t>
        </r>
      </text>
    </comment>
    <comment ref="Q14" authorId="0" shapeId="0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이학수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부사장님</t>
        </r>
      </text>
    </comment>
    <comment ref="Q16" authorId="0" shapeId="0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박병근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사장님</t>
        </r>
      </text>
    </comment>
  </commentList>
</comments>
</file>

<file path=xl/comments4.xml><?xml version="1.0" encoding="utf-8"?>
<comments xmlns="http://schemas.openxmlformats.org/spreadsheetml/2006/main">
  <authors>
    <author>Infraware Corporation</author>
  </authors>
  <commentList>
    <comment ref="Q8" authorId="0" shapeId="0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최봉민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 xml:space="preserve">부사장님
</t>
        </r>
      </text>
    </comment>
  </commentList>
</comments>
</file>

<file path=xl/comments5.xml><?xml version="1.0" encoding="utf-8"?>
<comments xmlns="http://schemas.openxmlformats.org/spreadsheetml/2006/main">
  <authors>
    <author>Infraware Corporation</author>
  </authors>
  <commentList>
    <comment ref="Q340" authorId="0" shapeId="0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개발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과제로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인한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실제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공기구는</t>
        </r>
        <r>
          <rPr>
            <sz val="9"/>
            <color indexed="8"/>
            <rFont val="Tahoma"/>
            <family val="2"/>
          </rPr>
          <t xml:space="preserve"> function generator</t>
        </r>
        <r>
          <rPr>
            <sz val="9"/>
            <color indexed="8"/>
            <rFont val="돋움"/>
            <family val="3"/>
            <charset val="129"/>
          </rPr>
          <t>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구매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및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사용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중</t>
        </r>
      </text>
    </comment>
  </commentList>
</comments>
</file>

<file path=xl/sharedStrings.xml><?xml version="1.0" encoding="utf-8"?>
<sst xmlns="http://schemas.openxmlformats.org/spreadsheetml/2006/main" count="6190" uniqueCount="3131">
  <si>
    <t>판관비</t>
    <phoneticPr fontId="5" type="noConversion"/>
  </si>
  <si>
    <t>감가상각비</t>
    <phoneticPr fontId="5" type="noConversion"/>
  </si>
  <si>
    <t>DM</t>
  </si>
  <si>
    <t>건물</t>
    <phoneticPr fontId="5" type="noConversion"/>
  </si>
  <si>
    <t>제조</t>
    <phoneticPr fontId="5" type="noConversion"/>
  </si>
  <si>
    <t>감가상각비(DM)</t>
    <phoneticPr fontId="5" type="noConversion"/>
  </si>
  <si>
    <t>구축물</t>
    <phoneticPr fontId="5" type="noConversion"/>
  </si>
  <si>
    <t>감가상각비(반도체)</t>
    <phoneticPr fontId="5" type="noConversion"/>
  </si>
  <si>
    <t>기계</t>
    <phoneticPr fontId="5" type="noConversion"/>
  </si>
  <si>
    <t>차량</t>
    <phoneticPr fontId="5" type="noConversion"/>
  </si>
  <si>
    <t>공구</t>
    <phoneticPr fontId="5" type="noConversion"/>
  </si>
  <si>
    <t>비품</t>
    <phoneticPr fontId="5" type="noConversion"/>
  </si>
  <si>
    <t>반도체</t>
    <phoneticPr fontId="5" type="noConversion"/>
  </si>
  <si>
    <t>건물</t>
    <phoneticPr fontId="5" type="noConversion"/>
  </si>
  <si>
    <t>구축물</t>
    <phoneticPr fontId="5" type="noConversion"/>
  </si>
  <si>
    <t>기계</t>
    <phoneticPr fontId="5" type="noConversion"/>
  </si>
  <si>
    <t>차량</t>
    <phoneticPr fontId="5" type="noConversion"/>
  </si>
  <si>
    <t>비품</t>
    <phoneticPr fontId="5" type="noConversion"/>
  </si>
  <si>
    <t>감가상각비</t>
    <phoneticPr fontId="5" type="noConversion"/>
  </si>
  <si>
    <t>제조</t>
    <phoneticPr fontId="5" type="noConversion"/>
  </si>
  <si>
    <t>제조</t>
    <phoneticPr fontId="5" type="noConversion"/>
  </si>
  <si>
    <t>감가상각비(반도체)</t>
    <phoneticPr fontId="5" type="noConversion"/>
  </si>
  <si>
    <t>㈜오디텍</t>
    <phoneticPr fontId="5" type="noConversion"/>
  </si>
  <si>
    <t>&lt;단위 : 원&gt;</t>
    <phoneticPr fontId="5" type="noConversion"/>
  </si>
  <si>
    <t>과  목  명</t>
    <phoneticPr fontId="5" type="noConversion"/>
  </si>
  <si>
    <t>기초가액</t>
    <phoneticPr fontId="5" type="noConversion"/>
  </si>
  <si>
    <t>당기증감</t>
    <phoneticPr fontId="5" type="noConversion"/>
  </si>
  <si>
    <t>기말가액</t>
    <phoneticPr fontId="5" type="noConversion"/>
  </si>
  <si>
    <t>전기말상각누계액</t>
    <phoneticPr fontId="5" type="noConversion"/>
  </si>
  <si>
    <t>당기상각대상액</t>
    <phoneticPr fontId="5" type="noConversion"/>
  </si>
  <si>
    <t>당기상각액</t>
    <phoneticPr fontId="5" type="noConversion"/>
  </si>
  <si>
    <t>당기말상각누계액</t>
    <phoneticPr fontId="5" type="noConversion"/>
  </si>
  <si>
    <t>당기말미상각액</t>
    <phoneticPr fontId="5" type="noConversion"/>
  </si>
  <si>
    <t>토         지</t>
    <phoneticPr fontId="5" type="noConversion"/>
  </si>
  <si>
    <t>건        물</t>
    <phoneticPr fontId="5" type="noConversion"/>
  </si>
  <si>
    <t>구  축  물</t>
    <phoneticPr fontId="5" type="noConversion"/>
  </si>
  <si>
    <t>기 계 장 치</t>
    <phoneticPr fontId="5" type="noConversion"/>
  </si>
  <si>
    <t>차량운반구</t>
    <phoneticPr fontId="5" type="noConversion"/>
  </si>
  <si>
    <t>공구와기구</t>
    <phoneticPr fontId="5" type="noConversion"/>
  </si>
  <si>
    <t>비         품</t>
    <phoneticPr fontId="5" type="noConversion"/>
  </si>
  <si>
    <t>합         계</t>
    <phoneticPr fontId="5" type="noConversion"/>
  </si>
  <si>
    <t>검증</t>
    <phoneticPr fontId="5" type="noConversion"/>
  </si>
  <si>
    <t>회사명 : (주)오디텍 D&amp;M사업부</t>
    <phoneticPr fontId="5" type="noConversion"/>
  </si>
  <si>
    <t>&lt;단위 : 원&gt;</t>
    <phoneticPr fontId="5" type="noConversion"/>
  </si>
  <si>
    <t>NO</t>
  </si>
  <si>
    <t>자  산  명</t>
    <phoneticPr fontId="5" type="noConversion"/>
  </si>
  <si>
    <t>취득년월일</t>
    <phoneticPr fontId="5" type="noConversion"/>
  </si>
  <si>
    <t>기초가액</t>
    <phoneticPr fontId="5" type="noConversion"/>
  </si>
  <si>
    <t>당기증감</t>
    <phoneticPr fontId="5" type="noConversion"/>
  </si>
  <si>
    <t>기말잔액</t>
    <phoneticPr fontId="5" type="noConversion"/>
  </si>
  <si>
    <t>당기상각대상금액</t>
    <phoneticPr fontId="5" type="noConversion"/>
  </si>
  <si>
    <t>년수</t>
    <phoneticPr fontId="5" type="noConversion"/>
  </si>
  <si>
    <t>상각률</t>
    <phoneticPr fontId="5" type="noConversion"/>
  </si>
  <si>
    <t>월수</t>
    <phoneticPr fontId="5" type="noConversion"/>
  </si>
  <si>
    <t>당기상각비</t>
    <phoneticPr fontId="5" type="noConversion"/>
  </si>
  <si>
    <t>당기말상각누계액</t>
    <phoneticPr fontId="5" type="noConversion"/>
  </si>
  <si>
    <t>당기말미상각잔액</t>
    <phoneticPr fontId="5" type="noConversion"/>
  </si>
  <si>
    <t>구입처</t>
    <phoneticPr fontId="5" type="noConversion"/>
  </si>
  <si>
    <t>수 량</t>
    <phoneticPr fontId="5" type="noConversion"/>
  </si>
  <si>
    <t>비고</t>
    <phoneticPr fontId="5" type="noConversion"/>
  </si>
  <si>
    <t>1</t>
  </si>
  <si>
    <t>완주군 봉동읍 용암리 814,810-2번지</t>
    <phoneticPr fontId="5" type="noConversion"/>
  </si>
  <si>
    <t>2002.07.23</t>
  </si>
  <si>
    <t>전북개발공사</t>
    <phoneticPr fontId="5" type="noConversion"/>
  </si>
  <si>
    <t>4,617.3(㎥)</t>
    <phoneticPr fontId="5" type="noConversion"/>
  </si>
  <si>
    <t xml:space="preserve"> 완주군 봉동읍 용암리 810번지</t>
    <phoneticPr fontId="5" type="noConversion"/>
  </si>
  <si>
    <t>2003.09.26</t>
  </si>
  <si>
    <t>전북개발공사</t>
    <phoneticPr fontId="5" type="noConversion"/>
  </si>
  <si>
    <t>1,316.4(㎥)</t>
    <phoneticPr fontId="5" type="noConversion"/>
  </si>
  <si>
    <t xml:space="preserve"> 완주군 봉동읍 용암리 809-1, 809-2번지</t>
    <phoneticPr fontId="5" type="noConversion"/>
  </si>
  <si>
    <t>2006.08.11</t>
  </si>
  <si>
    <t>전북개발공사</t>
    <phoneticPr fontId="5" type="noConversion"/>
  </si>
  <si>
    <t>1,626.4(㎥)</t>
    <phoneticPr fontId="5" type="noConversion"/>
  </si>
  <si>
    <t>2012.08.10</t>
  </si>
  <si>
    <t>에이프로시스템즈</t>
    <phoneticPr fontId="5" type="noConversion"/>
  </si>
  <si>
    <t>전주렉시안아파트(108동 506호)</t>
    <phoneticPr fontId="5" type="noConversion"/>
  </si>
  <si>
    <t>41.5811㎡(2017.09.08 매각)</t>
    <phoneticPr fontId="5" type="noConversion"/>
  </si>
  <si>
    <t>전주렉시안아파트(108동 1304호)</t>
    <phoneticPr fontId="5" type="noConversion"/>
  </si>
  <si>
    <t>에이프로시스템즈</t>
    <phoneticPr fontId="5" type="noConversion"/>
  </si>
  <si>
    <r>
      <t>41.5811㎡</t>
    </r>
    <r>
      <rPr>
        <sz val="9"/>
        <color indexed="8"/>
        <rFont val="맑은 고딕"/>
        <family val="3"/>
        <charset val="129"/>
      </rPr>
      <t>(2017.08.24 매각)</t>
    </r>
    <phoneticPr fontId="5" type="noConversion"/>
  </si>
  <si>
    <t>合    計</t>
    <phoneticPr fontId="5" type="noConversion"/>
  </si>
  <si>
    <t>회사명 : (주)오디텍 D&amp;M사업부</t>
    <phoneticPr fontId="5" type="noConversion"/>
  </si>
  <si>
    <t>&lt;단위 : 원&gt;</t>
    <phoneticPr fontId="5" type="noConversion"/>
  </si>
  <si>
    <t>자  산  명</t>
    <phoneticPr fontId="5" type="noConversion"/>
  </si>
  <si>
    <t>취득년월일</t>
    <phoneticPr fontId="5" type="noConversion"/>
  </si>
  <si>
    <t>기초가액</t>
    <phoneticPr fontId="5" type="noConversion"/>
  </si>
  <si>
    <t>당기증감</t>
    <phoneticPr fontId="5" type="noConversion"/>
  </si>
  <si>
    <t>기말잔액</t>
    <phoneticPr fontId="5" type="noConversion"/>
  </si>
  <si>
    <t>당기상각대상금액</t>
    <phoneticPr fontId="5" type="noConversion"/>
  </si>
  <si>
    <t>상각률</t>
    <phoneticPr fontId="5" type="noConversion"/>
  </si>
  <si>
    <t>월수</t>
    <phoneticPr fontId="5" type="noConversion"/>
  </si>
  <si>
    <t>당기상각비</t>
    <phoneticPr fontId="5" type="noConversion"/>
  </si>
  <si>
    <t>당기말상각누계액</t>
    <phoneticPr fontId="5" type="noConversion"/>
  </si>
  <si>
    <t>당기말미상각잔액</t>
    <phoneticPr fontId="5" type="noConversion"/>
  </si>
  <si>
    <t>구입처</t>
    <phoneticPr fontId="5" type="noConversion"/>
  </si>
  <si>
    <t>수 량</t>
    <phoneticPr fontId="5" type="noConversion"/>
  </si>
  <si>
    <t>2006년상각</t>
    <phoneticPr fontId="5" type="noConversion"/>
  </si>
  <si>
    <t>잔존가 5%</t>
    <phoneticPr fontId="5" type="noConversion"/>
  </si>
  <si>
    <t>5%검증</t>
    <phoneticPr fontId="5" type="noConversion"/>
  </si>
  <si>
    <t>잔존가\1,000</t>
    <phoneticPr fontId="5" type="noConversion"/>
  </si>
  <si>
    <t>당기상각</t>
    <phoneticPr fontId="5" type="noConversion"/>
  </si>
  <si>
    <t>3분기상각</t>
    <phoneticPr fontId="5" type="noConversion"/>
  </si>
  <si>
    <t>차이</t>
    <phoneticPr fontId="5" type="noConversion"/>
  </si>
  <si>
    <t>2003.05.06</t>
  </si>
  <si>
    <t xml:space="preserve"> '05.8.30자본지출:0.3억</t>
    <phoneticPr fontId="5" type="noConversion"/>
  </si>
  <si>
    <t>2,039.88(㎥)</t>
    <phoneticPr fontId="5" type="noConversion"/>
  </si>
  <si>
    <t>코아루아파트(108동 802호)</t>
    <phoneticPr fontId="5" type="noConversion"/>
  </si>
  <si>
    <t>2006.12.26</t>
  </si>
  <si>
    <t>본사건물 제2동</t>
    <phoneticPr fontId="5" type="noConversion"/>
  </si>
  <si>
    <t>2008.04.21</t>
  </si>
  <si>
    <t>전주렉시안아파트(108동 303호)</t>
    <phoneticPr fontId="5" type="noConversion"/>
  </si>
  <si>
    <t>59.9604㎡</t>
    <phoneticPr fontId="5" type="noConversion"/>
  </si>
  <si>
    <t>전주렉시안아파트(108동 506호)</t>
    <phoneticPr fontId="5" type="noConversion"/>
  </si>
  <si>
    <t>에이프로시스템즈</t>
    <phoneticPr fontId="5" type="noConversion"/>
  </si>
  <si>
    <r>
      <t>59.9604㎡</t>
    </r>
    <r>
      <rPr>
        <sz val="9"/>
        <color indexed="8"/>
        <rFont val="맑은 고딕"/>
        <family val="3"/>
        <charset val="129"/>
      </rPr>
      <t>(2017.09.08 매각)</t>
    </r>
    <phoneticPr fontId="5" type="noConversion"/>
  </si>
  <si>
    <r>
      <t>59.9604㎡</t>
    </r>
    <r>
      <rPr>
        <sz val="9"/>
        <color indexed="8"/>
        <rFont val="맑은 고딕"/>
        <family val="3"/>
        <charset val="129"/>
      </rPr>
      <t>(2017.08.24 매각)</t>
    </r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</si>
  <si>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018.10.05</t>
    </r>
    <phoneticPr fontId="5" type="noConversion"/>
  </si>
  <si>
    <t>동양종합건설 외</t>
  </si>
  <si>
    <t>合    計</t>
    <phoneticPr fontId="5" type="noConversion"/>
  </si>
  <si>
    <t>회사명 : (주)오디텍 반도체사업부</t>
    <phoneticPr fontId="5" type="noConversion"/>
  </si>
  <si>
    <t>&lt;단위 : 원&gt;</t>
    <phoneticPr fontId="5" type="noConversion"/>
  </si>
  <si>
    <t>자  산  명</t>
    <phoneticPr fontId="5" type="noConversion"/>
  </si>
  <si>
    <t>취득년월일</t>
    <phoneticPr fontId="5" type="noConversion"/>
  </si>
  <si>
    <t>기초가액</t>
    <phoneticPr fontId="5" type="noConversion"/>
  </si>
  <si>
    <t>당기증감</t>
    <phoneticPr fontId="5" type="noConversion"/>
  </si>
  <si>
    <t>년수</t>
    <phoneticPr fontId="5" type="noConversion"/>
  </si>
  <si>
    <t>상각률</t>
    <phoneticPr fontId="5" type="noConversion"/>
  </si>
  <si>
    <t>당기상각비</t>
    <phoneticPr fontId="5" type="noConversion"/>
  </si>
  <si>
    <t>당기말상각누계액</t>
    <phoneticPr fontId="5" type="noConversion"/>
  </si>
  <si>
    <t>비고</t>
    <phoneticPr fontId="5" type="noConversion"/>
  </si>
  <si>
    <t>2006년상각</t>
    <phoneticPr fontId="5" type="noConversion"/>
  </si>
  <si>
    <t>잔존가 5%</t>
    <phoneticPr fontId="5" type="noConversion"/>
  </si>
  <si>
    <t>5%검증</t>
    <phoneticPr fontId="5" type="noConversion"/>
  </si>
  <si>
    <t>잔존가\1,000</t>
    <phoneticPr fontId="5" type="noConversion"/>
  </si>
  <si>
    <t>당기상각</t>
    <phoneticPr fontId="5" type="noConversion"/>
  </si>
  <si>
    <t>4분기상각</t>
    <phoneticPr fontId="5" type="noConversion"/>
  </si>
  <si>
    <t>전주 신공장</t>
    <phoneticPr fontId="5" type="noConversion"/>
  </si>
  <si>
    <t>2010.12.23</t>
  </si>
  <si>
    <t>合    計</t>
    <phoneticPr fontId="5" type="noConversion"/>
  </si>
  <si>
    <t>취득년월일</t>
    <phoneticPr fontId="5" type="noConversion"/>
  </si>
  <si>
    <t>전기말상각누계액</t>
    <phoneticPr fontId="5" type="noConversion"/>
  </si>
  <si>
    <t>당기상각대상금액</t>
    <phoneticPr fontId="5" type="noConversion"/>
  </si>
  <si>
    <t>년수</t>
    <phoneticPr fontId="5" type="noConversion"/>
  </si>
  <si>
    <t>상각률</t>
    <phoneticPr fontId="5" type="noConversion"/>
  </si>
  <si>
    <t>당기말상각누계액</t>
    <phoneticPr fontId="5" type="noConversion"/>
  </si>
  <si>
    <t>당기말미상각잔액</t>
    <phoneticPr fontId="5" type="noConversion"/>
  </si>
  <si>
    <t>2006년상각</t>
    <phoneticPr fontId="5" type="noConversion"/>
  </si>
  <si>
    <t>잔존가 5%</t>
    <phoneticPr fontId="5" type="noConversion"/>
  </si>
  <si>
    <t>당기상각</t>
    <phoneticPr fontId="5" type="noConversion"/>
  </si>
  <si>
    <t>차이</t>
    <phoneticPr fontId="5" type="noConversion"/>
  </si>
  <si>
    <t>상수도급수공사</t>
    <phoneticPr fontId="5" type="noConversion"/>
  </si>
  <si>
    <t>2002.09.23</t>
  </si>
  <si>
    <t>공업용수급수공사</t>
    <phoneticPr fontId="5" type="noConversion"/>
  </si>
  <si>
    <t>2002.10.16</t>
  </si>
  <si>
    <t>전기공사(변전소)</t>
    <phoneticPr fontId="5" type="noConversion"/>
  </si>
  <si>
    <t>2002.11.13</t>
  </si>
  <si>
    <t>신축공장 전기공사(변전소)</t>
    <phoneticPr fontId="5" type="noConversion"/>
  </si>
  <si>
    <t>2008.01.23</t>
  </si>
  <si>
    <t>상수도급수공사(신축공장)</t>
    <phoneticPr fontId="5" type="noConversion"/>
  </si>
  <si>
    <t>2008.03.14</t>
  </si>
  <si>
    <t>상수도급수관</t>
    <phoneticPr fontId="5" type="noConversion"/>
  </si>
  <si>
    <t>2010.06.25</t>
  </si>
  <si>
    <t>본관2계량기</t>
    <phoneticPr fontId="5" type="noConversion"/>
  </si>
  <si>
    <t>정자</t>
    <phoneticPr fontId="5" type="noConversion"/>
  </si>
  <si>
    <t>2013.08.21</t>
  </si>
  <si>
    <t>2018.07.16</t>
  </si>
  <si>
    <t>회사명 : (주)오디텍 반도체사업부</t>
    <phoneticPr fontId="5" type="noConversion"/>
  </si>
  <si>
    <t>자  산  명</t>
    <phoneticPr fontId="5" type="noConversion"/>
  </si>
  <si>
    <t>기초가액</t>
    <phoneticPr fontId="5" type="noConversion"/>
  </si>
  <si>
    <t>기말잔액</t>
    <phoneticPr fontId="5" type="noConversion"/>
  </si>
  <si>
    <t>전기말상각누계액</t>
    <phoneticPr fontId="5" type="noConversion"/>
  </si>
  <si>
    <t>월수</t>
    <phoneticPr fontId="5" type="noConversion"/>
  </si>
  <si>
    <t>당기상각비</t>
    <phoneticPr fontId="5" type="noConversion"/>
  </si>
  <si>
    <t>당기말상각누계액</t>
    <phoneticPr fontId="5" type="noConversion"/>
  </si>
  <si>
    <t>구입처</t>
    <phoneticPr fontId="5" type="noConversion"/>
  </si>
  <si>
    <t>수 량</t>
    <phoneticPr fontId="5" type="noConversion"/>
  </si>
  <si>
    <t>비고</t>
    <phoneticPr fontId="5" type="noConversion"/>
  </si>
  <si>
    <t>2006년상각</t>
    <phoneticPr fontId="5" type="noConversion"/>
  </si>
  <si>
    <t>잔존가 5%</t>
    <phoneticPr fontId="5" type="noConversion"/>
  </si>
  <si>
    <t>당기상각</t>
    <phoneticPr fontId="5" type="noConversion"/>
  </si>
  <si>
    <t>4분기상각</t>
    <phoneticPr fontId="5" type="noConversion"/>
  </si>
  <si>
    <t>차이</t>
    <phoneticPr fontId="5" type="noConversion"/>
  </si>
  <si>
    <t>상수도 급수관 설치</t>
    <phoneticPr fontId="5" type="noConversion"/>
  </si>
  <si>
    <t>2010.08.16</t>
  </si>
  <si>
    <t>반도체</t>
    <phoneticPr fontId="5" type="noConversion"/>
  </si>
  <si>
    <t>변전실 공사</t>
    <phoneticPr fontId="5" type="noConversion"/>
  </si>
  <si>
    <t>2010.08.25</t>
  </si>
  <si>
    <t>반도체</t>
    <phoneticPr fontId="5" type="noConversion"/>
  </si>
  <si>
    <t>방음벽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</si>
  <si>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014.04.14</t>
    </r>
  </si>
  <si>
    <t>주호산업</t>
    <phoneticPr fontId="5" type="noConversion"/>
  </si>
  <si>
    <t>반도체</t>
    <phoneticPr fontId="5" type="noConversion"/>
  </si>
  <si>
    <t>合    計</t>
    <phoneticPr fontId="5" type="noConversion"/>
  </si>
  <si>
    <t>기말잔액</t>
    <phoneticPr fontId="5" type="noConversion"/>
  </si>
  <si>
    <t>전기말상각누계액</t>
    <phoneticPr fontId="5" type="noConversion"/>
  </si>
  <si>
    <t>년수</t>
    <phoneticPr fontId="5" type="noConversion"/>
  </si>
  <si>
    <t>당기말미상각잔액</t>
    <phoneticPr fontId="5" type="noConversion"/>
  </si>
  <si>
    <t>수 량</t>
    <phoneticPr fontId="5" type="noConversion"/>
  </si>
  <si>
    <t>2006년상각</t>
    <phoneticPr fontId="5" type="noConversion"/>
  </si>
  <si>
    <t>잔존가5%</t>
    <phoneticPr fontId="5" type="noConversion"/>
  </si>
  <si>
    <t xml:space="preserve"> 5%검증</t>
    <phoneticPr fontId="5" type="noConversion"/>
  </si>
  <si>
    <t>씰링기</t>
    <phoneticPr fontId="5" type="noConversion"/>
  </si>
  <si>
    <t>AIR COMPRESSOR</t>
  </si>
  <si>
    <t>WIRE BONDER</t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</si>
  <si>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5" type="noConversion"/>
  </si>
  <si>
    <t>MANUAL TRIMMING M/C</t>
  </si>
  <si>
    <t>DS정공</t>
    <phoneticPr fontId="5" type="noConversion"/>
  </si>
  <si>
    <t>MOLD PRESS</t>
  </si>
  <si>
    <t>DS정공</t>
    <phoneticPr fontId="5" type="noConversion"/>
  </si>
  <si>
    <t>PREE HEATER</t>
  </si>
  <si>
    <t>계측기(digital osilloscope)</t>
    <phoneticPr fontId="5" type="noConversion"/>
  </si>
  <si>
    <t>이진전자</t>
    <phoneticPr fontId="5" type="noConversion"/>
  </si>
  <si>
    <t>에뮬레이터</t>
    <phoneticPr fontId="5" type="noConversion"/>
  </si>
  <si>
    <t>컴파일테크놀로지</t>
    <phoneticPr fontId="5" type="noConversion"/>
  </si>
  <si>
    <t>앤코더 프레스</t>
    <phoneticPr fontId="5" type="noConversion"/>
  </si>
  <si>
    <t>㈜썬테크</t>
    <phoneticPr fontId="5" type="noConversion"/>
  </si>
  <si>
    <t>WIRE BONDER(K&amp;S1488TURBO)</t>
  </si>
  <si>
    <t>QTEM TECH</t>
  </si>
  <si>
    <t>DIE BONDER(ASM AD809-06)</t>
  </si>
  <si>
    <t xml:space="preserve">HOSHAMA </t>
  </si>
  <si>
    <t>초음파세척기</t>
    <phoneticPr fontId="5" type="noConversion"/>
  </si>
  <si>
    <t>랩캠프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</si>
  <si>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5" type="noConversion"/>
  </si>
  <si>
    <t>WELDING M/C</t>
  </si>
  <si>
    <t>웰탑테크노스</t>
    <phoneticPr fontId="5" type="noConversion"/>
  </si>
  <si>
    <t>광학현미경</t>
    <phoneticPr fontId="5" type="noConversion"/>
  </si>
  <si>
    <t>서부정밀기기</t>
    <phoneticPr fontId="5" type="noConversion"/>
  </si>
  <si>
    <t>칼라센서 FORMING DIE</t>
    <phoneticPr fontId="5" type="noConversion"/>
  </si>
  <si>
    <t>조은테크놀로지</t>
    <phoneticPr fontId="5" type="noConversion"/>
  </si>
  <si>
    <t>초음파세척기</t>
    <phoneticPr fontId="5" type="noConversion"/>
  </si>
  <si>
    <t>대상기업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</si>
  <si>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5" type="noConversion"/>
  </si>
  <si>
    <t>한양유압</t>
    <phoneticPr fontId="5" type="noConversion"/>
  </si>
  <si>
    <t>PIN삽입기</t>
    <phoneticPr fontId="5" type="noConversion"/>
  </si>
  <si>
    <t>조은테크놀로지</t>
    <phoneticPr fontId="5" type="noConversion"/>
  </si>
  <si>
    <t>T/R DIE(2040)</t>
  </si>
  <si>
    <t>파라핀압입기(BONDING M/C)</t>
    <phoneticPr fontId="5" type="noConversion"/>
  </si>
  <si>
    <t>한국엥기스</t>
    <phoneticPr fontId="5" type="noConversion"/>
  </si>
  <si>
    <t>DIE BONDER</t>
  </si>
  <si>
    <t>세산교역</t>
    <phoneticPr fontId="5" type="noConversion"/>
  </si>
  <si>
    <t>WIRE BONDER(KAIJO FB-118A)</t>
  </si>
  <si>
    <t>2004-02-04</t>
  </si>
  <si>
    <t>조이통상</t>
    <phoneticPr fontId="5" type="noConversion"/>
  </si>
  <si>
    <t>DICING SAW MACHINE</t>
  </si>
  <si>
    <t>2004-02-10</t>
  </si>
  <si>
    <t>㈜네온테크</t>
    <phoneticPr fontId="5" type="noConversion"/>
  </si>
  <si>
    <t>탈포기</t>
    <phoneticPr fontId="5" type="noConversion"/>
  </si>
  <si>
    <t>2004-02-17</t>
  </si>
  <si>
    <t>조은테크놀로지</t>
    <phoneticPr fontId="5" type="noConversion"/>
  </si>
  <si>
    <t>광파워메타</t>
    <phoneticPr fontId="5" type="noConversion"/>
  </si>
  <si>
    <t>2004-02-28</t>
  </si>
  <si>
    <t>오피엠테크㈜</t>
    <phoneticPr fontId="5" type="noConversion"/>
  </si>
  <si>
    <t>항온항습기</t>
    <phoneticPr fontId="5" type="noConversion"/>
  </si>
  <si>
    <t>2004-03-26</t>
  </si>
  <si>
    <t>대진산업</t>
    <phoneticPr fontId="5" type="noConversion"/>
  </si>
  <si>
    <t xml:space="preserve">CASTING </t>
  </si>
  <si>
    <t>2004-04-30</t>
  </si>
  <si>
    <t>오디쎄미</t>
    <phoneticPr fontId="5" type="noConversion"/>
  </si>
  <si>
    <t>ACU</t>
  </si>
  <si>
    <t>2004-05-27</t>
  </si>
  <si>
    <t>대성냉동설비</t>
    <phoneticPr fontId="5" type="noConversion"/>
  </si>
  <si>
    <t>2004-06-30</t>
  </si>
  <si>
    <t>조이통상</t>
    <phoneticPr fontId="5" type="noConversion"/>
  </si>
  <si>
    <t>OVEN</t>
  </si>
  <si>
    <t>2004-08-05</t>
  </si>
  <si>
    <t>2400 DIGITAL SOURCEMENTER</t>
  </si>
  <si>
    <t>2004-10-25</t>
  </si>
  <si>
    <t>키슬리인스트루먼트</t>
    <phoneticPr fontId="5" type="noConversion"/>
  </si>
  <si>
    <t xml:space="preserve"> 06.7.24자본적</t>
    <phoneticPr fontId="5" type="noConversion"/>
  </si>
  <si>
    <t>OVEN(VACUUM DRY)</t>
  </si>
  <si>
    <t>2004-11-04</t>
  </si>
  <si>
    <t>2005-01-12</t>
  </si>
  <si>
    <t>금성엔지니어링</t>
    <phoneticPr fontId="5" type="noConversion"/>
  </si>
  <si>
    <t>금성엔지니어링</t>
    <phoneticPr fontId="5" type="noConversion"/>
  </si>
  <si>
    <t>HEATING MACHINE</t>
  </si>
  <si>
    <t>2005-01-25</t>
  </si>
  <si>
    <t>원광이엔텍</t>
    <phoneticPr fontId="5" type="noConversion"/>
  </si>
  <si>
    <t>FARTS FEEDER</t>
  </si>
  <si>
    <t>2005-03-08</t>
  </si>
  <si>
    <t>희망테크</t>
    <phoneticPr fontId="5" type="noConversion"/>
  </si>
  <si>
    <t>압입 PRESS</t>
    <phoneticPr fontId="5" type="noConversion"/>
  </si>
  <si>
    <t>2005-03-29</t>
  </si>
  <si>
    <t>2005-05-27</t>
  </si>
  <si>
    <t>트라이오닉스</t>
    <phoneticPr fontId="5" type="noConversion"/>
  </si>
  <si>
    <t>06.06.26자본지출</t>
    <phoneticPr fontId="5" type="noConversion"/>
  </si>
  <si>
    <t>2005-07-30</t>
  </si>
  <si>
    <t>조이통상</t>
    <phoneticPr fontId="5" type="noConversion"/>
  </si>
  <si>
    <t>진공펌프(TRP-24)</t>
    <phoneticPr fontId="5" type="noConversion"/>
  </si>
  <si>
    <t>2005-09-06</t>
  </si>
  <si>
    <t>우성진공전북영업</t>
    <phoneticPr fontId="5" type="noConversion"/>
  </si>
  <si>
    <t>DISPENSOR(SHOTMINI 200S-3A)</t>
  </si>
  <si>
    <t>2005-09-13</t>
  </si>
  <si>
    <t>카이스코퍼레이션</t>
    <phoneticPr fontId="5" type="noConversion"/>
  </si>
  <si>
    <t>데스트탑 로봇(ML-808FX)</t>
    <phoneticPr fontId="5" type="noConversion"/>
  </si>
  <si>
    <t>카이스코퍼레이션</t>
    <phoneticPr fontId="5" type="noConversion"/>
  </si>
  <si>
    <t>엔코더 TESTER</t>
    <phoneticPr fontId="5" type="noConversion"/>
  </si>
  <si>
    <t>2005-10-31</t>
  </si>
  <si>
    <t>안밴트로닉스</t>
    <phoneticPr fontId="5" type="noConversion"/>
  </si>
  <si>
    <t>2006-01-05</t>
  </si>
  <si>
    <t>PRE HEATER</t>
  </si>
  <si>
    <t>2006-01-27</t>
  </si>
  <si>
    <t>DIODE TESTER(SOH-100)</t>
  </si>
  <si>
    <t>2006-03-02</t>
  </si>
  <si>
    <t>사이언테크</t>
    <phoneticPr fontId="5" type="noConversion"/>
  </si>
  <si>
    <t>OVEN(OF-22GW)</t>
  </si>
  <si>
    <t>2006-03-09</t>
  </si>
  <si>
    <t>대진기계</t>
    <phoneticPr fontId="5" type="noConversion"/>
  </si>
  <si>
    <t>2006-04-19</t>
  </si>
  <si>
    <t>2006-04-29</t>
  </si>
  <si>
    <t>인텍</t>
    <phoneticPr fontId="5" type="noConversion"/>
  </si>
  <si>
    <t>PAD PRINTER</t>
  </si>
  <si>
    <t>2006-06-21</t>
  </si>
  <si>
    <t>아시아마킹</t>
    <phoneticPr fontId="5" type="noConversion"/>
  </si>
  <si>
    <t>MANUAL TESTER</t>
  </si>
  <si>
    <t>2006-06-30</t>
  </si>
  <si>
    <t>㈜LK전자</t>
    <phoneticPr fontId="5" type="noConversion"/>
  </si>
  <si>
    <t>DICING SAW M/C(DAD320)</t>
  </si>
  <si>
    <t>i-TNS</t>
  </si>
  <si>
    <t>분광분석기(SPECTROMETER)</t>
    <phoneticPr fontId="5" type="noConversion"/>
  </si>
  <si>
    <t>광전자정밀</t>
    <phoneticPr fontId="5" type="noConversion"/>
  </si>
  <si>
    <t>11.05.03자본적지출</t>
    <phoneticPr fontId="5" type="noConversion"/>
  </si>
  <si>
    <t>3층 전기공사</t>
    <phoneticPr fontId="5" type="noConversion"/>
  </si>
  <si>
    <t>한국기전</t>
    <phoneticPr fontId="5" type="noConversion"/>
  </si>
  <si>
    <t>잔존가5%이하상각액 포함</t>
    <phoneticPr fontId="5" type="noConversion"/>
  </si>
  <si>
    <t>WIRE BONDER(HW27U-H)</t>
  </si>
  <si>
    <t>조이통상 주식회사</t>
    <phoneticPr fontId="5" type="noConversion"/>
  </si>
  <si>
    <t>휘도측정 계측기</t>
    <phoneticPr fontId="5" type="noConversion"/>
  </si>
  <si>
    <t>㈜월드원</t>
    <phoneticPr fontId="5" type="noConversion"/>
  </si>
  <si>
    <t>잔존가5%이하상각액 포함</t>
    <phoneticPr fontId="5" type="noConversion"/>
  </si>
  <si>
    <t>AUTO TESTER(SEMI AUTO TESTER)</t>
  </si>
  <si>
    <t>㈜엘케이전자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</si>
  <si>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5" type="noConversion"/>
  </si>
  <si>
    <t>2액형 정량 토출기(KD-5020)</t>
    <phoneticPr fontId="5" type="noConversion"/>
  </si>
  <si>
    <t>케이엔디시스템</t>
    <phoneticPr fontId="5" type="noConversion"/>
  </si>
  <si>
    <t>AUTO DISPENSER</t>
  </si>
  <si>
    <t>조이통상주식회사</t>
    <phoneticPr fontId="5" type="noConversion"/>
  </si>
  <si>
    <t>오실로 스코프(MSO-4034)</t>
    <phoneticPr fontId="5" type="noConversion"/>
  </si>
  <si>
    <t>테크원시스템</t>
    <phoneticPr fontId="5" type="noConversion"/>
  </si>
  <si>
    <t>ASM 339 WIER BONDER</t>
  </si>
  <si>
    <t>럭스피아</t>
    <phoneticPr fontId="5" type="noConversion"/>
  </si>
  <si>
    <t>스탠딩 진공포장기(GVD-60E)</t>
    <phoneticPr fontId="5" type="noConversion"/>
  </si>
  <si>
    <t>㈜오디쎄미</t>
    <phoneticPr fontId="5" type="noConversion"/>
  </si>
  <si>
    <t>㈜엘케이전자</t>
    <phoneticPr fontId="5" type="noConversion"/>
  </si>
  <si>
    <t>AF LED용 TAPING M/C</t>
    <phoneticPr fontId="5" type="noConversion"/>
  </si>
  <si>
    <t>㈜유양엔지니어링</t>
    <phoneticPr fontId="5" type="noConversion"/>
  </si>
  <si>
    <t>AF LED용 TEST HANDLER</t>
    <phoneticPr fontId="5" type="noConversion"/>
  </si>
  <si>
    <t>㈜유양엔지니어링</t>
    <phoneticPr fontId="5" type="noConversion"/>
  </si>
  <si>
    <t>금성엔지니어링</t>
    <phoneticPr fontId="5" type="noConversion"/>
  </si>
  <si>
    <t>루셈테크놀로지</t>
    <phoneticPr fontId="5" type="noConversion"/>
  </si>
  <si>
    <t>DIRVER BOARD TESTER</t>
  </si>
  <si>
    <t>클릭아이</t>
    <phoneticPr fontId="5" type="noConversion"/>
  </si>
  <si>
    <t>DICING SAW(DAD521)</t>
  </si>
  <si>
    <t>에스엔엠솔루션</t>
    <phoneticPr fontId="5" type="noConversion"/>
  </si>
  <si>
    <t>크린룸 제작</t>
    <phoneticPr fontId="5" type="noConversion"/>
  </si>
  <si>
    <t>대성기연</t>
    <phoneticPr fontId="5" type="noConversion"/>
  </si>
  <si>
    <t>REEL 검사기(AF-LED)</t>
    <phoneticPr fontId="5" type="noConversion"/>
  </si>
  <si>
    <t>DIE BONDER(AD830)</t>
  </si>
  <si>
    <t>제모스코리아</t>
    <phoneticPr fontId="5" type="noConversion"/>
  </si>
  <si>
    <t>WIRE PULL TESTER</t>
  </si>
  <si>
    <t>테크인</t>
    <phoneticPr fontId="5" type="noConversion"/>
  </si>
  <si>
    <t>DIE SHEAR TESTER</t>
  </si>
  <si>
    <t>테크인</t>
    <phoneticPr fontId="5" type="noConversion"/>
  </si>
  <si>
    <t>㈜조이통상</t>
    <phoneticPr fontId="5" type="noConversion"/>
  </si>
  <si>
    <t>에어 컴프레서(GA37AP-125)</t>
    <phoneticPr fontId="5" type="noConversion"/>
  </si>
  <si>
    <t>LOADER, UNLOADER</t>
  </si>
  <si>
    <t>㈜백경테크</t>
    <phoneticPr fontId="5" type="noConversion"/>
  </si>
  <si>
    <t>WORK TABLE</t>
  </si>
  <si>
    <t>SCREEN PRINTER</t>
  </si>
  <si>
    <t>CHIP MOUNTER(CP45FV NEO)</t>
  </si>
  <si>
    <t>㈜백경테크</t>
    <phoneticPr fontId="5" type="noConversion"/>
  </si>
  <si>
    <t>CHIP MOUNTER(CP40LV)</t>
  </si>
  <si>
    <t>REFLOW OVEN</t>
  </si>
  <si>
    <t>㈜백경테크</t>
    <phoneticPr fontId="5" type="noConversion"/>
  </si>
  <si>
    <t>REFLOW CHECKER</t>
  </si>
  <si>
    <t>㈜백경테크</t>
    <phoneticPr fontId="5" type="noConversion"/>
  </si>
  <si>
    <t>열충격 시험기(EN-DT2-300-55-S)</t>
    <phoneticPr fontId="5" type="noConversion"/>
  </si>
  <si>
    <t>켐코리아</t>
    <phoneticPr fontId="5" type="noConversion"/>
  </si>
  <si>
    <t>저온조(DF4507-191L)</t>
    <phoneticPr fontId="5" type="noConversion"/>
  </si>
  <si>
    <t>교반기(SH100)</t>
    <phoneticPr fontId="5" type="noConversion"/>
  </si>
  <si>
    <t>글로벌테크</t>
    <phoneticPr fontId="5" type="noConversion"/>
  </si>
  <si>
    <t>WIRE BONDER(ASM Ihawk)</t>
  </si>
  <si>
    <t>제모스코리아</t>
    <phoneticPr fontId="5" type="noConversion"/>
  </si>
  <si>
    <t>STEP CURE OVEN(CK-500-1CH-250C)</t>
  </si>
  <si>
    <t>PLASMA CLEANER</t>
  </si>
  <si>
    <t>DICING SAW M/C(DAD521)</t>
  </si>
  <si>
    <t>DICING SAW M/C(DAD641)</t>
  </si>
  <si>
    <t>테크인</t>
    <phoneticPr fontId="5" type="noConversion"/>
  </si>
  <si>
    <t>테크인</t>
    <phoneticPr fontId="5" type="noConversion"/>
  </si>
  <si>
    <t>HANDLER(45/58TS)</t>
  </si>
  <si>
    <t>우리이엔지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</si>
  <si>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5" type="noConversion"/>
  </si>
  <si>
    <t>WAVE SOLDER M/C</t>
  </si>
  <si>
    <t>백경테크</t>
    <phoneticPr fontId="5" type="noConversion"/>
  </si>
  <si>
    <t>2013/11/27자본적지출(\7,000,000), 2013/12/13부분매각(\7,000,000)</t>
    <phoneticPr fontId="5" type="noConversion"/>
  </si>
  <si>
    <t>자삽기(RH6LL)</t>
    <phoneticPr fontId="5" type="noConversion"/>
  </si>
  <si>
    <t>SOURCE METER(KEITHLEY 2612A)</t>
  </si>
  <si>
    <t>㈜테크원시스템</t>
    <phoneticPr fontId="5" type="noConversion"/>
  </si>
  <si>
    <t>국소배기장치(덕트및 집진기)</t>
    <phoneticPr fontId="5" type="noConversion"/>
  </si>
  <si>
    <t>청송이앤티</t>
    <phoneticPr fontId="5" type="noConversion"/>
  </si>
  <si>
    <t>국소배기장치(SMT)</t>
    <phoneticPr fontId="5" type="noConversion"/>
  </si>
  <si>
    <t>청송이앤티</t>
    <phoneticPr fontId="5" type="noConversion"/>
  </si>
  <si>
    <t>DIE BONDER(DM60M-H)</t>
  </si>
  <si>
    <t>조이통상</t>
    <phoneticPr fontId="5" type="noConversion"/>
  </si>
  <si>
    <t>매각</t>
    <phoneticPr fontId="5" type="noConversion"/>
  </si>
  <si>
    <t>냉각탑</t>
    <phoneticPr fontId="5" type="noConversion"/>
  </si>
  <si>
    <t>익산세기냉동</t>
    <phoneticPr fontId="5" type="noConversion"/>
  </si>
  <si>
    <t>6인치 TAPE MOUNTER</t>
    <phoneticPr fontId="5" type="noConversion"/>
  </si>
  <si>
    <t>디에스세미콘</t>
    <phoneticPr fontId="5" type="noConversion"/>
  </si>
  <si>
    <t>SCREEN PRINTER(HC-SM3520)</t>
  </si>
  <si>
    <t>효창기계</t>
    <phoneticPr fontId="5" type="noConversion"/>
  </si>
  <si>
    <t>DIE BONDER(ASM Ihawk)</t>
  </si>
  <si>
    <t>DI WATER SYSTEM</t>
  </si>
  <si>
    <t>바다정수산업㈜</t>
    <phoneticPr fontId="5" type="noConversion"/>
  </si>
  <si>
    <t>항온항습기</t>
    <phoneticPr fontId="5" type="noConversion"/>
  </si>
  <si>
    <t>㈜대성기연</t>
    <phoneticPr fontId="5" type="noConversion"/>
  </si>
  <si>
    <t>MOLD PRESS(175TON)</t>
  </si>
  <si>
    <t>㈜루셈테크놀로지</t>
    <phoneticPr fontId="5" type="noConversion"/>
  </si>
  <si>
    <t>PRE HEATER(5KW)</t>
  </si>
  <si>
    <t>냉동기(10RH)</t>
    <phoneticPr fontId="5" type="noConversion"/>
  </si>
  <si>
    <t>세기공조설비</t>
    <phoneticPr fontId="5" type="noConversion"/>
  </si>
  <si>
    <t>EXPENDER M/C</t>
  </si>
  <si>
    <t>주식회사엠아이티</t>
    <phoneticPr fontId="5" type="noConversion"/>
  </si>
  <si>
    <t>WAFER BOND M/C</t>
  </si>
  <si>
    <t>DRY M/C</t>
  </si>
  <si>
    <t>EXPENDER M/C(ME-05F60H)</t>
  </si>
  <si>
    <t>DICING M/C(DAD640)</t>
  </si>
  <si>
    <t>분광분석기(SPECTROMETER)</t>
    <phoneticPr fontId="5" type="noConversion"/>
  </si>
  <si>
    <t>더블유텍</t>
    <phoneticPr fontId="5" type="noConversion"/>
  </si>
  <si>
    <t>GONIOPHOTOMETER(OPI-305)</t>
  </si>
  <si>
    <t>광전자정밀</t>
    <phoneticPr fontId="5" type="noConversion"/>
  </si>
  <si>
    <t>누름 M/C(HOUSING 가압기)</t>
    <phoneticPr fontId="5" type="noConversion"/>
  </si>
  <si>
    <t>부일엔지니어링</t>
    <phoneticPr fontId="5" type="noConversion"/>
  </si>
  <si>
    <t>MOUNTER(MX-110)</t>
  </si>
  <si>
    <t>㈜대성기연</t>
    <phoneticPr fontId="5" type="noConversion"/>
  </si>
  <si>
    <t>크린룸공사(AIR SHOWER)</t>
    <phoneticPr fontId="5" type="noConversion"/>
  </si>
  <si>
    <t>쏠텍이엔지</t>
    <phoneticPr fontId="5" type="noConversion"/>
  </si>
  <si>
    <t>AIR COMPRESSOR(GA37+AP-125)</t>
  </si>
  <si>
    <t>대진기계㈜</t>
    <phoneticPr fontId="5" type="noConversion"/>
  </si>
  <si>
    <t>순수처리시스템 배관공사</t>
    <phoneticPr fontId="5" type="noConversion"/>
  </si>
  <si>
    <t>바다정수산업㈜</t>
    <phoneticPr fontId="5" type="noConversion"/>
  </si>
  <si>
    <t>SHOTMASTER(300S-3A)</t>
  </si>
  <si>
    <t>㈜용비통상</t>
    <phoneticPr fontId="5" type="noConversion"/>
  </si>
  <si>
    <t>DISPENSER SUPERSIGMA(X-V7)</t>
  </si>
  <si>
    <t>㈜용비통상</t>
    <phoneticPr fontId="5" type="noConversion"/>
  </si>
  <si>
    <t>DOME TEST 검사기</t>
    <phoneticPr fontId="5" type="noConversion"/>
  </si>
  <si>
    <t>원텍</t>
    <phoneticPr fontId="5" type="noConversion"/>
  </si>
  <si>
    <t>WINDOW ATTACH M/C</t>
  </si>
  <si>
    <t>부일엔지니어링</t>
    <phoneticPr fontId="5" type="noConversion"/>
  </si>
  <si>
    <t>진공포장기</t>
    <phoneticPr fontId="5" type="noConversion"/>
  </si>
  <si>
    <t>삼성전기</t>
    <phoneticPr fontId="5" type="noConversion"/>
  </si>
  <si>
    <t>DIE BONDER M/C(AD830)</t>
  </si>
  <si>
    <t>제모스코리아</t>
    <phoneticPr fontId="5" type="noConversion"/>
  </si>
  <si>
    <t>(주)용비통상</t>
    <phoneticPr fontId="5" type="noConversion"/>
  </si>
  <si>
    <t>MOUNTER(MPS-1020PC/MIRAE/2009)</t>
  </si>
  <si>
    <t>쏠텍이엔지</t>
    <phoneticPr fontId="5" type="noConversion"/>
  </si>
  <si>
    <t>PRINTER(265GSX/DEK/2000)</t>
  </si>
  <si>
    <t>REFLOW(A30-K102/TSM/2007)</t>
  </si>
  <si>
    <t>쏠텍이엔지</t>
    <phoneticPr fontId="5" type="noConversion"/>
  </si>
  <si>
    <t>MAGAZINE LOADER</t>
  </si>
  <si>
    <t>쏠텍이엔지</t>
    <phoneticPr fontId="5" type="noConversion"/>
  </si>
  <si>
    <t>MAGAZINE UNLOADER</t>
  </si>
  <si>
    <t>INSPECTION(M22XFV350/MASS/2003)</t>
  </si>
  <si>
    <t>쏠텍이엔지</t>
    <phoneticPr fontId="5" type="noConversion"/>
  </si>
  <si>
    <t>PLASMA CLEANING M/C(JSPCS-600)</t>
  </si>
  <si>
    <t>제4기한국</t>
    <phoneticPr fontId="5" type="noConversion"/>
  </si>
  <si>
    <t>SEMI AUTO INKJET MARKING M/C</t>
  </si>
  <si>
    <t>㈜기흥에프에이</t>
    <phoneticPr fontId="5" type="noConversion"/>
  </si>
  <si>
    <t>AIR CONTROL UNIT</t>
  </si>
  <si>
    <t>WIRE BONER(iHawk-Xtreme)</t>
  </si>
  <si>
    <t>제모스코리아</t>
    <phoneticPr fontId="5" type="noConversion"/>
  </si>
  <si>
    <t>식물공장 공조장치</t>
    <phoneticPr fontId="5" type="noConversion"/>
  </si>
  <si>
    <t>AIR CONTROL UNIT(15RT)</t>
  </si>
  <si>
    <t>크린룸 부스(CLASS 1,000ZONE)</t>
    <phoneticPr fontId="5" type="noConversion"/>
  </si>
  <si>
    <t>대성기연</t>
    <phoneticPr fontId="5" type="noConversion"/>
  </si>
  <si>
    <t>AIR CONTROL UNIT(10RT)</t>
  </si>
  <si>
    <t>진공포장기(GVD-60E)</t>
    <phoneticPr fontId="5" type="noConversion"/>
  </si>
  <si>
    <t>가성팩</t>
    <phoneticPr fontId="5" type="noConversion"/>
  </si>
  <si>
    <t>MAVERICK PT 64 TEST SYSTEM</t>
  </si>
  <si>
    <t>NORTHSTAR TECHONLOGIES</t>
  </si>
  <si>
    <t>진공몰드프레스</t>
    <phoneticPr fontId="5" type="noConversion"/>
  </si>
  <si>
    <t>동성유공압</t>
    <phoneticPr fontId="5" type="noConversion"/>
  </si>
  <si>
    <r>
      <t>WIRE</t>
    </r>
    <r>
      <rPr>
        <sz val="8"/>
        <color indexed="8"/>
        <rFont val="맑은 고딕"/>
        <family val="3"/>
        <charset val="129"/>
      </rPr>
      <t xml:space="preserve"> BONDER</t>
    </r>
  </si>
  <si>
    <t>CAN TYPE 광소자 자동검사장비</t>
    <phoneticPr fontId="5" type="noConversion"/>
  </si>
  <si>
    <t>비케이시</t>
    <phoneticPr fontId="5" type="noConversion"/>
  </si>
  <si>
    <t>한국산업공단 지원과제</t>
    <phoneticPr fontId="5" type="noConversion"/>
  </si>
  <si>
    <t>LENS HOLDER BONDER M/C</t>
  </si>
  <si>
    <t>LNM</t>
  </si>
  <si>
    <t>CHILLER(CA-1310)</t>
  </si>
  <si>
    <t>세광사이언스</t>
    <phoneticPr fontId="5" type="noConversion"/>
  </si>
  <si>
    <r>
      <t>TESTER-</t>
    </r>
    <r>
      <rPr>
        <b/>
        <sz val="10"/>
        <color indexed="10"/>
        <rFont val="맑은 고딕"/>
        <family val="3"/>
        <charset val="129"/>
      </rPr>
      <t>제거</t>
    </r>
    <phoneticPr fontId="5" type="noConversion"/>
  </si>
  <si>
    <t>가경화머신</t>
    <phoneticPr fontId="5" type="noConversion"/>
  </si>
  <si>
    <t>부일엔지니어링</t>
    <phoneticPr fontId="5" type="noConversion"/>
  </si>
  <si>
    <t>TRIMMING PRESS</t>
  </si>
  <si>
    <t>동성유공압</t>
    <phoneticPr fontId="5" type="noConversion"/>
  </si>
  <si>
    <t>3차원 측정기</t>
    <phoneticPr fontId="5" type="noConversion"/>
  </si>
  <si>
    <t>JOY INTERNATIONAL</t>
  </si>
  <si>
    <t>ROBOT SHOTMASTER(300DS-3A)</t>
  </si>
  <si>
    <t>MARKING M/C(IN LINE INKJET)</t>
  </si>
  <si>
    <t>기흥에프에이</t>
    <phoneticPr fontId="5" type="noConversion"/>
  </si>
  <si>
    <t>CHIP MOUNTER(MX-110)</t>
  </si>
  <si>
    <t>비티엔(BTN)</t>
    <phoneticPr fontId="5" type="noConversion"/>
  </si>
  <si>
    <t>SMT LINE</t>
  </si>
  <si>
    <t>집진기(급기,배기)</t>
    <phoneticPr fontId="5" type="noConversion"/>
  </si>
  <si>
    <t>이앤에스테크</t>
    <phoneticPr fontId="5" type="noConversion"/>
  </si>
  <si>
    <t>MOLD PRESS(200TON)</t>
  </si>
  <si>
    <t>WIRE BONDER(AB559-06)</t>
  </si>
  <si>
    <t>조이통상㈜</t>
    <phoneticPr fontId="5" type="noConversion"/>
  </si>
  <si>
    <t>AUTO HANDLER M/C</t>
  </si>
  <si>
    <t>전북테크노파크</t>
    <phoneticPr fontId="5" type="noConversion"/>
  </si>
  <si>
    <t>TMLE TYPE 적외선 광센서 소자의 품질검사용</t>
    <phoneticPr fontId="5" type="noConversion"/>
  </si>
  <si>
    <t>EOM</t>
  </si>
  <si>
    <t>비케이시</t>
    <phoneticPr fontId="5" type="noConversion"/>
  </si>
  <si>
    <t>ACTIVITY</t>
  </si>
  <si>
    <t>DPC</t>
  </si>
  <si>
    <t>MODULE FCT</t>
  </si>
  <si>
    <t>DIE BONDER M/C(ASMAD830)</t>
  </si>
  <si>
    <t>조이통상㈜</t>
    <phoneticPr fontId="5" type="noConversion"/>
  </si>
  <si>
    <t>WIRE BONDER(ASM iHawk Xtreme)</t>
  </si>
  <si>
    <t>조이통상㈜</t>
    <phoneticPr fontId="5" type="noConversion"/>
  </si>
  <si>
    <t>DIE BONDER M/C(AD8930)</t>
  </si>
  <si>
    <t>PLASMA CLEANER(JSPCS-750)</t>
  </si>
  <si>
    <t>조이통상㈜</t>
    <phoneticPr fontId="5" type="noConversion"/>
  </si>
  <si>
    <t>진공몰드프레스</t>
    <phoneticPr fontId="5" type="noConversion"/>
  </si>
  <si>
    <t>PROJECTOR LED TESTER</t>
  </si>
  <si>
    <t>분광감응도 측정장비</t>
    <phoneticPr fontId="5" type="noConversion"/>
  </si>
  <si>
    <t>한국표준과학연구원</t>
    <phoneticPr fontId="5" type="noConversion"/>
  </si>
  <si>
    <t>CIRCULATOR(냉각수순환장비)</t>
    <phoneticPr fontId="5" type="noConversion"/>
  </si>
  <si>
    <t>pre Heater(HW523)</t>
  </si>
  <si>
    <t>영진테크</t>
    <phoneticPr fontId="5" type="noConversion"/>
  </si>
  <si>
    <t>몰드실</t>
    <phoneticPr fontId="5" type="noConversion"/>
  </si>
  <si>
    <t>항온항습기(VS9111H-150)</t>
    <phoneticPr fontId="5" type="noConversion"/>
  </si>
  <si>
    <t>대승과학</t>
    <phoneticPr fontId="5" type="noConversion"/>
  </si>
  <si>
    <t>신뢰성</t>
    <phoneticPr fontId="5" type="noConversion"/>
  </si>
  <si>
    <t>JIG(LG LED/Aging)</t>
  </si>
  <si>
    <t>진공몰드프레스</t>
    <phoneticPr fontId="5" type="noConversion"/>
  </si>
  <si>
    <t>동성유공압</t>
    <phoneticPr fontId="5" type="noConversion"/>
  </si>
  <si>
    <t>2CH SENSOR TESTER</t>
  </si>
  <si>
    <t>3CH SENSOR HANDLER</t>
  </si>
  <si>
    <t>레이저마커(LP-V10U)</t>
    <phoneticPr fontId="5" type="noConversion"/>
  </si>
  <si>
    <t>디케이오토메이션</t>
    <phoneticPr fontId="5" type="noConversion"/>
  </si>
  <si>
    <t>전자기 연마기(EMD-450A)</t>
    <phoneticPr fontId="5" type="noConversion"/>
  </si>
  <si>
    <t>에이맥</t>
    <phoneticPr fontId="5" type="noConversion"/>
  </si>
  <si>
    <r>
      <t>E</t>
    </r>
    <r>
      <rPr>
        <sz val="10"/>
        <color indexed="8"/>
        <rFont val="맑은 고딕"/>
        <family val="3"/>
        <charset val="129"/>
      </rPr>
      <t>/T TESTER</t>
    </r>
  </si>
  <si>
    <t>비케이시(2015.05.19 자본적지출)</t>
    <phoneticPr fontId="5" type="noConversion"/>
  </si>
  <si>
    <t>AUTO SOLDERING ROBOT</t>
  </si>
  <si>
    <t>비티엔(BTN)</t>
    <phoneticPr fontId="5" type="noConversion"/>
  </si>
  <si>
    <r>
      <t>L</t>
    </r>
    <r>
      <rPr>
        <sz val="10"/>
        <color indexed="8"/>
        <rFont val="맑은 고딕"/>
        <family val="3"/>
        <charset val="129"/>
      </rPr>
      <t>ED 수명테스트</t>
    </r>
    <phoneticPr fontId="5" type="noConversion"/>
  </si>
  <si>
    <t>천우</t>
    <phoneticPr fontId="5" type="noConversion"/>
  </si>
  <si>
    <t>TESTER(ORI1210AS)</t>
  </si>
  <si>
    <t>비케이시</t>
    <phoneticPr fontId="5" type="noConversion"/>
  </si>
  <si>
    <t>TEST FIXTURE(ORI1210AS)</t>
  </si>
  <si>
    <t>PIN &amp; ASSEMBLE MACHIN COVER</t>
  </si>
  <si>
    <t>비엔티</t>
    <phoneticPr fontId="5" type="noConversion"/>
  </si>
  <si>
    <t>ASSEMBLE MACHINE</t>
  </si>
  <si>
    <t>비엔티</t>
    <phoneticPr fontId="5" type="noConversion"/>
  </si>
  <si>
    <t>PCB SEPARATION MACHINE</t>
  </si>
  <si>
    <t>비엔티</t>
    <phoneticPr fontId="5" type="noConversion"/>
  </si>
  <si>
    <t>LODER &amp; UNLOADER</t>
  </si>
  <si>
    <t>PROJECT LED TESTER</t>
  </si>
  <si>
    <t>동전검출기 TESTER</t>
    <phoneticPr fontId="5" type="noConversion"/>
  </si>
  <si>
    <t>KSH-2700 HANDLER(2CH/4CH)</t>
  </si>
  <si>
    <t>에스이테크</t>
    <phoneticPr fontId="5" type="noConversion"/>
  </si>
  <si>
    <t>초음파 탐상장비(sonix echo ls system)</t>
    <phoneticPr fontId="5" type="noConversion"/>
  </si>
  <si>
    <t>SONIX</t>
  </si>
  <si>
    <t>품질</t>
    <phoneticPr fontId="5" type="noConversion"/>
  </si>
  <si>
    <t>냉각수순환장비</t>
    <phoneticPr fontId="5" type="noConversion"/>
  </si>
  <si>
    <t>세광사이언스</t>
    <phoneticPr fontId="5" type="noConversion"/>
  </si>
  <si>
    <t>PLASMA M/C(JSPCS-600/2010)</t>
  </si>
  <si>
    <t>비티엔(BTN)</t>
    <phoneticPr fontId="5" type="noConversion"/>
  </si>
  <si>
    <t>CAN TYPE 제품 정렬기</t>
    <phoneticPr fontId="5" type="noConversion"/>
  </si>
  <si>
    <t>탁상형로봇(350PC OMEGA)</t>
    <phoneticPr fontId="5" type="noConversion"/>
  </si>
  <si>
    <t>티에이치엘</t>
    <phoneticPr fontId="5" type="noConversion"/>
  </si>
  <si>
    <r>
      <t>TESTER(OP3216TF)</t>
    </r>
    <r>
      <rPr>
        <sz val="10"/>
        <color indexed="8"/>
        <rFont val="맑은 고딕"/>
        <family val="3"/>
        <charset val="129"/>
      </rPr>
      <t>/HANDLER</t>
    </r>
  </si>
  <si>
    <r>
      <t>L</t>
    </r>
    <r>
      <rPr>
        <sz val="10"/>
        <color indexed="8"/>
        <rFont val="맑은 고딕"/>
        <family val="3"/>
        <charset val="129"/>
      </rPr>
      <t>ED PACKING TRAY AGING TESTER</t>
    </r>
  </si>
  <si>
    <t>원광이엔텍</t>
    <phoneticPr fontId="5" type="noConversion"/>
  </si>
  <si>
    <t>ASM</t>
  </si>
  <si>
    <t>소자(7-세그먼트용)</t>
  </si>
  <si>
    <t>WIRE BONDER(XTREME)</t>
  </si>
  <si>
    <t>에이치에스엘이디</t>
  </si>
  <si>
    <t>DIE BONDER(AD881MH)</t>
  </si>
  <si>
    <t>ROBOT PICK-UP M/C</t>
  </si>
  <si>
    <t>에이아이엠</t>
  </si>
  <si>
    <t>PCB</t>
  </si>
  <si>
    <t>WELDING 설비(수지열융착) 외</t>
  </si>
  <si>
    <t>에이씨이</t>
  </si>
  <si>
    <t xml:space="preserve">4CH HUD LED TESTER </t>
  </si>
  <si>
    <t>비케이시</t>
  </si>
  <si>
    <t>소자</t>
  </si>
  <si>
    <t>회사명 : (주)오디텍 반도체사업부</t>
    <phoneticPr fontId="5" type="noConversion"/>
  </si>
  <si>
    <t>자   산   명</t>
    <phoneticPr fontId="5" type="noConversion"/>
  </si>
  <si>
    <t>취득년월일</t>
    <phoneticPr fontId="5" type="noConversion"/>
  </si>
  <si>
    <t>기초가액</t>
    <phoneticPr fontId="5" type="noConversion"/>
  </si>
  <si>
    <t>기말잔액</t>
    <phoneticPr fontId="5" type="noConversion"/>
  </si>
  <si>
    <t>전기말상각누계액</t>
    <phoneticPr fontId="5" type="noConversion"/>
  </si>
  <si>
    <t>당기상각대상금액</t>
    <phoneticPr fontId="5" type="noConversion"/>
  </si>
  <si>
    <t>상각률</t>
    <phoneticPr fontId="5" type="noConversion"/>
  </si>
  <si>
    <t>월수</t>
    <phoneticPr fontId="5" type="noConversion"/>
  </si>
  <si>
    <t>당기상각비</t>
    <phoneticPr fontId="5" type="noConversion"/>
  </si>
  <si>
    <t>구입처</t>
    <phoneticPr fontId="5" type="noConversion"/>
  </si>
  <si>
    <t>수 량</t>
    <phoneticPr fontId="5" type="noConversion"/>
  </si>
  <si>
    <t>2006년상각</t>
    <phoneticPr fontId="5" type="noConversion"/>
  </si>
  <si>
    <t xml:space="preserve"> 5%검증</t>
    <phoneticPr fontId="5" type="noConversion"/>
  </si>
  <si>
    <t>잔존가\1,000</t>
    <phoneticPr fontId="5" type="noConversion"/>
  </si>
  <si>
    <t>당기상각</t>
    <phoneticPr fontId="5" type="noConversion"/>
  </si>
  <si>
    <t>4분기상각</t>
    <phoneticPr fontId="5" type="noConversion"/>
  </si>
  <si>
    <t>차이</t>
    <phoneticPr fontId="5" type="noConversion"/>
  </si>
  <si>
    <t>순수시스템</t>
    <phoneticPr fontId="5" type="noConversion"/>
  </si>
  <si>
    <t>ALIGNER</t>
  </si>
  <si>
    <t>마이크로스코프외</t>
    <phoneticPr fontId="5" type="noConversion"/>
  </si>
  <si>
    <t>오븐2,000,000폐기(2016.12.21)</t>
    <phoneticPr fontId="5" type="noConversion"/>
  </si>
  <si>
    <t>AIRCOMPRESSOR</t>
  </si>
  <si>
    <t>WET SCRUBBER</t>
  </si>
  <si>
    <t>PCWSYSTEM진공PUM</t>
    <phoneticPr fontId="5" type="noConversion"/>
  </si>
  <si>
    <t>CLEAN TRACK</t>
  </si>
  <si>
    <t>WETSTATION</t>
  </si>
  <si>
    <t>PCW SYSTEM PUM</t>
  </si>
  <si>
    <t>전해이온수생성기</t>
    <phoneticPr fontId="5" type="noConversion"/>
  </si>
  <si>
    <t>CLEAN ROOM</t>
  </si>
  <si>
    <t>CLEAN ROOM설치</t>
    <phoneticPr fontId="5" type="noConversion"/>
  </si>
  <si>
    <t>태성엔지니어링외</t>
    <phoneticPr fontId="5" type="noConversion"/>
  </si>
  <si>
    <t>'02.12월증설</t>
    <phoneticPr fontId="5" type="noConversion"/>
  </si>
  <si>
    <t>폐수처리시스템</t>
    <phoneticPr fontId="5" type="noConversion"/>
  </si>
  <si>
    <t>PECVD</t>
  </si>
  <si>
    <t>순수SYTEM설치</t>
    <phoneticPr fontId="5" type="noConversion"/>
  </si>
  <si>
    <t>전기시설공사</t>
    <phoneticPr fontId="5" type="noConversion"/>
  </si>
  <si>
    <t>CLEAN TRACKCOATE</t>
  </si>
  <si>
    <t>CLEANTRACK DEVEL</t>
  </si>
  <si>
    <t>UTILLTYPIPING</t>
  </si>
  <si>
    <t>확산로</t>
    <phoneticPr fontId="5" type="noConversion"/>
  </si>
  <si>
    <t>확산로</t>
    <phoneticPr fontId="5" type="noConversion"/>
  </si>
  <si>
    <t>확산로석영유리</t>
    <phoneticPr fontId="5" type="noConversion"/>
  </si>
  <si>
    <t>PCW SYSTEM 칠리</t>
    <phoneticPr fontId="5" type="noConversion"/>
  </si>
  <si>
    <t>PCWVDSET-UP</t>
  </si>
  <si>
    <t>EVAPO</t>
  </si>
  <si>
    <t>UTILITY(N2TANK)</t>
  </si>
  <si>
    <t>PCW SYSTEMSUS 펌프</t>
    <phoneticPr fontId="5" type="noConversion"/>
  </si>
  <si>
    <t>CLEANROOMPASSBOX</t>
  </si>
  <si>
    <t>EVAPOPOWERSUPPLY</t>
  </si>
  <si>
    <t>EVAPOSETUP</t>
  </si>
  <si>
    <t>EVAPOROTAROTARTPUMP</t>
  </si>
  <si>
    <t>EVAPOPOWERTURE</t>
  </si>
  <si>
    <t>확산로(T-A6)</t>
    <phoneticPr fontId="5" type="noConversion"/>
  </si>
  <si>
    <t>WT STATION</t>
  </si>
  <si>
    <t>칸막이공사</t>
    <phoneticPr fontId="5" type="noConversion"/>
  </si>
  <si>
    <t>LDDICNGM/C소모</t>
    <phoneticPr fontId="5" type="noConversion"/>
  </si>
  <si>
    <t>ACU/제작설치</t>
    <phoneticPr fontId="5" type="noConversion"/>
  </si>
  <si>
    <t>VACCUM PUMP</t>
  </si>
  <si>
    <t>전기증설공사</t>
    <phoneticPr fontId="5" type="noConversion"/>
  </si>
  <si>
    <t>MAGNETPUMP</t>
  </si>
  <si>
    <t>QISYS증설공사</t>
    <phoneticPr fontId="5" type="noConversion"/>
  </si>
  <si>
    <t>UTILITYPIPNG</t>
  </si>
  <si>
    <t>BONDING/C</t>
  </si>
  <si>
    <t>확산로CHAMBER</t>
    <phoneticPr fontId="5" type="noConversion"/>
  </si>
  <si>
    <t>확산로SETUP</t>
    <phoneticPr fontId="5" type="noConversion"/>
  </si>
  <si>
    <t>EVAPO EBX-2000C</t>
  </si>
  <si>
    <t>06.04.2자본지출, 16.12.21(1호기폐기)</t>
    <phoneticPr fontId="5" type="noConversion"/>
  </si>
  <si>
    <t>확산로 튜브</t>
    <phoneticPr fontId="5" type="noConversion"/>
  </si>
  <si>
    <t>HEATING CHAMBER</t>
  </si>
  <si>
    <t>CVD PUMP</t>
  </si>
  <si>
    <t>확산로 SET UP</t>
    <phoneticPr fontId="5" type="noConversion"/>
  </si>
  <si>
    <t>AUTO PROBER(계측기)</t>
    <phoneticPr fontId="5" type="noConversion"/>
  </si>
  <si>
    <t>하이닉스반도체</t>
    <phoneticPr fontId="5" type="noConversion"/>
  </si>
  <si>
    <t>2013.09.13 폐기</t>
    <phoneticPr fontId="5" type="noConversion"/>
  </si>
  <si>
    <t>PLANETARY DOME</t>
  </si>
  <si>
    <t>일호테크</t>
    <phoneticPr fontId="5" type="noConversion"/>
  </si>
  <si>
    <t>1SET</t>
  </si>
  <si>
    <t>HUME HOOD 제작</t>
    <phoneticPr fontId="5" type="noConversion"/>
  </si>
  <si>
    <t>거성티에스엠</t>
    <phoneticPr fontId="5" type="noConversion"/>
  </si>
  <si>
    <t>MASK ALIGNER장비</t>
    <phoneticPr fontId="5" type="noConversion"/>
  </si>
  <si>
    <t>프라임엔지니어링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</si>
  <si>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016.12.21 폐기</t>
    </r>
    <phoneticPr fontId="5" type="noConversion"/>
  </si>
  <si>
    <t>CURRE TRACER(계측기)</t>
    <phoneticPr fontId="5" type="noConversion"/>
  </si>
  <si>
    <t>이진전자</t>
    <phoneticPr fontId="5" type="noConversion"/>
  </si>
  <si>
    <t>KT 3100B Track System(DEVELOPER)</t>
  </si>
  <si>
    <t>케이에스텍</t>
    <phoneticPr fontId="5" type="noConversion"/>
  </si>
  <si>
    <t>2013.09.13 폐기</t>
    <phoneticPr fontId="5" type="noConversion"/>
  </si>
  <si>
    <t>ASHER(P-2100)</t>
  </si>
  <si>
    <t>DS정공</t>
    <phoneticPr fontId="5" type="noConversion"/>
  </si>
  <si>
    <t>ASHER(9102/A)</t>
  </si>
  <si>
    <t>SPUTTERING SYSTEM(CVC601)</t>
  </si>
  <si>
    <t>REACTIVE LON ETCHER(72SERIES)</t>
  </si>
  <si>
    <t>RINSE/DRYER(1600-34)</t>
  </si>
  <si>
    <t>MICRO SCOPE(BHM-113D)</t>
  </si>
  <si>
    <t>MICRO SCOPE(선폭측정기)</t>
    <phoneticPr fontId="5" type="noConversion"/>
  </si>
  <si>
    <t>SUS PUMP</t>
  </si>
  <si>
    <t>신생종합구동</t>
    <phoneticPr fontId="5" type="noConversion"/>
  </si>
  <si>
    <t>ACU 제작</t>
    <phoneticPr fontId="5" type="noConversion"/>
  </si>
  <si>
    <t>냉동기(왕복동식)</t>
    <phoneticPr fontId="5" type="noConversion"/>
  </si>
  <si>
    <t>한국특수냉난방</t>
    <phoneticPr fontId="5" type="noConversion"/>
  </si>
  <si>
    <t>ALPHA STEP(A/S-200)</t>
  </si>
  <si>
    <t>케이엔에취인스트루먼트</t>
    <phoneticPr fontId="5" type="noConversion"/>
  </si>
  <si>
    <t>온도측정센서(PROFILE T/C)</t>
    <phoneticPr fontId="5" type="noConversion"/>
  </si>
  <si>
    <t>우진</t>
    <phoneticPr fontId="5" type="noConversion"/>
  </si>
  <si>
    <t>튜브(확산로용)</t>
    <phoneticPr fontId="5" type="noConversion"/>
  </si>
  <si>
    <t>디에스테크노</t>
    <phoneticPr fontId="5" type="noConversion"/>
  </si>
  <si>
    <t>배관</t>
    <phoneticPr fontId="5" type="noConversion"/>
  </si>
  <si>
    <t>한국특수가스</t>
    <phoneticPr fontId="5" type="noConversion"/>
  </si>
  <si>
    <t>튜브(확산로용)</t>
    <phoneticPr fontId="5" type="noConversion"/>
  </si>
  <si>
    <t>AUTO PROBER STATION(계측기)</t>
    <phoneticPr fontId="5" type="noConversion"/>
  </si>
  <si>
    <t>씨에스전자</t>
    <phoneticPr fontId="5" type="noConversion"/>
  </si>
  <si>
    <t>한양세미텍</t>
    <phoneticPr fontId="5" type="noConversion"/>
  </si>
  <si>
    <t>GAS CABINET</t>
  </si>
  <si>
    <t>CLEAN 장비</t>
    <phoneticPr fontId="5" type="noConversion"/>
  </si>
  <si>
    <t>CHIP TESTER</t>
  </si>
  <si>
    <t>오디트레이딩</t>
    <phoneticPr fontId="5" type="noConversion"/>
  </si>
  <si>
    <t>AUTO EXPENDER</t>
  </si>
  <si>
    <t>원테크</t>
    <phoneticPr fontId="5" type="noConversion"/>
  </si>
  <si>
    <t>FURNACE SYSTEM</t>
  </si>
  <si>
    <t>고요세모시스템</t>
    <phoneticPr fontId="5" type="noConversion"/>
  </si>
  <si>
    <t>TESTER</t>
  </si>
  <si>
    <t>2004-01-15</t>
  </si>
  <si>
    <t>메타멜</t>
    <phoneticPr fontId="5" type="noConversion"/>
  </si>
  <si>
    <t>표면저항측정기</t>
    <phoneticPr fontId="5" type="noConversion"/>
  </si>
  <si>
    <t>㈜창민테크</t>
    <phoneticPr fontId="5" type="noConversion"/>
  </si>
  <si>
    <t>PROBER STATION(계측기)</t>
    <phoneticPr fontId="5" type="noConversion"/>
  </si>
  <si>
    <t>2004-02-23</t>
  </si>
  <si>
    <t>㈜두성필테크</t>
    <phoneticPr fontId="5" type="noConversion"/>
  </si>
  <si>
    <t>HOT CHUCK CONTROLLER</t>
  </si>
  <si>
    <t>2004-03-04</t>
  </si>
  <si>
    <t>MICRO SCOPE</t>
  </si>
  <si>
    <t>2004-05-08</t>
  </si>
  <si>
    <t>서부정밀기기</t>
    <phoneticPr fontId="5" type="noConversion"/>
  </si>
  <si>
    <t>캘리브레이터</t>
    <phoneticPr fontId="5" type="noConversion"/>
  </si>
  <si>
    <t>2004-05-19</t>
  </si>
  <si>
    <t>삼성계측제어</t>
    <phoneticPr fontId="5" type="noConversion"/>
  </si>
  <si>
    <t>PUMP(CRN5-6)</t>
  </si>
  <si>
    <t>2004-05-21</t>
  </si>
  <si>
    <t>㈜이엔이코노</t>
    <phoneticPr fontId="5" type="noConversion"/>
  </si>
  <si>
    <t>WATER TREATMENT SYSTEM</t>
  </si>
  <si>
    <t>2004-05-24</t>
  </si>
  <si>
    <t>한성기공</t>
    <phoneticPr fontId="5" type="noConversion"/>
  </si>
  <si>
    <t>㈜네온테크</t>
    <phoneticPr fontId="5" type="noConversion"/>
  </si>
  <si>
    <t>2004-05-25</t>
  </si>
  <si>
    <t>전기공사(증설)</t>
    <phoneticPr fontId="5" type="noConversion"/>
  </si>
  <si>
    <t>2004-06-02</t>
  </si>
  <si>
    <t>㈜태성엔지니어링</t>
    <phoneticPr fontId="5" type="noConversion"/>
  </si>
  <si>
    <t>CLEAN AIR UNIT</t>
  </si>
  <si>
    <t>2004-06-03</t>
  </si>
  <si>
    <t>CLEAN ROOM 배관공사(증설)</t>
    <phoneticPr fontId="5" type="noConversion"/>
  </si>
  <si>
    <t>2004-06-10</t>
  </si>
  <si>
    <t>지우텍</t>
    <phoneticPr fontId="5" type="noConversion"/>
  </si>
  <si>
    <t>TAPE MOUNTER</t>
  </si>
  <si>
    <t>현미경</t>
    <phoneticPr fontId="5" type="noConversion"/>
  </si>
  <si>
    <t>AUTO TESTER</t>
  </si>
  <si>
    <t>2004-07-16</t>
  </si>
  <si>
    <t>AUTO PROBER</t>
  </si>
  <si>
    <t>2004-07-19</t>
  </si>
  <si>
    <t>ALIGNER(PLA-501FA)</t>
  </si>
  <si>
    <t>2004-07-28</t>
  </si>
  <si>
    <t>NIPPON TENKO</t>
  </si>
  <si>
    <t>06.01.26자본지출</t>
    <phoneticPr fontId="5" type="noConversion"/>
  </si>
  <si>
    <t>AUTO PROBER STATION(계측기)</t>
    <phoneticPr fontId="5" type="noConversion"/>
  </si>
  <si>
    <t>2004-08-03</t>
  </si>
  <si>
    <t>UV CURING MACHINE</t>
  </si>
  <si>
    <t>2004-09-20</t>
  </si>
  <si>
    <t>제일유브이</t>
    <phoneticPr fontId="5" type="noConversion"/>
  </si>
  <si>
    <t>EVAPO(EBX-2000C)</t>
  </si>
  <si>
    <t>2004-11-03</t>
  </si>
  <si>
    <t>한국알박㈜</t>
    <phoneticPr fontId="5" type="noConversion"/>
  </si>
  <si>
    <t>VACCUM PUMP(MVO-020-BC)</t>
  </si>
  <si>
    <t>2005-01-10</t>
  </si>
  <si>
    <t>두일엔지니어링</t>
    <phoneticPr fontId="5" type="noConversion"/>
  </si>
  <si>
    <t>SUS PUMP(50*40)</t>
  </si>
  <si>
    <t>2005-01-11</t>
  </si>
  <si>
    <t>AIR COMPRESSOR(NH-7)</t>
  </si>
  <si>
    <t>2005-01-24</t>
  </si>
  <si>
    <t>냉방기</t>
    <phoneticPr fontId="5" type="noConversion"/>
  </si>
  <si>
    <t>세기공조설비</t>
    <phoneticPr fontId="5" type="noConversion"/>
  </si>
  <si>
    <t>웹부스(WET STATION)</t>
    <phoneticPr fontId="5" type="noConversion"/>
  </si>
  <si>
    <t>럭키PVC제작소</t>
    <phoneticPr fontId="5" type="noConversion"/>
  </si>
  <si>
    <t>2005-01-30</t>
  </si>
  <si>
    <t>정서전력공사</t>
    <phoneticPr fontId="5" type="noConversion"/>
  </si>
  <si>
    <t>WAFER SCRUBBER</t>
  </si>
  <si>
    <t>2005-01-31</t>
  </si>
  <si>
    <t>삼정기공</t>
    <phoneticPr fontId="5" type="noConversion"/>
  </si>
  <si>
    <t>CURRE TRACER(계측기)</t>
    <phoneticPr fontId="5" type="noConversion"/>
  </si>
  <si>
    <t>2005-02-01</t>
  </si>
  <si>
    <t>대영코퍼레이션</t>
    <phoneticPr fontId="5" type="noConversion"/>
  </si>
  <si>
    <t>CLEAN ROOM장비</t>
    <phoneticPr fontId="5" type="noConversion"/>
  </si>
  <si>
    <t>2005-02-21</t>
  </si>
  <si>
    <t>실질적 매각X , Pass box만 매각</t>
    <phoneticPr fontId="5" type="noConversion"/>
  </si>
  <si>
    <t>폐수처리시스템(중화조)</t>
    <phoneticPr fontId="5" type="noConversion"/>
  </si>
  <si>
    <t>2005-02-28</t>
  </si>
  <si>
    <t>지구엔비텍</t>
    <phoneticPr fontId="5" type="noConversion"/>
  </si>
  <si>
    <t>IWAKI BRAND MAGNETIC PUMP</t>
  </si>
  <si>
    <t>2005-03-04</t>
  </si>
  <si>
    <t>태성엔지니어링</t>
    <phoneticPr fontId="5" type="noConversion"/>
  </si>
  <si>
    <t>WAFER CLEANING STATION</t>
  </si>
  <si>
    <t>2005-03-17</t>
  </si>
  <si>
    <t>아석산업</t>
    <phoneticPr fontId="5" type="noConversion"/>
  </si>
  <si>
    <t>2005-03-19</t>
  </si>
  <si>
    <t>동일엔지니어링</t>
    <phoneticPr fontId="5" type="noConversion"/>
  </si>
  <si>
    <t>IMPLANTER VARIAN 120XP</t>
  </si>
  <si>
    <t>2005-03-25</t>
  </si>
  <si>
    <t>뉴트</t>
    <phoneticPr fontId="5" type="noConversion"/>
  </si>
  <si>
    <t>06.01.31자본지출</t>
    <phoneticPr fontId="5" type="noConversion"/>
  </si>
  <si>
    <t>배관공사</t>
    <phoneticPr fontId="5" type="noConversion"/>
  </si>
  <si>
    <t>테크윈플랜트</t>
    <phoneticPr fontId="5" type="noConversion"/>
  </si>
  <si>
    <t>06.06.29자본지출</t>
    <phoneticPr fontId="5" type="noConversion"/>
  </si>
  <si>
    <t>FURNACE(SVG THERMCO TMX9002)</t>
  </si>
  <si>
    <t>제네시스</t>
    <phoneticPr fontId="5" type="noConversion"/>
  </si>
  <si>
    <t>06.08.31자본지출</t>
    <phoneticPr fontId="5" type="noConversion"/>
  </si>
  <si>
    <t>LUMONICS WAFER MARK Ⅱ</t>
    <phoneticPr fontId="5" type="noConversion"/>
  </si>
  <si>
    <t>VERTEQ RINSE/DRYER</t>
  </si>
  <si>
    <t>LEICA MICROSCOPE</t>
  </si>
  <si>
    <t>FURNACE(SVG THERMCO TMX9001)</t>
  </si>
  <si>
    <t>13.05.29 자본적지출</t>
    <phoneticPr fontId="5" type="noConversion"/>
  </si>
  <si>
    <t>SVG CONTER</t>
  </si>
  <si>
    <t>BAKE OVEN(TES-3)</t>
  </si>
  <si>
    <t>왕복동식 냉동기</t>
    <phoneticPr fontId="5" type="noConversion"/>
  </si>
  <si>
    <t>2005-03-28</t>
  </si>
  <si>
    <t>CHEMICAL CIRCULATOR</t>
  </si>
  <si>
    <t>에이치아이티</t>
    <phoneticPr fontId="5" type="noConversion"/>
  </si>
  <si>
    <t>POWER CONTROL UNIT</t>
  </si>
  <si>
    <t>판영 열교환기</t>
    <phoneticPr fontId="5" type="noConversion"/>
  </si>
  <si>
    <t>2005-04-07</t>
  </si>
  <si>
    <t>삼보열판</t>
    <phoneticPr fontId="5" type="noConversion"/>
  </si>
  <si>
    <t>유동기</t>
    <phoneticPr fontId="5" type="noConversion"/>
  </si>
  <si>
    <t>2005-04-15</t>
  </si>
  <si>
    <t>엠아이티</t>
    <phoneticPr fontId="5" type="noConversion"/>
  </si>
  <si>
    <t>열교환기 배관공사</t>
    <phoneticPr fontId="5" type="noConversion"/>
  </si>
  <si>
    <t>2005-04-30</t>
  </si>
  <si>
    <t>진공게이지</t>
    <phoneticPr fontId="5" type="noConversion"/>
  </si>
  <si>
    <t>2005-05-20</t>
  </si>
  <si>
    <t>베스텍</t>
    <phoneticPr fontId="5" type="noConversion"/>
  </si>
  <si>
    <t>AIR CLEAN UNIT</t>
  </si>
  <si>
    <t>2005-05-24</t>
  </si>
  <si>
    <t>유진이엔씨</t>
    <phoneticPr fontId="5" type="noConversion"/>
  </si>
  <si>
    <t>BLOWER FILTER UNIT</t>
  </si>
  <si>
    <t>PRE FILTER UNIT</t>
  </si>
  <si>
    <t>BFU CONTROL</t>
  </si>
  <si>
    <t>진공펌프</t>
    <phoneticPr fontId="5" type="noConversion"/>
  </si>
  <si>
    <t>2005-05-25</t>
  </si>
  <si>
    <t>동광고진공</t>
    <phoneticPr fontId="5" type="noConversion"/>
  </si>
  <si>
    <t>WILDEN PUMP</t>
  </si>
  <si>
    <t>2005-05-30</t>
  </si>
  <si>
    <t>AUTO PROBE(TEL PROBE 19S)</t>
  </si>
  <si>
    <t>2005-06-01</t>
  </si>
  <si>
    <t>06.01.10자본지출</t>
    <phoneticPr fontId="5" type="noConversion"/>
  </si>
  <si>
    <t>SAWING폐수재생시스템</t>
    <phoneticPr fontId="5" type="noConversion"/>
  </si>
  <si>
    <t>2005-06-25</t>
  </si>
  <si>
    <t>코텍엔지니어링</t>
    <phoneticPr fontId="5" type="noConversion"/>
  </si>
  <si>
    <t>DI SYSTEM PACKAGE</t>
  </si>
  <si>
    <t>2005-07-21</t>
  </si>
  <si>
    <t>디엠퓨어텍</t>
    <phoneticPr fontId="5" type="noConversion"/>
  </si>
  <si>
    <t>2005-07-25</t>
  </si>
  <si>
    <t>ASHER PUMP</t>
  </si>
  <si>
    <t>PROBER SYSTEM TESTER(2050)</t>
  </si>
  <si>
    <t>2005-09-29</t>
  </si>
  <si>
    <t>스타텍</t>
    <phoneticPr fontId="5" type="noConversion"/>
  </si>
  <si>
    <t>HORIOTAL GRINDING</t>
  </si>
  <si>
    <t>2005-09-30</t>
  </si>
  <si>
    <t>한국엥기스</t>
    <phoneticPr fontId="5" type="noConversion"/>
  </si>
  <si>
    <t>06.06.02자본지출</t>
    <phoneticPr fontId="5" type="noConversion"/>
  </si>
  <si>
    <t>HORIOTAL MACHINE</t>
  </si>
  <si>
    <t>ANGLE LAPPING M/C</t>
  </si>
  <si>
    <t>2005-11-07</t>
  </si>
  <si>
    <t>PNC</t>
  </si>
  <si>
    <t>IWAKI PUMP(MD-15FY)</t>
  </si>
  <si>
    <t>2005-11-09</t>
  </si>
  <si>
    <t>순간정전보상장치</t>
    <phoneticPr fontId="5" type="noConversion"/>
  </si>
  <si>
    <t>어드밴스웨이브</t>
    <phoneticPr fontId="5" type="noConversion"/>
  </si>
  <si>
    <t>HIGH TEMP HOT PLATE</t>
  </si>
  <si>
    <t>2005-11-16</t>
  </si>
  <si>
    <t>라보텍</t>
    <phoneticPr fontId="5" type="noConversion"/>
  </si>
  <si>
    <t>외관검사기</t>
    <phoneticPr fontId="5" type="noConversion"/>
  </si>
  <si>
    <t>2005-11-17</t>
  </si>
  <si>
    <t>아이엠에스나노텍</t>
    <phoneticPr fontId="5" type="noConversion"/>
  </si>
  <si>
    <t>펌프(MVO-020-BC)</t>
    <phoneticPr fontId="5" type="noConversion"/>
  </si>
  <si>
    <t>2006-01-19</t>
  </si>
  <si>
    <t>06.01.24자본지출</t>
    <phoneticPr fontId="5" type="noConversion"/>
  </si>
  <si>
    <t>CURRE TRACER(370A)</t>
  </si>
  <si>
    <t>2006-02-01</t>
  </si>
  <si>
    <t>TSI</t>
  </si>
  <si>
    <t>크린룸공사</t>
    <phoneticPr fontId="5" type="noConversion"/>
  </si>
  <si>
    <t>2006-02-06</t>
  </si>
  <si>
    <t>air shower 매각</t>
    <phoneticPr fontId="5" type="noConversion"/>
  </si>
  <si>
    <t>OVEN(OF-22S)</t>
  </si>
  <si>
    <t>2006-02-25</t>
  </si>
  <si>
    <t>2006-02-28</t>
  </si>
  <si>
    <t>ZENER증산용</t>
    <phoneticPr fontId="5" type="noConversion"/>
  </si>
  <si>
    <t>OVEN(OF-22GE)</t>
  </si>
  <si>
    <t>2006-03-10</t>
  </si>
  <si>
    <t>2006-03-22</t>
  </si>
  <si>
    <t>HELIUM LEAK DETECTOR</t>
  </si>
  <si>
    <t>2006-04-28</t>
  </si>
  <si>
    <t>㈜뉴트</t>
    <phoneticPr fontId="5" type="noConversion"/>
  </si>
  <si>
    <t>2006-05-10</t>
  </si>
  <si>
    <t>웹부스</t>
    <phoneticPr fontId="5" type="noConversion"/>
  </si>
  <si>
    <t>2006-05-19</t>
  </si>
  <si>
    <t>SAWING MACHINES</t>
  </si>
  <si>
    <t>2006-06-15</t>
  </si>
  <si>
    <t>보스텍상사</t>
    <phoneticPr fontId="5" type="noConversion"/>
  </si>
  <si>
    <t xml:space="preserve"> </t>
  </si>
  <si>
    <t>MANUAL PROBE STATION</t>
  </si>
  <si>
    <t>㈜코니일렉트론</t>
    <phoneticPr fontId="5" type="noConversion"/>
  </si>
  <si>
    <t>전기공사</t>
    <phoneticPr fontId="5" type="noConversion"/>
  </si>
  <si>
    <t>PROBE TESTER</t>
  </si>
  <si>
    <t>㈜스타텍</t>
    <phoneticPr fontId="5" type="noConversion"/>
  </si>
  <si>
    <t>EVAPO PUMP(DRLZ-50)</t>
  </si>
  <si>
    <t>제일기계</t>
    <phoneticPr fontId="5" type="noConversion"/>
  </si>
  <si>
    <t>WATER SCRUBBER(웹부스)</t>
    <phoneticPr fontId="5" type="noConversion"/>
  </si>
  <si>
    <t>PVC 웹부스</t>
    <phoneticPr fontId="5" type="noConversion"/>
  </si>
  <si>
    <t>럭키PVC제작소</t>
    <phoneticPr fontId="5" type="noConversion"/>
  </si>
  <si>
    <t>웹부스(250*880)</t>
    <phoneticPr fontId="5" type="noConversion"/>
  </si>
  <si>
    <t>SAND BLAST M/C</t>
  </si>
  <si>
    <t>대풍산업</t>
    <phoneticPr fontId="5" type="noConversion"/>
  </si>
  <si>
    <t>EVAPO(ei-5)</t>
  </si>
  <si>
    <t>AUTO PORBE(TEL-19S)</t>
  </si>
  <si>
    <t>㈜제네시스</t>
    <phoneticPr fontId="5" type="noConversion"/>
  </si>
  <si>
    <t>POROBE TESTER</t>
  </si>
  <si>
    <t>이온임플란트 장비 PARTS</t>
    <phoneticPr fontId="5" type="noConversion"/>
  </si>
  <si>
    <t>씨큐스</t>
    <phoneticPr fontId="5" type="noConversion"/>
  </si>
  <si>
    <t>DRY ETCHER</t>
  </si>
  <si>
    <t>피에스이주식회사</t>
    <phoneticPr fontId="5" type="noConversion"/>
  </si>
  <si>
    <t>PE-CVD</t>
  </si>
  <si>
    <t>DEBELOPER</t>
  </si>
  <si>
    <r>
      <t>2</t>
    </r>
    <r>
      <rPr>
        <sz val="9"/>
        <color indexed="8"/>
        <rFont val="맑은 고딕"/>
        <family val="3"/>
        <charset val="129"/>
      </rPr>
      <t>013.09.13 폐기</t>
    </r>
    <phoneticPr fontId="5" type="noConversion"/>
  </si>
  <si>
    <t>냉동기(UWA15F)</t>
    <phoneticPr fontId="5" type="noConversion"/>
  </si>
  <si>
    <t>㈜귀뚜라미범양전주</t>
    <phoneticPr fontId="5" type="noConversion"/>
  </si>
  <si>
    <t>P/R REMOVE ASHER</t>
  </si>
  <si>
    <t>명성초음파</t>
    <phoneticPr fontId="5" type="noConversion"/>
  </si>
  <si>
    <t>입협다단펌프</t>
    <phoneticPr fontId="5" type="noConversion"/>
  </si>
  <si>
    <t>㈜비엔피</t>
    <phoneticPr fontId="5" type="noConversion"/>
  </si>
  <si>
    <t>냉각수배관공사</t>
    <phoneticPr fontId="5" type="noConversion"/>
  </si>
  <si>
    <t>한선</t>
    <phoneticPr fontId="5" type="noConversion"/>
  </si>
  <si>
    <t>PROBD(TEL-19S)</t>
  </si>
  <si>
    <t>14개중 10 매각</t>
    <phoneticPr fontId="5" type="noConversion"/>
  </si>
  <si>
    <t>HEATING기</t>
    <phoneticPr fontId="5" type="noConversion"/>
  </si>
  <si>
    <t>태봉산업기술㈜</t>
    <phoneticPr fontId="5" type="noConversion"/>
  </si>
  <si>
    <t>㈜한국알박</t>
    <phoneticPr fontId="5" type="noConversion"/>
  </si>
  <si>
    <t>이온임플란트(NV-6200)</t>
    <phoneticPr fontId="5" type="noConversion"/>
  </si>
  <si>
    <t>BAKE OVEN</t>
  </si>
  <si>
    <t>LED CHIP COUNTER</t>
  </si>
  <si>
    <t>광전자정밀㈜</t>
    <phoneticPr fontId="5" type="noConversion"/>
  </si>
  <si>
    <t>PARTICLE COUNTER(METONE 227A)</t>
  </si>
  <si>
    <t>분진집진기(CPM-200)</t>
    <phoneticPr fontId="5" type="noConversion"/>
  </si>
  <si>
    <t>크린에어테크㈜</t>
    <phoneticPr fontId="5" type="noConversion"/>
  </si>
  <si>
    <t>AIR COMPRESSOR(20HP)</t>
  </si>
  <si>
    <t>GRINDING M/C(THG-170)</t>
  </si>
  <si>
    <t>㈜티씨에스</t>
    <phoneticPr fontId="5" type="noConversion"/>
  </si>
  <si>
    <t>COATER(DNS SCW 629)</t>
  </si>
  <si>
    <t>LED CHIP COUNTER(OPI-780)</t>
  </si>
  <si>
    <t>WAFER BONDIN M/C</t>
  </si>
  <si>
    <t>DICING SAW M/C(DAD522)</t>
  </si>
  <si>
    <t>LED CHIP COUNTER(OPC-780)</t>
  </si>
  <si>
    <t>PORBE STATION(TEL-19S)</t>
  </si>
  <si>
    <t>DICER M/C(DAD640)</t>
  </si>
  <si>
    <t>㈜디에스세미콘</t>
    <phoneticPr fontId="5" type="noConversion"/>
  </si>
  <si>
    <t>2017.01.25 매각(남경)</t>
    <phoneticPr fontId="5" type="noConversion"/>
  </si>
  <si>
    <t>HELIUM LEAK DETECTOR(HELIOT711W1 220V/60Hz)</t>
  </si>
  <si>
    <t>GRINDING M/C(THG-170AV)</t>
  </si>
  <si>
    <t>LAPPING M/C(TSL-460)</t>
  </si>
  <si>
    <t>SSM-150 AUTO SPREADING RESISTANCE PROBE</t>
  </si>
  <si>
    <t>제네시스㈜</t>
    <phoneticPr fontId="5" type="noConversion"/>
  </si>
  <si>
    <r>
      <t>1</t>
    </r>
    <r>
      <rPr>
        <sz val="9"/>
        <color indexed="8"/>
        <rFont val="맑은 고딕"/>
        <family val="3"/>
        <charset val="129"/>
      </rPr>
      <t>4.11.13 NANJING 매각</t>
    </r>
    <phoneticPr fontId="5" type="noConversion"/>
  </si>
  <si>
    <t>6" TAPE LAMINATOR</t>
  </si>
  <si>
    <t>UV 조사기</t>
    <phoneticPr fontId="5" type="noConversion"/>
  </si>
  <si>
    <t>WAFER BONDING M/C(MWB6030)</t>
  </si>
  <si>
    <t>㈜엠아이티</t>
    <phoneticPr fontId="5" type="noConversion"/>
  </si>
  <si>
    <t>AUTO PREOBE(TEL-19S)</t>
  </si>
  <si>
    <t>HORIZONTAL GRINDING M/C(THG-170)</t>
  </si>
  <si>
    <t>티씨에스</t>
    <phoneticPr fontId="5" type="noConversion"/>
  </si>
  <si>
    <t>DISCO DICER M/C(DAD-522)</t>
  </si>
  <si>
    <t>DISCO DICER M/C(DAD-640)</t>
  </si>
  <si>
    <t>2019.01.15 매각(제네시스)</t>
    <phoneticPr fontId="19" type="noConversion"/>
  </si>
  <si>
    <t>SINGLE SIDE POLISHIN M/C(TSP-460)</t>
  </si>
  <si>
    <t>FURNACE(TMX9004)</t>
  </si>
  <si>
    <t>PHOTO ALIGER(PLA501F)</t>
  </si>
  <si>
    <t>TESTER(MDT-52KS)</t>
  </si>
  <si>
    <t>EVAPO(ei-5K 5호)</t>
    <phoneticPr fontId="5" type="noConversion"/>
  </si>
  <si>
    <t>EVAPO(ei-5K 6호)</t>
    <phoneticPr fontId="5" type="noConversion"/>
  </si>
  <si>
    <t>크린룸</t>
    <phoneticPr fontId="5" type="noConversion"/>
  </si>
  <si>
    <t>에스아이앤씨㈜</t>
    <phoneticPr fontId="5" type="noConversion"/>
  </si>
  <si>
    <t>㈜NNI TECH</t>
    <phoneticPr fontId="5" type="noConversion"/>
  </si>
  <si>
    <t>DICING SAW M/C(DAD562)</t>
  </si>
  <si>
    <t>에어컴프레셔(50HP)</t>
    <phoneticPr fontId="5" type="noConversion"/>
  </si>
  <si>
    <t>HORIZONATAL GRINDING M/C(THG-170)</t>
  </si>
  <si>
    <t>DICING 배관공사</t>
    <phoneticPr fontId="5" type="noConversion"/>
  </si>
  <si>
    <t>DI WATER SYSTEM(TWO PASS-3/HR, 15MΩ)</t>
    <phoneticPr fontId="5" type="noConversion"/>
  </si>
  <si>
    <t>냉동기(10R/T)</t>
    <phoneticPr fontId="5" type="noConversion"/>
  </si>
  <si>
    <t>DICING M/C(DAD-522)</t>
  </si>
  <si>
    <t>DICING M/C(DAD-640)</t>
  </si>
  <si>
    <t>BAKE OVEN(TEL MARK-11)</t>
  </si>
  <si>
    <t>루멘반도체</t>
    <phoneticPr fontId="5" type="noConversion"/>
  </si>
  <si>
    <t>주식회사엠아이티</t>
    <phoneticPr fontId="5" type="noConversion"/>
  </si>
  <si>
    <t>EXPENDER(ME-05F60H)</t>
  </si>
  <si>
    <t>WEB STATION</t>
  </si>
  <si>
    <t>신공장</t>
    <phoneticPr fontId="5" type="noConversion"/>
  </si>
  <si>
    <t>WAFER SCRUBBER(￠250*800L)</t>
    <phoneticPr fontId="5" type="noConversion"/>
  </si>
  <si>
    <t>초음파 세척기</t>
    <phoneticPr fontId="5" type="noConversion"/>
  </si>
  <si>
    <t>에이치아이티㈜</t>
    <phoneticPr fontId="5" type="noConversion"/>
  </si>
  <si>
    <t>에어컴프레셔(75HP)</t>
    <phoneticPr fontId="5" type="noConversion"/>
  </si>
  <si>
    <t>ACU(10RT)</t>
  </si>
  <si>
    <t>㈜네패스이앤씨</t>
    <phoneticPr fontId="5" type="noConversion"/>
  </si>
  <si>
    <t>신공장, 11.06.24자본적지출(3천만원)</t>
    <phoneticPr fontId="5" type="noConversion"/>
  </si>
  <si>
    <t>ALINGER(CANON)</t>
  </si>
  <si>
    <t>TRACK(COATER/DEVELOPER)</t>
  </si>
  <si>
    <t>ASHER(DES 212-304AVL)</t>
  </si>
  <si>
    <t>SPIN DRYER(1600-55)</t>
  </si>
  <si>
    <t>DIFFUSION FURNACER(THERMCO)</t>
  </si>
  <si>
    <t>신공장  13.05.29 자본적지출</t>
    <phoneticPr fontId="5" type="noConversion"/>
  </si>
  <si>
    <t>ION IMPLANTER(160XP)</t>
  </si>
  <si>
    <t>ION IMPLANTER(E220HP)</t>
  </si>
  <si>
    <t>LASER MARKING(LUMONICS)</t>
  </si>
  <si>
    <t>4-POINT PROBE(VP10E)</t>
  </si>
  <si>
    <t>ALPHA STEP(200)</t>
  </si>
  <si>
    <t>CURVE TRACER(370)</t>
  </si>
  <si>
    <t>MANUAL PROBE(TBD)</t>
  </si>
  <si>
    <t>NANOSPEC</t>
  </si>
  <si>
    <t>MICROSCOPE(HIGH POWER)</t>
  </si>
  <si>
    <t>WAFER TRANSFER</t>
  </si>
  <si>
    <t>SPARE PARTS</t>
  </si>
  <si>
    <t>EVAPO(ei-5k)</t>
  </si>
  <si>
    <t>DI WATER TREATMENT SYSTEM</t>
  </si>
  <si>
    <t>냉동기(240RT)</t>
    <phoneticPr fontId="5" type="noConversion"/>
  </si>
  <si>
    <t>㈜세종엠엔이</t>
    <phoneticPr fontId="5" type="noConversion"/>
  </si>
  <si>
    <t>11.07.18자 자본적지출(\17,300,000)</t>
    <phoneticPr fontId="5" type="noConversion"/>
  </si>
  <si>
    <t>WAFER CLEANING DEVICE</t>
  </si>
  <si>
    <t>TRR시험기 TESTER</t>
    <phoneticPr fontId="5" type="noConversion"/>
  </si>
  <si>
    <t xml:space="preserve"> JINYUN SAIMEILUN IMP&amp;EXP </t>
  </si>
  <si>
    <t>ESD 측정장비(ESS-6008)</t>
    <phoneticPr fontId="5" type="noConversion"/>
  </si>
  <si>
    <t>㈜노이즈텍</t>
    <phoneticPr fontId="5" type="noConversion"/>
  </si>
  <si>
    <r>
      <t>F</t>
    </r>
    <r>
      <rPr>
        <sz val="10"/>
        <color indexed="8"/>
        <rFont val="맑은 고딕"/>
        <family val="3"/>
        <charset val="129"/>
      </rPr>
      <t>E-SEM EDS(HITACHI S4500)</t>
    </r>
  </si>
  <si>
    <t>에어컴프레셔 난방닥트</t>
    <phoneticPr fontId="5" type="noConversion"/>
  </si>
  <si>
    <t>금영산업</t>
    <phoneticPr fontId="5" type="noConversion"/>
  </si>
  <si>
    <t>인버터 제어반공사</t>
    <phoneticPr fontId="5" type="noConversion"/>
  </si>
  <si>
    <t>정일E NG</t>
    <phoneticPr fontId="5" type="noConversion"/>
  </si>
  <si>
    <t>MUX COMPUTER SYSTEM</t>
  </si>
  <si>
    <t>더시스템</t>
    <phoneticPr fontId="5" type="noConversion"/>
  </si>
  <si>
    <t>GAS DETECTOR</t>
  </si>
  <si>
    <t>SAW M/C(DAD-640)</t>
  </si>
  <si>
    <t>HEAT &amp; WET SCRUBBER</t>
  </si>
  <si>
    <t>리드텍</t>
    <phoneticPr fontId="5" type="noConversion"/>
  </si>
  <si>
    <t>가스트론</t>
    <phoneticPr fontId="5" type="noConversion"/>
  </si>
  <si>
    <t>가스디엔에이</t>
    <phoneticPr fontId="5" type="noConversion"/>
  </si>
  <si>
    <t>비상발전기</t>
    <phoneticPr fontId="5" type="noConversion"/>
  </si>
  <si>
    <t>대한이엔지</t>
    <phoneticPr fontId="5" type="noConversion"/>
  </si>
  <si>
    <t>신규투자 설비 전기공사</t>
    <phoneticPr fontId="5" type="noConversion"/>
  </si>
  <si>
    <t>신공장(2015.07.27 자본적지출 8,000,000)</t>
    <phoneticPr fontId="5" type="noConversion"/>
  </si>
  <si>
    <t>현대종합전기</t>
    <phoneticPr fontId="5" type="noConversion"/>
  </si>
  <si>
    <t>BACK GRINDER M/C(DFG 840)</t>
  </si>
  <si>
    <t>VARIAN 3190 SPUTTER</t>
  </si>
  <si>
    <t>ALIGNER(MPA-500FAB)</t>
  </si>
  <si>
    <t>LAM TCP P400</t>
  </si>
  <si>
    <t>비상발전기 설치공사</t>
    <phoneticPr fontId="5" type="noConversion"/>
  </si>
  <si>
    <t>PHOTO IC 배관공사</t>
    <phoneticPr fontId="5" type="noConversion"/>
  </si>
  <si>
    <t>아론</t>
    <phoneticPr fontId="5" type="noConversion"/>
  </si>
  <si>
    <t>PHOTO IC 전기공사</t>
    <phoneticPr fontId="5" type="noConversion"/>
  </si>
  <si>
    <t>COATER(DNS-629)</t>
  </si>
  <si>
    <t>원세미텍</t>
    <phoneticPr fontId="5" type="noConversion"/>
  </si>
  <si>
    <t>AI ETCH BOOTH</t>
  </si>
  <si>
    <t>H2SO4 BOOTH</t>
  </si>
  <si>
    <t>GAS SCRUBBER</t>
  </si>
  <si>
    <t>글로잭</t>
    <phoneticPr fontId="5" type="noConversion"/>
  </si>
  <si>
    <t>HEAT WET SCRUBBER</t>
  </si>
  <si>
    <t>PCW 라인 배관공사</t>
    <phoneticPr fontId="5" type="noConversion"/>
  </si>
  <si>
    <t>미래SWT</t>
    <phoneticPr fontId="5" type="noConversion"/>
  </si>
  <si>
    <t>EOS 시험기</t>
    <phoneticPr fontId="5" type="noConversion"/>
  </si>
  <si>
    <t>카스트엔지니어링</t>
    <phoneticPr fontId="5" type="noConversion"/>
  </si>
  <si>
    <t>Stepper(NSR1755 i7)</t>
  </si>
  <si>
    <t>신공장(PHOTO IC)</t>
    <phoneticPr fontId="5" type="noConversion"/>
  </si>
  <si>
    <t>Etcher(Rainbow 4500)</t>
  </si>
  <si>
    <t>Etcher(TCP9600SE)</t>
  </si>
  <si>
    <t>RTA/Anneal(AST2800)</t>
  </si>
  <si>
    <t>Pyro(TMX9XXX)</t>
  </si>
  <si>
    <t>LPCVD(DJ802V)</t>
  </si>
  <si>
    <t>PECVD(CONCEPT1)</t>
  </si>
  <si>
    <t>Sputter(M2i)</t>
  </si>
  <si>
    <t>FT-IR(BPSG&amp;EPI)((QS300))</t>
  </si>
  <si>
    <t>Parametic Test Component System(4142B)</t>
  </si>
  <si>
    <t>Parametic Test Component System(4284A)</t>
  </si>
  <si>
    <t>Parametic Test Component System(DSO80204B)</t>
  </si>
  <si>
    <t>Parametic Test Component System(E5250A)</t>
  </si>
  <si>
    <t>EDS</t>
  </si>
  <si>
    <t>PROBER M/C</t>
  </si>
  <si>
    <t>씨에스이</t>
    <phoneticPr fontId="5" type="noConversion"/>
  </si>
  <si>
    <t>5리터합성반응장치</t>
    <phoneticPr fontId="5" type="noConversion"/>
  </si>
  <si>
    <t>아토솔루션</t>
    <phoneticPr fontId="5" type="noConversion"/>
  </si>
  <si>
    <t>핵심소재원천기술개발사업</t>
    <phoneticPr fontId="5" type="noConversion"/>
  </si>
  <si>
    <t>SIC TUBE</t>
  </si>
  <si>
    <t>넥스텍시스템</t>
    <phoneticPr fontId="5" type="noConversion"/>
  </si>
  <si>
    <t>EG PROBER-1</t>
  </si>
  <si>
    <t>EG PROBER-2</t>
  </si>
  <si>
    <t>EG PROBER-3</t>
  </si>
  <si>
    <t>EG PROBER-4</t>
  </si>
  <si>
    <t>EG PROBER-5</t>
  </si>
  <si>
    <t>양면 ALIGNER</t>
    <phoneticPr fontId="5" type="noConversion"/>
  </si>
  <si>
    <t>마이다스시스템</t>
    <phoneticPr fontId="5" type="noConversion"/>
  </si>
  <si>
    <t>IC TESTER(ATM5000)</t>
  </si>
  <si>
    <t>스타랩</t>
    <phoneticPr fontId="5" type="noConversion"/>
  </si>
  <si>
    <t>TESTER 외-1</t>
    <phoneticPr fontId="5" type="noConversion"/>
  </si>
  <si>
    <t>TESTER 외-2</t>
    <phoneticPr fontId="5" type="noConversion"/>
  </si>
  <si>
    <t>TESTER 외-3</t>
    <phoneticPr fontId="5" type="noConversion"/>
  </si>
  <si>
    <t>5리터합성반응장치</t>
  </si>
  <si>
    <t>예랑솔루션</t>
  </si>
  <si>
    <t>회사명 : (주)오디텍</t>
    <phoneticPr fontId="5" type="noConversion"/>
  </si>
  <si>
    <t>비 고</t>
    <phoneticPr fontId="5" type="noConversion"/>
  </si>
  <si>
    <t>2분기상각</t>
    <phoneticPr fontId="5" type="noConversion"/>
  </si>
  <si>
    <t>프레지오(15인승)</t>
    <phoneticPr fontId="5" type="noConversion"/>
  </si>
  <si>
    <t>기아자동차</t>
    <phoneticPr fontId="5" type="noConversion"/>
  </si>
  <si>
    <t>수동지게차(DC-STACKER)</t>
    <phoneticPr fontId="5" type="noConversion"/>
  </si>
  <si>
    <t>수성운반기계</t>
    <phoneticPr fontId="5" type="noConversion"/>
  </si>
  <si>
    <t>그랜저TG(NO:07마7228)</t>
    <phoneticPr fontId="5" type="noConversion"/>
  </si>
  <si>
    <t>현대자동차</t>
    <phoneticPr fontId="5" type="noConversion"/>
  </si>
  <si>
    <t>판관,매각</t>
    <phoneticPr fontId="5" type="noConversion"/>
  </si>
  <si>
    <t>그랜저TG(NO:07마7229)</t>
    <phoneticPr fontId="5" type="noConversion"/>
  </si>
  <si>
    <t>렉서스(ES330)</t>
    <phoneticPr fontId="5" type="noConversion"/>
  </si>
  <si>
    <t>현대캐피탈</t>
    <phoneticPr fontId="5" type="noConversion"/>
  </si>
  <si>
    <t>판관,매각(2015.06.24)</t>
    <phoneticPr fontId="5" type="noConversion"/>
  </si>
  <si>
    <t>그랜드 스타렉스(78마7256,8287)</t>
    <phoneticPr fontId="5" type="noConversion"/>
  </si>
  <si>
    <t>판관, 매각(2014.02.27)</t>
    <phoneticPr fontId="5" type="noConversion"/>
  </si>
  <si>
    <t>에쿠스(18무 1625)</t>
    <phoneticPr fontId="5" type="noConversion"/>
  </si>
  <si>
    <r>
      <t>판관(매각</t>
    </r>
    <r>
      <rPr>
        <sz val="9"/>
        <color indexed="8"/>
        <rFont val="맑은 고딕"/>
        <family val="3"/>
        <charset val="129"/>
      </rPr>
      <t>2015.01.30)</t>
    </r>
    <phoneticPr fontId="5" type="noConversion"/>
  </si>
  <si>
    <t>NF SONATA(06어2435)</t>
    <phoneticPr fontId="5" type="noConversion"/>
  </si>
  <si>
    <t>이건택</t>
    <phoneticPr fontId="5" type="noConversion"/>
  </si>
  <si>
    <t>차량 구입(벤츠 S400L MATIC)</t>
    <phoneticPr fontId="5" type="noConversion"/>
  </si>
  <si>
    <t>진모터스</t>
    <phoneticPr fontId="5" type="noConversion"/>
  </si>
  <si>
    <t>판관,2016.12.28매각</t>
    <phoneticPr fontId="5" type="noConversion"/>
  </si>
  <si>
    <t>벤츠 차량구입(51고6440)</t>
    <phoneticPr fontId="5" type="noConversion"/>
  </si>
  <si>
    <t>현대캐피탈</t>
    <phoneticPr fontId="5" type="noConversion"/>
  </si>
  <si>
    <t>관리(매각 2015.12.30)</t>
    <phoneticPr fontId="5" type="noConversion"/>
  </si>
  <si>
    <r>
      <t>차량 구입</t>
    </r>
    <r>
      <rPr>
        <sz val="9"/>
        <color indexed="8"/>
        <rFont val="맑은 고딕"/>
        <family val="3"/>
        <charset val="129"/>
      </rPr>
      <t>(포르쉐)</t>
    </r>
    <phoneticPr fontId="5" type="noConversion"/>
  </si>
  <si>
    <t>스투트카르트스포츠카</t>
    <phoneticPr fontId="5" type="noConversion"/>
  </si>
  <si>
    <t>合  計</t>
    <phoneticPr fontId="5" type="noConversion"/>
  </si>
  <si>
    <t>판</t>
    <phoneticPr fontId="5" type="noConversion"/>
  </si>
  <si>
    <t>회사명 : (주)오디텍 반도체사업부</t>
    <phoneticPr fontId="5" type="noConversion"/>
  </si>
  <si>
    <t>자  산  명</t>
    <phoneticPr fontId="5" type="noConversion"/>
  </si>
  <si>
    <t>당기상각대상금액</t>
    <phoneticPr fontId="5" type="noConversion"/>
  </si>
  <si>
    <t>비 고</t>
    <phoneticPr fontId="5" type="noConversion"/>
  </si>
  <si>
    <t>2분기상각</t>
    <phoneticPr fontId="5" type="noConversion"/>
  </si>
  <si>
    <t>프레지오(12인승)</t>
    <phoneticPr fontId="5" type="noConversion"/>
  </si>
  <si>
    <t>기아자동차</t>
    <phoneticPr fontId="5" type="noConversion"/>
  </si>
  <si>
    <t>그랜저TG(NO:57바1488)</t>
    <phoneticPr fontId="5" type="noConversion"/>
  </si>
  <si>
    <t>2005-10-26</t>
  </si>
  <si>
    <t>그랜저TG(NO:07마7227)</t>
    <phoneticPr fontId="5" type="noConversion"/>
  </si>
  <si>
    <t>현대자동차</t>
    <phoneticPr fontId="5" type="noConversion"/>
  </si>
  <si>
    <t>매각</t>
    <phoneticPr fontId="5" type="noConversion"/>
  </si>
  <si>
    <t>合  計</t>
    <phoneticPr fontId="5" type="noConversion"/>
  </si>
  <si>
    <t>자   산   명</t>
    <phoneticPr fontId="5" type="noConversion"/>
  </si>
  <si>
    <t>기초가액</t>
    <phoneticPr fontId="5" type="noConversion"/>
  </si>
  <si>
    <t>기말잔액</t>
    <phoneticPr fontId="5" type="noConversion"/>
  </si>
  <si>
    <t>구입처</t>
    <phoneticPr fontId="5" type="noConversion"/>
  </si>
  <si>
    <t>당기상각</t>
    <phoneticPr fontId="5" type="noConversion"/>
  </si>
  <si>
    <t>멀티테스트</t>
    <phoneticPr fontId="5" type="noConversion"/>
  </si>
  <si>
    <t>AL CASE</t>
  </si>
  <si>
    <t>안전센서카바금형</t>
    <phoneticPr fontId="5" type="noConversion"/>
  </si>
  <si>
    <t>CLEANBENCH</t>
  </si>
  <si>
    <t>CHIPOUNTASS.Y</t>
  </si>
  <si>
    <t>FORCEDCONVCTION</t>
  </si>
  <si>
    <t>렌즈금형</t>
    <phoneticPr fontId="5" type="noConversion"/>
  </si>
  <si>
    <t>오실로스코프(TDS420)</t>
    <phoneticPr fontId="5" type="noConversion"/>
  </si>
  <si>
    <t>LANS</t>
  </si>
  <si>
    <t>DISPENSER(DSD-20)</t>
  </si>
  <si>
    <t>DIALTEBSIONGAGE</t>
  </si>
  <si>
    <t>DRTOVEN</t>
  </si>
  <si>
    <t>조도계</t>
    <phoneticPr fontId="5" type="noConversion"/>
  </si>
  <si>
    <t>CAP(금형)</t>
    <phoneticPr fontId="5" type="noConversion"/>
  </si>
  <si>
    <t>OP65PS</t>
  </si>
  <si>
    <t>금형</t>
    <phoneticPr fontId="5" type="noConversion"/>
  </si>
  <si>
    <t>HOLDER금형</t>
    <phoneticPr fontId="5" type="noConversion"/>
  </si>
  <si>
    <t>TUBE금형</t>
    <phoneticPr fontId="5" type="noConversion"/>
  </si>
  <si>
    <t>LG-205D 금형</t>
    <phoneticPr fontId="5" type="noConversion"/>
  </si>
  <si>
    <t>일광정밀</t>
    <phoneticPr fontId="5" type="noConversion"/>
  </si>
  <si>
    <t>SG-23FH 금형</t>
    <phoneticPr fontId="5" type="noConversion"/>
  </si>
  <si>
    <t>CASTING MOLD 금형</t>
    <phoneticPr fontId="5" type="noConversion"/>
  </si>
  <si>
    <t>덕산정공</t>
    <phoneticPr fontId="5" type="noConversion"/>
  </si>
  <si>
    <t>ODT-ODM L/F 금형</t>
    <phoneticPr fontId="5" type="noConversion"/>
  </si>
  <si>
    <t>(주)풍산마이크로텍</t>
    <phoneticPr fontId="5" type="noConversion"/>
  </si>
  <si>
    <t>OP65PS 푸시백 금형</t>
    <phoneticPr fontId="5" type="noConversion"/>
  </si>
  <si>
    <t>믿음정밀</t>
    <phoneticPr fontId="5" type="noConversion"/>
  </si>
  <si>
    <t>Metal Mask JIG</t>
  </si>
  <si>
    <t>티이피</t>
    <phoneticPr fontId="5" type="noConversion"/>
  </si>
  <si>
    <t>FORCEDCONVCTION OVEN 05-2100</t>
  </si>
  <si>
    <t>램캠프</t>
    <phoneticPr fontId="5" type="noConversion"/>
  </si>
  <si>
    <t>CERAMIC STEM 금형</t>
    <phoneticPr fontId="5" type="noConversion"/>
  </si>
  <si>
    <t>신흥신소재</t>
    <phoneticPr fontId="5" type="noConversion"/>
  </si>
  <si>
    <t xml:space="preserve">23G TEST JIG </t>
  </si>
  <si>
    <t>삼진정공</t>
    <phoneticPr fontId="5" type="noConversion"/>
  </si>
  <si>
    <t>2016.06.30 폐기</t>
    <phoneticPr fontId="5" type="noConversion"/>
  </si>
  <si>
    <t>현미경(SZ4045)</t>
    <phoneticPr fontId="5" type="noConversion"/>
  </si>
  <si>
    <t>2016.06.30 일부 폐기</t>
    <phoneticPr fontId="5" type="noConversion"/>
  </si>
  <si>
    <t>EL소자600cav Mal 금형</t>
    <phoneticPr fontId="5" type="noConversion"/>
  </si>
  <si>
    <t>풍산정밀</t>
    <phoneticPr fontId="5" type="noConversion"/>
  </si>
  <si>
    <t>PIN 삽입기</t>
    <phoneticPr fontId="5" type="noConversion"/>
  </si>
  <si>
    <t>삼진정공</t>
    <phoneticPr fontId="5" type="noConversion"/>
  </si>
  <si>
    <t>우리종합계측기</t>
    <phoneticPr fontId="5" type="noConversion"/>
  </si>
  <si>
    <t>EPC카메라JIG</t>
    <phoneticPr fontId="5" type="noConversion"/>
  </si>
  <si>
    <t>HEATBLOK</t>
  </si>
  <si>
    <t>㈜썬테크</t>
    <phoneticPr fontId="5" type="noConversion"/>
  </si>
  <si>
    <t>POWER SUPLAY 측정기</t>
    <phoneticPr fontId="5" type="noConversion"/>
  </si>
  <si>
    <t>㈜디지탈전자</t>
    <phoneticPr fontId="5" type="noConversion"/>
  </si>
  <si>
    <t>2016.06.30 폐기</t>
    <phoneticPr fontId="5" type="noConversion"/>
  </si>
  <si>
    <t>E/T JIG</t>
  </si>
  <si>
    <t>엔코더 금형</t>
    <phoneticPr fontId="5" type="noConversion"/>
  </si>
  <si>
    <t>삼화공업사</t>
    <phoneticPr fontId="5" type="noConversion"/>
  </si>
  <si>
    <t>OP65PS-5 금형</t>
    <phoneticPr fontId="5" type="noConversion"/>
  </si>
  <si>
    <t>동아정공</t>
    <phoneticPr fontId="5" type="noConversion"/>
  </si>
  <si>
    <t>일산정공</t>
    <phoneticPr fontId="5" type="noConversion"/>
  </si>
  <si>
    <t>엔코더 40 BODY 금형</t>
    <phoneticPr fontId="5" type="noConversion"/>
  </si>
  <si>
    <t>대륜상사</t>
    <phoneticPr fontId="5" type="noConversion"/>
  </si>
  <si>
    <t>랩캠프</t>
    <phoneticPr fontId="5" type="noConversion"/>
  </si>
  <si>
    <t>엔코더 TESTER JIG</t>
    <phoneticPr fontId="5" type="noConversion"/>
  </si>
  <si>
    <t>핸드카</t>
    <phoneticPr fontId="5" type="noConversion"/>
  </si>
  <si>
    <t>랩캠프</t>
    <phoneticPr fontId="5" type="noConversion"/>
  </si>
  <si>
    <t>핸드프레스</t>
    <phoneticPr fontId="5" type="noConversion"/>
  </si>
  <si>
    <t>대암정밀</t>
    <phoneticPr fontId="5" type="noConversion"/>
  </si>
  <si>
    <t>LEAD PIN</t>
  </si>
  <si>
    <t>동아정공</t>
    <phoneticPr fontId="5" type="noConversion"/>
  </si>
  <si>
    <t>매뉴얼PRINTER(OP65PS제작용JIG)</t>
    <phoneticPr fontId="5" type="noConversion"/>
  </si>
  <si>
    <t>COLOR SENSOR 금형</t>
    <phoneticPr fontId="5" type="noConversion"/>
  </si>
  <si>
    <t>아일기전</t>
    <phoneticPr fontId="5" type="noConversion"/>
  </si>
  <si>
    <t>DOTING JIG(OP65PS용)</t>
    <phoneticPr fontId="5" type="noConversion"/>
  </si>
  <si>
    <t>계측기(DIGITAL MULTI METER)</t>
    <phoneticPr fontId="5" type="noConversion"/>
  </si>
  <si>
    <t>64광축 HOLDER 금형</t>
    <phoneticPr fontId="5" type="noConversion"/>
  </si>
  <si>
    <t>위너테크</t>
    <phoneticPr fontId="5" type="noConversion"/>
  </si>
  <si>
    <t>PCB DICING JIG</t>
  </si>
  <si>
    <t>썬테크</t>
    <phoneticPr fontId="5" type="noConversion"/>
  </si>
  <si>
    <t>TESTER JIG</t>
  </si>
  <si>
    <t>삼광써키트</t>
    <phoneticPr fontId="5" type="noConversion"/>
  </si>
  <si>
    <t>40파이 DISK 타발 금형</t>
    <phoneticPr fontId="5" type="noConversion"/>
  </si>
  <si>
    <t>썬테크</t>
    <phoneticPr fontId="5" type="noConversion"/>
  </si>
  <si>
    <t>48CELL  사출 금형</t>
    <phoneticPr fontId="5" type="noConversion"/>
  </si>
  <si>
    <t>AIR DRYER</t>
  </si>
  <si>
    <t>LEAD CUT DIE 및 SOLDER JIG</t>
    <phoneticPr fontId="5" type="noConversion"/>
  </si>
  <si>
    <t>위너텍</t>
    <phoneticPr fontId="5" type="noConversion"/>
  </si>
  <si>
    <t>MOLD STRUCTURE</t>
  </si>
  <si>
    <t>미크로정공</t>
    <phoneticPr fontId="5" type="noConversion"/>
  </si>
  <si>
    <t>MOLD 금형(OP65PS)</t>
    <phoneticPr fontId="5" type="noConversion"/>
  </si>
  <si>
    <t>COLOR SENSOR  E/T JIG</t>
  </si>
  <si>
    <t>원테크</t>
    <phoneticPr fontId="5" type="noConversion"/>
  </si>
  <si>
    <t>64광축 OAS2030H-LO 금형</t>
    <phoneticPr fontId="5" type="noConversion"/>
  </si>
  <si>
    <t>삼호산업</t>
    <phoneticPr fontId="5" type="noConversion"/>
  </si>
  <si>
    <t>L/F, T/R, F/M 금형</t>
    <phoneticPr fontId="5" type="noConversion"/>
  </si>
  <si>
    <t>AMP 내장형 MOLDING JIG</t>
    <phoneticPr fontId="5" type="noConversion"/>
  </si>
  <si>
    <t>썬테크</t>
    <phoneticPr fontId="5" type="noConversion"/>
  </si>
  <si>
    <t>소형 LED HOLDER 금형</t>
    <phoneticPr fontId="5" type="noConversion"/>
  </si>
  <si>
    <t>48CELL TESTER JIG</t>
  </si>
  <si>
    <t>OGT-201T HOLDER 금형 M/F</t>
    <phoneticPr fontId="5" type="noConversion"/>
  </si>
  <si>
    <t>OGT-205T HOLDER 금형</t>
    <phoneticPr fontId="5" type="noConversion"/>
  </si>
  <si>
    <t>PHOTO MASK</t>
  </si>
  <si>
    <t>2004-01-05</t>
  </si>
  <si>
    <t>㈜마이크로이미지</t>
    <phoneticPr fontId="5" type="noConversion"/>
  </si>
  <si>
    <t>40엔코더 BODY 금형</t>
    <phoneticPr fontId="5" type="noConversion"/>
  </si>
  <si>
    <t>2004-01-16</t>
  </si>
  <si>
    <t>대성산업</t>
    <phoneticPr fontId="5" type="noConversion"/>
  </si>
  <si>
    <t>CELL TEST JIG</t>
  </si>
  <si>
    <t>2004-01-26</t>
  </si>
  <si>
    <t>ENCODER TEST UNIT FG JIG</t>
  </si>
  <si>
    <t>ENCODER PCB JIG</t>
  </si>
  <si>
    <t>2004-02-25</t>
  </si>
  <si>
    <t>안전센서 TEST JIG</t>
    <phoneticPr fontId="5" type="noConversion"/>
  </si>
  <si>
    <t>2004-03-17</t>
  </si>
  <si>
    <t>2004-04-07</t>
  </si>
  <si>
    <t>48 CELL JIG</t>
  </si>
  <si>
    <t>2004-04-23</t>
  </si>
  <si>
    <t>1001 TEST JIG</t>
  </si>
  <si>
    <t>1005 TEST JIG</t>
  </si>
  <si>
    <t>CURE JIG</t>
  </si>
  <si>
    <t>소형 LED용 MAGAZINE</t>
    <phoneticPr fontId="5" type="noConversion"/>
  </si>
  <si>
    <t>2004-05-01</t>
  </si>
  <si>
    <t>내일시스템</t>
    <phoneticPr fontId="5" type="noConversion"/>
  </si>
  <si>
    <t>2004-05-03</t>
  </si>
  <si>
    <t>2004-05-13</t>
  </si>
  <si>
    <t>카운터 JIG</t>
    <phoneticPr fontId="5" type="noConversion"/>
  </si>
  <si>
    <t>2004-05-20</t>
  </si>
  <si>
    <t>조은테크놀로지</t>
    <phoneticPr fontId="5" type="noConversion"/>
  </si>
  <si>
    <t>BONDING JIG</t>
  </si>
  <si>
    <t>DICING CHUCK</t>
  </si>
  <si>
    <t>PACKING TRAY금형</t>
    <phoneticPr fontId="5" type="noConversion"/>
  </si>
  <si>
    <t>2004-05-31</t>
  </si>
  <si>
    <t>부광하이텍</t>
    <phoneticPr fontId="5" type="noConversion"/>
  </si>
  <si>
    <t>OGT-203T CASE 금형</t>
    <phoneticPr fontId="5" type="noConversion"/>
  </si>
  <si>
    <t>CHIP LPADING JIG</t>
  </si>
  <si>
    <t>현미경 받침대</t>
    <phoneticPr fontId="5" type="noConversion"/>
  </si>
  <si>
    <t>AUTO MOLDING JIG</t>
  </si>
  <si>
    <t>대영테크</t>
    <phoneticPr fontId="5" type="noConversion"/>
  </si>
  <si>
    <t>SENSOR BODY 금형</t>
    <phoneticPr fontId="5" type="noConversion"/>
  </si>
  <si>
    <t>2004-08-07</t>
  </si>
  <si>
    <t>전동드릴</t>
    <phoneticPr fontId="5" type="noConversion"/>
  </si>
  <si>
    <t>2004-08-27</t>
  </si>
  <si>
    <t>유광공구</t>
    <phoneticPr fontId="5" type="noConversion"/>
  </si>
  <si>
    <t>2004-08-31</t>
  </si>
  <si>
    <t>안전센서 COVER 금형</t>
    <phoneticPr fontId="5" type="noConversion"/>
  </si>
  <si>
    <t>2004-09-25</t>
  </si>
  <si>
    <t>LED COVER 금형</t>
    <phoneticPr fontId="5" type="noConversion"/>
  </si>
  <si>
    <t>CAP HOLDER 금형</t>
    <phoneticPr fontId="5" type="noConversion"/>
  </si>
  <si>
    <t>LENS 금형</t>
    <phoneticPr fontId="5" type="noConversion"/>
  </si>
  <si>
    <t>3RD JIG COVER</t>
  </si>
  <si>
    <t>2004-09-30</t>
  </si>
  <si>
    <t>인텍</t>
    <phoneticPr fontId="5" type="noConversion"/>
  </si>
  <si>
    <t>3RD JIG PLATE</t>
  </si>
  <si>
    <t>SOLDER JIG</t>
  </si>
  <si>
    <t>D&amp;M TECHNOLOGY</t>
  </si>
  <si>
    <t>PHOTO MASK(OSD-1013)</t>
  </si>
  <si>
    <t>2004-10-27</t>
  </si>
  <si>
    <t>JCS HI TECHNOLOGY</t>
  </si>
  <si>
    <t>원형센서 방수 RUBBER 금형</t>
    <phoneticPr fontId="5" type="noConversion"/>
  </si>
  <si>
    <t>2004-10-28</t>
  </si>
  <si>
    <t>금화정밀</t>
    <phoneticPr fontId="5" type="noConversion"/>
  </si>
  <si>
    <t>안전센서 CASE 금형</t>
    <phoneticPr fontId="5" type="noConversion"/>
  </si>
  <si>
    <t>2004-10-31</t>
  </si>
  <si>
    <t>㈜삼화산업</t>
    <phoneticPr fontId="5" type="noConversion"/>
  </si>
  <si>
    <t>전자저울(GX-2000)</t>
    <phoneticPr fontId="5" type="noConversion"/>
  </si>
  <si>
    <t>2004-11-22</t>
  </si>
  <si>
    <t>㈜이스케일</t>
    <phoneticPr fontId="5" type="noConversion"/>
  </si>
  <si>
    <t>원형센서 LENS 금형</t>
    <phoneticPr fontId="5" type="noConversion"/>
  </si>
  <si>
    <t>2004-11-25</t>
  </si>
  <si>
    <t>원형센서 PCB GUIDE 금형</t>
    <phoneticPr fontId="5" type="noConversion"/>
  </si>
  <si>
    <t>원형센서 COVER 금형</t>
    <phoneticPr fontId="5" type="noConversion"/>
  </si>
  <si>
    <t>2004-11-27</t>
  </si>
  <si>
    <t>MECHANICAL STIRRER</t>
  </si>
  <si>
    <t>2004-11-30</t>
  </si>
  <si>
    <t>토크게이지 300ATG</t>
    <phoneticPr fontId="5" type="noConversion"/>
  </si>
  <si>
    <t>2004-12-01</t>
  </si>
  <si>
    <t>거성종합상사</t>
    <phoneticPr fontId="5" type="noConversion"/>
  </si>
  <si>
    <t>원형센서 PCB SOLDER JIG</t>
    <phoneticPr fontId="5" type="noConversion"/>
  </si>
  <si>
    <t>원형센서 실드PCB, 목형금형</t>
    <phoneticPr fontId="5" type="noConversion"/>
  </si>
  <si>
    <t>2004-12-27</t>
  </si>
  <si>
    <t>유일전자</t>
    <phoneticPr fontId="5" type="noConversion"/>
  </si>
  <si>
    <t>OP45TS MOLD 금형(CONVENTIONAL)</t>
    <phoneticPr fontId="5" type="noConversion"/>
  </si>
  <si>
    <t>2004-12-30</t>
  </si>
  <si>
    <t>인텍</t>
    <phoneticPr fontId="5" type="noConversion"/>
  </si>
  <si>
    <t>OHD-C030 BOOK MOLD 금형</t>
    <phoneticPr fontId="5" type="noConversion"/>
  </si>
  <si>
    <t>OD-EL L/F 금형</t>
    <phoneticPr fontId="5" type="noConversion"/>
  </si>
  <si>
    <t>MAGAZINE</t>
  </si>
  <si>
    <t>2005-01-03</t>
  </si>
  <si>
    <t>내일시스템</t>
    <phoneticPr fontId="5" type="noConversion"/>
  </si>
  <si>
    <t>안전센서 LABEL 금형</t>
    <phoneticPr fontId="5" type="noConversion"/>
  </si>
  <si>
    <t>2005-01-18</t>
  </si>
  <si>
    <t>유한금속공업사</t>
    <phoneticPr fontId="5" type="noConversion"/>
  </si>
  <si>
    <t>목형금형</t>
    <phoneticPr fontId="5" type="noConversion"/>
  </si>
  <si>
    <t>2005-02-24</t>
  </si>
  <si>
    <t>진성산업</t>
    <phoneticPr fontId="5" type="noConversion"/>
  </si>
  <si>
    <t>TEST JIG</t>
  </si>
  <si>
    <t>PRESSER M/C</t>
  </si>
  <si>
    <t>공구현미경</t>
    <phoneticPr fontId="5" type="noConversion"/>
  </si>
  <si>
    <t>2005-04-01</t>
  </si>
  <si>
    <t>플러스원</t>
    <phoneticPr fontId="5" type="noConversion"/>
  </si>
  <si>
    <t>취부용 HOLDER 금형A,B</t>
    <phoneticPr fontId="5" type="noConversion"/>
  </si>
  <si>
    <t>2005-04-09</t>
  </si>
  <si>
    <t>SAW JIG</t>
  </si>
  <si>
    <t>2005-04-20</t>
  </si>
  <si>
    <t>인코테크놀로지</t>
    <phoneticPr fontId="5" type="noConversion"/>
  </si>
  <si>
    <t>PIN GAUGE(0.51mm~1.0mm)</t>
  </si>
  <si>
    <t>투아이테크</t>
    <phoneticPr fontId="5" type="noConversion"/>
  </si>
  <si>
    <t>DIGITAL CALIPERS(150mm)</t>
  </si>
  <si>
    <t>POWER T/R 측정용 계측기</t>
    <phoneticPr fontId="5" type="noConversion"/>
  </si>
  <si>
    <t>2005-05-12</t>
  </si>
  <si>
    <t>갑승파워시스템</t>
    <phoneticPr fontId="5" type="noConversion"/>
  </si>
  <si>
    <t>CONTROL PANEL(계측기)</t>
    <phoneticPr fontId="5" type="noConversion"/>
  </si>
  <si>
    <t>금강플랜트</t>
    <phoneticPr fontId="5" type="noConversion"/>
  </si>
  <si>
    <t>LEAD 포밍기</t>
    <phoneticPr fontId="5" type="noConversion"/>
  </si>
  <si>
    <t>2005-05-31</t>
  </si>
  <si>
    <t>대경공구</t>
    <phoneticPr fontId="5" type="noConversion"/>
  </si>
  <si>
    <t>GOLF SENSOR HOLDER 금형</t>
    <phoneticPr fontId="5" type="noConversion"/>
  </si>
  <si>
    <t>2005-07-05</t>
  </si>
  <si>
    <t>디지털 파워메타</t>
    <phoneticPr fontId="5" type="noConversion"/>
  </si>
  <si>
    <t>2005-07-14</t>
  </si>
  <si>
    <t>알파프로텍</t>
    <phoneticPr fontId="5" type="noConversion"/>
  </si>
  <si>
    <t>AL PROFILE</t>
  </si>
  <si>
    <t>2005-07-19</t>
  </si>
  <si>
    <t>BOOK MOLD 금형</t>
    <phoneticPr fontId="5" type="noConversion"/>
  </si>
  <si>
    <t>2005-07-22</t>
  </si>
  <si>
    <t>CURVE TRACER(576)</t>
  </si>
  <si>
    <t>화성종합전자</t>
    <phoneticPr fontId="5" type="noConversion"/>
  </si>
  <si>
    <t>CURVE TRACER(577)</t>
  </si>
  <si>
    <t>OSD-1011 COVER 금형</t>
    <phoneticPr fontId="5" type="noConversion"/>
  </si>
  <si>
    <t>TEST JIG(CELL TEST UNIT)</t>
  </si>
  <si>
    <t>2005-09-14</t>
  </si>
  <si>
    <t>LED COVER 금형(AREA SENSOR용)</t>
    <phoneticPr fontId="5" type="noConversion"/>
  </si>
  <si>
    <t>2005-09-25</t>
  </si>
  <si>
    <t>위너테크</t>
    <phoneticPr fontId="5" type="noConversion"/>
  </si>
  <si>
    <t>LED CAP 금형</t>
    <phoneticPr fontId="5" type="noConversion"/>
  </si>
  <si>
    <t>SIDE COVER 금형</t>
    <phoneticPr fontId="5" type="noConversion"/>
  </si>
  <si>
    <t>PD BOOK MOLD 금형</t>
    <phoneticPr fontId="5" type="noConversion"/>
  </si>
  <si>
    <t>2005-10-24</t>
  </si>
  <si>
    <t>BIO 금형</t>
    <phoneticPr fontId="5" type="noConversion"/>
  </si>
  <si>
    <t>알루미늄케이스금형(26시리즈)</t>
    <phoneticPr fontId="5" type="noConversion"/>
  </si>
  <si>
    <t>예전테크</t>
    <phoneticPr fontId="5" type="noConversion"/>
  </si>
  <si>
    <t>SF-2 CASE 금형(AREA SENSOR용)</t>
    <phoneticPr fontId="5" type="noConversion"/>
  </si>
  <si>
    <t>DIGITAL OSCILLOSCOPE(TDS2012+R5)</t>
  </si>
  <si>
    <t>테크원시스템</t>
    <phoneticPr fontId="5" type="noConversion"/>
  </si>
  <si>
    <t>2005-12-06</t>
  </si>
  <si>
    <t>2005-12-07</t>
  </si>
  <si>
    <t>UV BASE 금형</t>
    <phoneticPr fontId="5" type="noConversion"/>
  </si>
  <si>
    <t>UV COVER 금형</t>
    <phoneticPr fontId="5" type="noConversion"/>
  </si>
  <si>
    <t>UV 투명 COVER 금형</t>
    <phoneticPr fontId="5" type="noConversion"/>
  </si>
  <si>
    <t>20, 30mm CAP HOLDER 금형</t>
    <phoneticPr fontId="5" type="noConversion"/>
  </si>
  <si>
    <t>BOOK MOLD STRUCTURE 금형</t>
    <phoneticPr fontId="5" type="noConversion"/>
  </si>
  <si>
    <t>OGR-205T HOLDER금형</t>
    <phoneticPr fontId="5" type="noConversion"/>
  </si>
  <si>
    <t>신발 테스트 장치 JIG</t>
    <phoneticPr fontId="5" type="noConversion"/>
  </si>
  <si>
    <t>㈜인벤트로닉스</t>
    <phoneticPr fontId="5" type="noConversion"/>
  </si>
  <si>
    <t>2016.06.30 일부 폐기</t>
    <phoneticPr fontId="5" type="noConversion"/>
  </si>
  <si>
    <t>DIGITAL OSCILLOSCOPE(TDS2012)</t>
  </si>
  <si>
    <t>테크원시스템</t>
    <phoneticPr fontId="5" type="noConversion"/>
  </si>
  <si>
    <t>엘리베이터센서 TEST JIG</t>
    <phoneticPr fontId="5" type="noConversion"/>
  </si>
  <si>
    <t>DOOR SENSOR LENS 금형</t>
    <phoneticPr fontId="5" type="noConversion"/>
  </si>
  <si>
    <t>650/651 PACKING TRAY 금형</t>
    <phoneticPr fontId="5" type="noConversion"/>
  </si>
  <si>
    <t>DC POWER SUPPLY</t>
  </si>
  <si>
    <t>디지탈전자</t>
    <phoneticPr fontId="5" type="noConversion"/>
  </si>
  <si>
    <t>HANDERER</t>
  </si>
  <si>
    <t>샤인테크</t>
    <phoneticPr fontId="5" type="noConversion"/>
  </si>
  <si>
    <t>AF-LED BOOK MOLD 금형</t>
    <phoneticPr fontId="5" type="noConversion"/>
  </si>
  <si>
    <t>㈜우리시스템</t>
    <phoneticPr fontId="5" type="noConversion"/>
  </si>
  <si>
    <t>SE-1000-5(SMPS, 5VDC-1000W)</t>
  </si>
  <si>
    <t>㈜에버넷전자</t>
    <phoneticPr fontId="5" type="noConversion"/>
  </si>
  <si>
    <t>OGR-206T CASE 금형</t>
    <phoneticPr fontId="5" type="noConversion"/>
  </si>
  <si>
    <t>위너 TECH</t>
    <phoneticPr fontId="5" type="noConversion"/>
  </si>
  <si>
    <t>OMD-RO1U CASE 금형</t>
    <phoneticPr fontId="5" type="noConversion"/>
  </si>
  <si>
    <t>위너 TECH</t>
    <phoneticPr fontId="5" type="noConversion"/>
  </si>
  <si>
    <t>SE-1000-5, S-100-5(SMPS)</t>
  </si>
  <si>
    <t>방수용 패킹금형</t>
    <phoneticPr fontId="5" type="noConversion"/>
  </si>
  <si>
    <t>신화전자</t>
    <phoneticPr fontId="5" type="noConversion"/>
  </si>
  <si>
    <t>SE-1000-9(SMPS)</t>
  </si>
  <si>
    <t>AF-LED(OL605NNA) BOOK MOLD 금형</t>
    <phoneticPr fontId="5" type="noConversion"/>
  </si>
  <si>
    <t>LDM FUNCTION JIG</t>
  </si>
  <si>
    <t>300*300 CASE 금형</t>
    <phoneticPr fontId="5" type="noConversion"/>
  </si>
  <si>
    <t>16*16 COVER 금형</t>
    <phoneticPr fontId="5" type="noConversion"/>
  </si>
  <si>
    <t>8*8 COVER 금형</t>
    <phoneticPr fontId="5" type="noConversion"/>
  </si>
  <si>
    <t>96mm LDM COVER 금형</t>
    <phoneticPr fontId="5" type="noConversion"/>
  </si>
  <si>
    <t>64mm LDM COVER 금형</t>
    <phoneticPr fontId="5" type="noConversion"/>
  </si>
  <si>
    <t>위너 TECH</t>
    <phoneticPr fontId="5" type="noConversion"/>
  </si>
  <si>
    <t>OL605NNA 금형</t>
    <phoneticPr fontId="5" type="noConversion"/>
  </si>
  <si>
    <t>96mm 모듈 방열판 금형</t>
    <phoneticPr fontId="5" type="noConversion"/>
  </si>
  <si>
    <t>두연산업</t>
    <phoneticPr fontId="5" type="noConversion"/>
  </si>
  <si>
    <t>AF LED 패킹 금형</t>
    <phoneticPr fontId="5" type="noConversion"/>
  </si>
  <si>
    <t>비아이엠티㈜</t>
    <phoneticPr fontId="5" type="noConversion"/>
  </si>
  <si>
    <t>방수 패킹 금형(320,240,200mm)</t>
    <phoneticPr fontId="5" type="noConversion"/>
  </si>
  <si>
    <t>320mm CASE 금형</t>
    <phoneticPr fontId="5" type="noConversion"/>
  </si>
  <si>
    <t>16*16 COVER 320mm 금형</t>
    <phoneticPr fontId="5" type="noConversion"/>
  </si>
  <si>
    <t>240mm CASE 금형</t>
    <phoneticPr fontId="5" type="noConversion"/>
  </si>
  <si>
    <t>16*16 COVER 240mm 금형</t>
    <phoneticPr fontId="5" type="noConversion"/>
  </si>
  <si>
    <t>8*8 COVER 240mm 금형</t>
    <phoneticPr fontId="5" type="noConversion"/>
  </si>
  <si>
    <t>OD30M1 CARRIER TAPE 금형</t>
    <phoneticPr fontId="5" type="noConversion"/>
  </si>
  <si>
    <t>비아이엠티㈜</t>
    <phoneticPr fontId="5" type="noConversion"/>
  </si>
  <si>
    <t>OL605NNA 금형</t>
    <phoneticPr fontId="5" type="noConversion"/>
  </si>
  <si>
    <t>COVER(80*160mm)금형</t>
    <phoneticPr fontId="5" type="noConversion"/>
  </si>
  <si>
    <t>신화전자</t>
    <phoneticPr fontId="5" type="noConversion"/>
  </si>
  <si>
    <t>LDM CASE(200mm) 금형</t>
    <phoneticPr fontId="5" type="noConversion"/>
  </si>
  <si>
    <t>위너TECH</t>
    <phoneticPr fontId="5" type="noConversion"/>
  </si>
  <si>
    <t>LDM COVER(200mm) 금형</t>
    <phoneticPr fontId="5" type="noConversion"/>
  </si>
  <si>
    <t>유입트랜스(100KVA)</t>
    <phoneticPr fontId="5" type="noConversion"/>
  </si>
  <si>
    <t>신일전기상사</t>
    <phoneticPr fontId="5" type="noConversion"/>
  </si>
  <si>
    <t>MICRO PROFILER(온도측정기, UI-301A)</t>
    <phoneticPr fontId="5" type="noConversion"/>
  </si>
  <si>
    <t>SLC SENSOR LENS 금형</t>
    <phoneticPr fontId="5" type="noConversion"/>
  </si>
  <si>
    <t>에이옵틱스</t>
    <phoneticPr fontId="5" type="noConversion"/>
  </si>
  <si>
    <t>AL CASE(001-2520A)압출 금형</t>
    <phoneticPr fontId="5" type="noConversion"/>
  </si>
  <si>
    <t>IR 모듈 쉴드판 금형</t>
    <phoneticPr fontId="5" type="noConversion"/>
  </si>
  <si>
    <t>미래정밀</t>
    <phoneticPr fontId="5" type="noConversion"/>
  </si>
  <si>
    <t>AF LED 금형(CORE PIN(3파이))</t>
    <phoneticPr fontId="5" type="noConversion"/>
  </si>
  <si>
    <t>도어턱 LED 실리콘 패킹 금형</t>
    <phoneticPr fontId="5" type="noConversion"/>
  </si>
  <si>
    <t>도어턱 LED BRACKET 다이캐스팅 금형</t>
    <phoneticPr fontId="5" type="noConversion"/>
  </si>
  <si>
    <t>상월정밀</t>
    <phoneticPr fontId="5" type="noConversion"/>
  </si>
  <si>
    <t>현미경(SZ51)</t>
    <phoneticPr fontId="5" type="noConversion"/>
  </si>
  <si>
    <t>웨스텍</t>
    <phoneticPr fontId="5" type="noConversion"/>
  </si>
  <si>
    <t>OVEN(OF-22-GW)</t>
  </si>
  <si>
    <t>MLF BOOK MOLD 금형</t>
    <phoneticPr fontId="5" type="noConversion"/>
  </si>
  <si>
    <t>120MM LDM COVER 금형</t>
    <phoneticPr fontId="5" type="noConversion"/>
  </si>
  <si>
    <t>OP20NF CARRIER TAPE 금형</t>
    <phoneticPr fontId="5" type="noConversion"/>
  </si>
  <si>
    <t>신우전자</t>
    <phoneticPr fontId="5" type="noConversion"/>
  </si>
  <si>
    <t>디지털 멀티메타(KEITHLEY 2000)</t>
    <phoneticPr fontId="5" type="noConversion"/>
  </si>
  <si>
    <t>스트로보스코프</t>
    <phoneticPr fontId="5" type="noConversion"/>
  </si>
  <si>
    <t>㈜테크원시스템</t>
    <phoneticPr fontId="5" type="noConversion"/>
  </si>
  <si>
    <t>디지털 멀티메타(KEITHLEY 2000)</t>
    <phoneticPr fontId="5" type="noConversion"/>
  </si>
  <si>
    <t>SLC SENSOR 패킹금형</t>
    <phoneticPr fontId="5" type="noConversion"/>
  </si>
  <si>
    <t>SLC SENSOR SIDE BRACKET금형</t>
    <phoneticPr fontId="5" type="noConversion"/>
  </si>
  <si>
    <t>HID-004 SHIELD PANNEL 금형</t>
    <phoneticPr fontId="5" type="noConversion"/>
  </si>
  <si>
    <t>BOOK MOLD DIE 금형(8 CAVITIES)</t>
    <phoneticPr fontId="5" type="noConversion"/>
  </si>
  <si>
    <t>SSE-700 쉴드판 금형</t>
    <phoneticPr fontId="5" type="noConversion"/>
  </si>
  <si>
    <t>DIGITAL OSCILLOSCOPE(DPO3012)</t>
  </si>
  <si>
    <t>SOURCE METER(KEITHLEY2612)</t>
  </si>
  <si>
    <t>BD SLIM PDIC PKG MOLD 금형</t>
    <phoneticPr fontId="5" type="noConversion"/>
  </si>
  <si>
    <t>FUNCTION GENERATOR(AFG3021B)</t>
  </si>
  <si>
    <t>LCR METER(ZM2353)</t>
  </si>
  <si>
    <t>DIGITAL OSCILLOSCOPE(DP3034)</t>
  </si>
  <si>
    <t>BD SLIM PDIC MOLD 금형</t>
    <phoneticPr fontId="5" type="noConversion"/>
  </si>
  <si>
    <t>UV조사기</t>
    <phoneticPr fontId="5" type="noConversion"/>
  </si>
  <si>
    <t>흡착식 에어드라이(HL100K)</t>
    <phoneticPr fontId="5" type="noConversion"/>
  </si>
  <si>
    <t>MEASUREMENT SCOPE</t>
  </si>
  <si>
    <t>파워텍</t>
    <phoneticPr fontId="5" type="noConversion"/>
  </si>
  <si>
    <t>VISION SYSTEM</t>
  </si>
  <si>
    <t>PM SENSOR 소자 BOOK MOLD 금형</t>
    <phoneticPr fontId="5" type="noConversion"/>
  </si>
  <si>
    <t>OVEN(건열멸균기 VS-1202D3-150)</t>
    <phoneticPr fontId="5" type="noConversion"/>
  </si>
  <si>
    <t>비전과학</t>
    <phoneticPr fontId="5" type="noConversion"/>
  </si>
  <si>
    <t>CURVE TRACER(KIHUSUI 5802)</t>
  </si>
  <si>
    <t>㈜엠아이티</t>
    <phoneticPr fontId="5" type="noConversion"/>
  </si>
  <si>
    <t>금형(PDIC용 BOOK MOLD)</t>
    <phoneticPr fontId="5" type="noConversion"/>
  </si>
  <si>
    <t>계측기(DDM/KEITHLEY 2000)</t>
    <phoneticPr fontId="5" type="noConversion"/>
  </si>
  <si>
    <t>ION CHAMBER(WT-0500)</t>
  </si>
  <si>
    <t>스타시스코리아</t>
    <phoneticPr fontId="5" type="noConversion"/>
  </si>
  <si>
    <t>REMOVE VOLTAGE SENSOR(RVS3370)</t>
  </si>
  <si>
    <t>스타시스코리아</t>
    <phoneticPr fontId="5" type="noConversion"/>
  </si>
  <si>
    <t>정전기 측정기(287-CPM)</t>
    <phoneticPr fontId="5" type="noConversion"/>
  </si>
  <si>
    <t>CURE OVEN(CK-250C-9L)</t>
  </si>
  <si>
    <t>PM SENSOR 이증사출 금형</t>
    <phoneticPr fontId="5" type="noConversion"/>
  </si>
  <si>
    <t>하나몰드</t>
    <phoneticPr fontId="5" type="noConversion"/>
  </si>
  <si>
    <t>PM SENSOR 다대사출 금형</t>
    <phoneticPr fontId="5" type="noConversion"/>
  </si>
  <si>
    <t>주식회사 엠아이티</t>
    <phoneticPr fontId="5" type="noConversion"/>
  </si>
  <si>
    <t>금형 COVER(96MM)</t>
    <phoneticPr fontId="5" type="noConversion"/>
  </si>
  <si>
    <t>국제산업</t>
    <phoneticPr fontId="5" type="noConversion"/>
  </si>
  <si>
    <t>금형(THISTLE TRAY)</t>
    <phoneticPr fontId="5" type="noConversion"/>
  </si>
  <si>
    <t>부광하이텍㈜</t>
    <phoneticPr fontId="5" type="noConversion"/>
  </si>
  <si>
    <t>표면저항측정기(METRISO 2000)</t>
    <phoneticPr fontId="5" type="noConversion"/>
  </si>
  <si>
    <t>금형(SILICON PACKING A+B)</t>
    <phoneticPr fontId="5" type="noConversion"/>
  </si>
  <si>
    <t>금형(OP30TS, 45STRIP MOLD DIE)</t>
    <phoneticPr fontId="5" type="noConversion"/>
  </si>
  <si>
    <t>덤웨이터(650*650*500)</t>
    <phoneticPr fontId="5" type="noConversion"/>
  </si>
  <si>
    <t>콜 엘리베이터</t>
    <phoneticPr fontId="5" type="noConversion"/>
  </si>
  <si>
    <t>냉동고(KF-601F)</t>
    <phoneticPr fontId="5" type="noConversion"/>
  </si>
  <si>
    <t>가전나라</t>
    <phoneticPr fontId="5" type="noConversion"/>
  </si>
  <si>
    <t>금형(SIDE COVER A-1+B)</t>
    <phoneticPr fontId="5" type="noConversion"/>
  </si>
  <si>
    <t>태우</t>
    <phoneticPr fontId="5" type="noConversion"/>
  </si>
  <si>
    <t>금형(SIDE COVER A-2)</t>
    <phoneticPr fontId="5" type="noConversion"/>
  </si>
  <si>
    <t>VINS-Q PCB CUTTING금형</t>
    <phoneticPr fontId="5" type="noConversion"/>
  </si>
  <si>
    <t>엠지엔지니어링</t>
    <phoneticPr fontId="5" type="noConversion"/>
  </si>
  <si>
    <t>PM센서 MAIN CASE 금형</t>
    <phoneticPr fontId="5" type="noConversion"/>
  </si>
  <si>
    <t>PM센서 INNER CASE 금형</t>
    <phoneticPr fontId="5" type="noConversion"/>
  </si>
  <si>
    <t>PM센서 REAR COVER 금형</t>
    <phoneticPr fontId="5" type="noConversion"/>
  </si>
  <si>
    <t>SHOE TESTER(SK-PGT-120)</t>
  </si>
  <si>
    <t>POWER SUPPLY(UP-1503)</t>
  </si>
  <si>
    <t>냉동고(DY-170F,1900*800*1830(라셀르))</t>
    <phoneticPr fontId="5" type="noConversion"/>
  </si>
  <si>
    <t>전일주방</t>
    <phoneticPr fontId="5" type="noConversion"/>
  </si>
  <si>
    <t>몰드</t>
    <phoneticPr fontId="5" type="noConversion"/>
  </si>
  <si>
    <t>금형(면발광 BODY COVER)</t>
    <phoneticPr fontId="5" type="noConversion"/>
  </si>
  <si>
    <t>석진엔지니어링</t>
    <phoneticPr fontId="5" type="noConversion"/>
  </si>
  <si>
    <t>호남광역경제권선도산업</t>
    <phoneticPr fontId="5" type="noConversion"/>
  </si>
  <si>
    <t>금형(면발광 FRONT COVER)</t>
    <phoneticPr fontId="5" type="noConversion"/>
  </si>
  <si>
    <t>석진엔지니어링</t>
    <phoneticPr fontId="5" type="noConversion"/>
  </si>
  <si>
    <t>금형(면발광 LENS COVER)</t>
    <phoneticPr fontId="5" type="noConversion"/>
  </si>
  <si>
    <t>금형(고무금형 SIDE)</t>
    <phoneticPr fontId="5" type="noConversion"/>
  </si>
  <si>
    <t>금형(고무금형 BACK)</t>
    <phoneticPr fontId="5" type="noConversion"/>
  </si>
  <si>
    <t>금형(분리형 인터럽터 HOUSING)</t>
    <phoneticPr fontId="5" type="noConversion"/>
  </si>
  <si>
    <t>금형(분리형 인터럽터 COVER)</t>
    <phoneticPr fontId="5" type="noConversion"/>
  </si>
  <si>
    <t>2Chamber Oven(CV-250BD)</t>
  </si>
  <si>
    <t>금형(SOAB0602 BOOK MOLD)</t>
    <phoneticPr fontId="5" type="noConversion"/>
  </si>
  <si>
    <t>MICROSCOPE(MS-6745Z10)</t>
  </si>
  <si>
    <t>금형(TEL PKG BOOK MOLD)</t>
    <phoneticPr fontId="5" type="noConversion"/>
  </si>
  <si>
    <t>금형(엔코더용LED Module I/H)</t>
    <phoneticPr fontId="5" type="noConversion"/>
  </si>
  <si>
    <t>전자저울</t>
    <phoneticPr fontId="5" type="noConversion"/>
  </si>
  <si>
    <t>카스정밀기기</t>
    <phoneticPr fontId="5" type="noConversion"/>
  </si>
  <si>
    <t>자재창고</t>
    <phoneticPr fontId="5" type="noConversion"/>
  </si>
  <si>
    <t>카스정밀기기</t>
    <phoneticPr fontId="5" type="noConversion"/>
  </si>
  <si>
    <t>금형(엔코더용LED Module Lens)</t>
    <phoneticPr fontId="5" type="noConversion"/>
  </si>
  <si>
    <t>옵틱스앤라이팅솔루션</t>
    <phoneticPr fontId="5" type="noConversion"/>
  </si>
  <si>
    <t>Reflective Pinterrupter Book Mold금형</t>
    <phoneticPr fontId="5" type="noConversion"/>
  </si>
  <si>
    <t>현미경(MS-6745Z10)</t>
    <phoneticPr fontId="5" type="noConversion"/>
  </si>
  <si>
    <t>엠아이티</t>
    <phoneticPr fontId="5" type="noConversion"/>
  </si>
  <si>
    <t>MOLD</t>
  </si>
  <si>
    <t>분광보조계</t>
    <phoneticPr fontId="5" type="noConversion"/>
  </si>
  <si>
    <t>26*1100*22 압출금형</t>
    <phoneticPr fontId="5" type="noConversion"/>
  </si>
  <si>
    <t>고형정 BRACKET 압출금형</t>
    <phoneticPr fontId="5" type="noConversion"/>
  </si>
  <si>
    <t>26*1100*WD 금형</t>
    <phoneticPr fontId="5" type="noConversion"/>
  </si>
  <si>
    <t>금형(하리드검출기 CAP)</t>
    <phoneticPr fontId="5" type="noConversion"/>
  </si>
  <si>
    <t>구매조건부과제</t>
    <phoneticPr fontId="5" type="noConversion"/>
  </si>
  <si>
    <t xml:space="preserve">OVEN(OF-22GW) </t>
  </si>
  <si>
    <t>금형(하리드검출기 BODY STEM)</t>
    <phoneticPr fontId="5" type="noConversion"/>
  </si>
  <si>
    <t>투과율측정기</t>
    <phoneticPr fontId="5" type="noConversion"/>
  </si>
  <si>
    <t>광성정밀</t>
    <phoneticPr fontId="5" type="noConversion"/>
  </si>
  <si>
    <t>COB TRAY 금형</t>
    <phoneticPr fontId="5" type="noConversion"/>
  </si>
  <si>
    <t>30W RUBBER 금형</t>
    <phoneticPr fontId="5" type="noConversion"/>
  </si>
  <si>
    <t>영진고무</t>
    <phoneticPr fontId="5" type="noConversion"/>
  </si>
  <si>
    <t>LED개발</t>
    <phoneticPr fontId="5" type="noConversion"/>
  </si>
  <si>
    <t>30W 케이블 방수실리콘 금형</t>
    <phoneticPr fontId="5" type="noConversion"/>
  </si>
  <si>
    <t>OVEN(EN-CV-230AD)</t>
  </si>
  <si>
    <t>조이통상㈜</t>
    <phoneticPr fontId="5" type="noConversion"/>
  </si>
  <si>
    <t>SIDE BRACKET-L,R 금형</t>
    <phoneticPr fontId="5" type="noConversion"/>
  </si>
  <si>
    <t>JBTP과제 개발용 금형(SIDE CAP_310*80)</t>
    <phoneticPr fontId="5" type="noConversion"/>
  </si>
  <si>
    <t>한국크린알미늄</t>
    <phoneticPr fontId="5" type="noConversion"/>
  </si>
  <si>
    <t>SPECTRAMETER(산소센서)</t>
    <phoneticPr fontId="5" type="noConversion"/>
  </si>
  <si>
    <t>윈우시스테즈</t>
    <phoneticPr fontId="5" type="noConversion"/>
  </si>
  <si>
    <r>
      <t>P</t>
    </r>
    <r>
      <rPr>
        <sz val="8"/>
        <color indexed="8"/>
        <rFont val="맑은 고딕"/>
        <family val="3"/>
        <charset val="129"/>
      </rPr>
      <t>ROJECT LED TRAY 금형</t>
    </r>
    <phoneticPr fontId="5" type="noConversion"/>
  </si>
  <si>
    <t>금형(SIDE COVER A 몰딩_CASE C)</t>
    <phoneticPr fontId="5" type="noConversion"/>
  </si>
  <si>
    <t>유일금형</t>
    <phoneticPr fontId="5" type="noConversion"/>
  </si>
  <si>
    <t>금형(SIDE COVER A 몰딩_CASE B)</t>
    <phoneticPr fontId="5" type="noConversion"/>
  </si>
  <si>
    <r>
      <t>M</t>
    </r>
    <r>
      <rPr>
        <sz val="8"/>
        <color indexed="8"/>
        <rFont val="맑은 고딕"/>
        <family val="3"/>
        <charset val="129"/>
      </rPr>
      <t>SD3108 1차 몰드</t>
    </r>
    <phoneticPr fontId="5" type="noConversion"/>
  </si>
  <si>
    <r>
      <t>M</t>
    </r>
    <r>
      <rPr>
        <sz val="8"/>
        <color indexed="8"/>
        <rFont val="맑은 고딕"/>
        <family val="3"/>
        <charset val="129"/>
      </rPr>
      <t>SD3108 2차 몰드</t>
    </r>
    <phoneticPr fontId="5" type="noConversion"/>
  </si>
  <si>
    <r>
      <t>S</t>
    </r>
    <r>
      <rPr>
        <sz val="8"/>
        <color indexed="8"/>
        <rFont val="맑은 고딕"/>
        <family val="3"/>
        <charset val="129"/>
      </rPr>
      <t>IDE COVER B_B+B 금형</t>
    </r>
    <phoneticPr fontId="5" type="noConversion"/>
  </si>
  <si>
    <r>
      <t>S</t>
    </r>
    <r>
      <rPr>
        <sz val="8"/>
        <color indexed="8"/>
        <rFont val="맑은 고딕"/>
        <family val="3"/>
        <charset val="129"/>
      </rPr>
      <t>IDE COVER A, B_A+B 금형</t>
    </r>
    <phoneticPr fontId="5" type="noConversion"/>
  </si>
  <si>
    <r>
      <t>S</t>
    </r>
    <r>
      <rPr>
        <sz val="8"/>
        <color indexed="8"/>
        <rFont val="맑은 고딕"/>
        <family val="3"/>
        <charset val="129"/>
      </rPr>
      <t>IDE COVER A,B_A+B 금형</t>
    </r>
    <phoneticPr fontId="5" type="noConversion"/>
  </si>
  <si>
    <t>EMC 냉동고</t>
    <phoneticPr fontId="5" type="noConversion"/>
  </si>
  <si>
    <t>목형금형(PM SENSOR CASE K형)</t>
    <phoneticPr fontId="5" type="noConversion"/>
  </si>
  <si>
    <t>목형금형(PM SENSOR CASE R/S형)</t>
    <phoneticPr fontId="5" type="noConversion"/>
  </si>
  <si>
    <t>목형금형(PM SENSOR CASE L/H형)</t>
    <phoneticPr fontId="5" type="noConversion"/>
  </si>
  <si>
    <t>목형금형(PM SENSOR INNER CASE 22-44형)</t>
    <phoneticPr fontId="5" type="noConversion"/>
  </si>
  <si>
    <t>목형금형(PM SENSOR REAR COVER L/H형)</t>
    <phoneticPr fontId="5" type="noConversion"/>
  </si>
  <si>
    <t>METAL PCB 금형</t>
    <phoneticPr fontId="5" type="noConversion"/>
  </si>
  <si>
    <t>동화아이엔디㈜</t>
    <phoneticPr fontId="5" type="noConversion"/>
  </si>
  <si>
    <t>3528 WHITE BULT TRAY 금형</t>
    <phoneticPr fontId="5" type="noConversion"/>
  </si>
  <si>
    <t>가시광 FILTER 금형</t>
    <phoneticPr fontId="5" type="noConversion"/>
  </si>
  <si>
    <r>
      <t>매각(동희산업</t>
    </r>
    <r>
      <rPr>
        <sz val="9"/>
        <color indexed="8"/>
        <rFont val="맑은 고딕"/>
        <family val="3"/>
        <charset val="129"/>
      </rPr>
      <t>)</t>
    </r>
    <phoneticPr fontId="5" type="noConversion"/>
  </si>
  <si>
    <t>casco C6 TRAY 금형</t>
    <phoneticPr fontId="5" type="noConversion"/>
  </si>
  <si>
    <t>프린터센서 컨벤셜 MOLD 금형</t>
    <phoneticPr fontId="5" type="noConversion"/>
  </si>
  <si>
    <t>프린터센서 TRIM &amp; FORM 금형</t>
    <phoneticPr fontId="5" type="noConversion"/>
  </si>
  <si>
    <t>프린터센서 L/F 스탬핑 금형</t>
    <phoneticPr fontId="5" type="noConversion"/>
  </si>
  <si>
    <t>세기정밀</t>
    <phoneticPr fontId="5" type="noConversion"/>
  </si>
  <si>
    <t>OVEN(VACUUM/28L)</t>
  </si>
  <si>
    <t>제이오텍</t>
    <phoneticPr fontId="5" type="noConversion"/>
  </si>
  <si>
    <t>컷팅기(MS-20) 외</t>
    <phoneticPr fontId="5" type="noConversion"/>
  </si>
  <si>
    <t>한국본코트</t>
    <phoneticPr fontId="5" type="noConversion"/>
  </si>
  <si>
    <t>금형(OGR301P TRAY)</t>
    <phoneticPr fontId="5" type="noConversion"/>
  </si>
  <si>
    <t>금형(OHL395TPC TRAY)</t>
    <phoneticPr fontId="5" type="noConversion"/>
  </si>
  <si>
    <t>부광하이텍</t>
    <phoneticPr fontId="5" type="noConversion"/>
  </si>
  <si>
    <t>현미경(MS-6745Z10)</t>
    <phoneticPr fontId="5" type="noConversion"/>
  </si>
  <si>
    <t>2CH SENSOR MOLD 금형</t>
    <phoneticPr fontId="5" type="noConversion"/>
  </si>
  <si>
    <t>OL85GPPA LENS 금형</t>
    <phoneticPr fontId="5" type="noConversion"/>
  </si>
  <si>
    <t>MOLD 현미경(MS-6745Z10)</t>
    <phoneticPr fontId="5" type="noConversion"/>
  </si>
  <si>
    <t>OPI210GP TRAY 금형</t>
    <phoneticPr fontId="5" type="noConversion"/>
  </si>
  <si>
    <t>분리형 인터럽터 금형</t>
    <phoneticPr fontId="5" type="noConversion"/>
  </si>
  <si>
    <t>신화테크</t>
    <phoneticPr fontId="5" type="noConversion"/>
  </si>
  <si>
    <t>테스트링크</t>
    <phoneticPr fontId="5" type="noConversion"/>
  </si>
  <si>
    <t>분리형 인터럽터 MOLD CHASE 금형</t>
    <phoneticPr fontId="5" type="noConversion"/>
  </si>
  <si>
    <t>TO-4 패킹 TARY 금형</t>
    <phoneticPr fontId="5" type="noConversion"/>
  </si>
  <si>
    <t>VISIVLE LED 금형</t>
    <phoneticPr fontId="5" type="noConversion"/>
  </si>
  <si>
    <t>PM SENSOR용 TMLE 금형</t>
    <phoneticPr fontId="5" type="noConversion"/>
  </si>
  <si>
    <t>PM SENSOR용 TMLE L/F STAMPING 금형</t>
    <phoneticPr fontId="5" type="noConversion"/>
  </si>
  <si>
    <t>패킹트레이 금형(소)</t>
    <phoneticPr fontId="5" type="noConversion"/>
  </si>
  <si>
    <t>패킹트레이 금형(대)</t>
    <phoneticPr fontId="5" type="noConversion"/>
  </si>
  <si>
    <t>TEST FIXTURE</t>
  </si>
  <si>
    <t>엘펙</t>
    <phoneticPr fontId="5" type="noConversion"/>
  </si>
  <si>
    <t>METAL GUIDE OLxxF-550 금형</t>
    <phoneticPr fontId="5" type="noConversion"/>
  </si>
  <si>
    <t>거성정밀</t>
    <phoneticPr fontId="5" type="noConversion"/>
  </si>
  <si>
    <t>METAL GUIDE OLxxF-1500 금형</t>
    <phoneticPr fontId="5" type="noConversion"/>
  </si>
  <si>
    <t>거성정밀</t>
    <phoneticPr fontId="5" type="noConversion"/>
  </si>
  <si>
    <t>P1 TRIM 금형</t>
    <phoneticPr fontId="5" type="noConversion"/>
  </si>
  <si>
    <t>먼지센서 커버 금형</t>
    <phoneticPr fontId="5" type="noConversion"/>
  </si>
  <si>
    <t>케이태우</t>
    <phoneticPr fontId="5" type="noConversion"/>
  </si>
  <si>
    <r>
      <t>W</t>
    </r>
    <r>
      <rPr>
        <sz val="9"/>
        <color indexed="8"/>
        <rFont val="맑은 고딕"/>
        <family val="3"/>
        <charset val="129"/>
      </rPr>
      <t>C300</t>
    </r>
  </si>
  <si>
    <t>먼지센서 케이스 금형</t>
    <phoneticPr fontId="5" type="noConversion"/>
  </si>
  <si>
    <t>케이태우</t>
    <phoneticPr fontId="5" type="noConversion"/>
  </si>
  <si>
    <t>먼지센서 렌즈 금형</t>
    <phoneticPr fontId="5" type="noConversion"/>
  </si>
  <si>
    <t>현미경</t>
    <phoneticPr fontId="5" type="noConversion"/>
  </si>
  <si>
    <t>고배율 현미경</t>
    <phoneticPr fontId="5" type="noConversion"/>
  </si>
  <si>
    <t>더블유텍</t>
    <phoneticPr fontId="5" type="noConversion"/>
  </si>
  <si>
    <t>비연치료기 메인프레임 금형</t>
    <phoneticPr fontId="5" type="noConversion"/>
  </si>
  <si>
    <t>비염치료기 램프바디 금형</t>
    <phoneticPr fontId="5" type="noConversion"/>
  </si>
  <si>
    <t>전동리프트</t>
    <phoneticPr fontId="5" type="noConversion"/>
  </si>
  <si>
    <t>태진 ENG</t>
    <phoneticPr fontId="5" type="noConversion"/>
  </si>
  <si>
    <t>초소형센서 OPTICAL COVER 금형</t>
    <phoneticPr fontId="5" type="noConversion"/>
  </si>
  <si>
    <t>PROBE STATION(PE4-4SB)</t>
  </si>
  <si>
    <t>모두시스템즈</t>
    <phoneticPr fontId="5" type="noConversion"/>
  </si>
  <si>
    <t>WC300(품질)</t>
    <phoneticPr fontId="5" type="noConversion"/>
  </si>
  <si>
    <t>PSD센서 하우징 MOCK_UP 금형</t>
    <phoneticPr fontId="5" type="noConversion"/>
  </si>
  <si>
    <t>WC300</t>
  </si>
  <si>
    <t>가스센서 PKG MOCK-UP 금형</t>
    <phoneticPr fontId="5" type="noConversion"/>
  </si>
  <si>
    <t>센서산업고도화</t>
    <phoneticPr fontId="5" type="noConversion"/>
  </si>
  <si>
    <t>만빙센서 HOUSING 금형</t>
    <phoneticPr fontId="5" type="noConversion"/>
  </si>
  <si>
    <t>D4 METAL GUIDE 금형</t>
    <phoneticPr fontId="5" type="noConversion"/>
  </si>
  <si>
    <t>썬로드소자_Trim/Form 금형</t>
    <phoneticPr fontId="5" type="noConversion"/>
  </si>
  <si>
    <t>PD TYPE BOOK MOLD 금형</t>
    <phoneticPr fontId="5" type="noConversion"/>
  </si>
  <si>
    <t>미크로정공</t>
    <phoneticPr fontId="5" type="noConversion"/>
  </si>
  <si>
    <t>금형(버블센서)</t>
    <phoneticPr fontId="5" type="noConversion"/>
  </si>
  <si>
    <t>DIGITAL POWER METER(IT9121)</t>
  </si>
  <si>
    <t>아이텍일렉트로닉스</t>
    <phoneticPr fontId="5" type="noConversion"/>
  </si>
  <si>
    <t>금형(CONVENTIONAL/SPO2용)</t>
    <phoneticPr fontId="5" type="noConversion"/>
  </si>
  <si>
    <t>금형(SUNLOAD SENSOR HOUSING)</t>
  </si>
  <si>
    <t>케이태우</t>
  </si>
  <si>
    <t>월드클래스300</t>
  </si>
  <si>
    <t>금형(OTI002AM BTM CAVITY BLOCK)</t>
  </si>
  <si>
    <t>인텍</t>
  </si>
  <si>
    <t>TESTER(인터럽터용)</t>
  </si>
  <si>
    <t>엘펙</t>
  </si>
  <si>
    <t>TESTER(일체형 인터럽터/PXI)</t>
  </si>
  <si>
    <t>금형(30CM PSD센서용 렌즈)</t>
  </si>
  <si>
    <t>나노아이텍</t>
  </si>
  <si>
    <t>금형(분리형인터럽터 렌즈)</t>
  </si>
  <si>
    <t>에이지광학</t>
  </si>
  <si>
    <t>금형(썬로드센서 렌즈)</t>
  </si>
  <si>
    <t>TESTER(PSD센서 거리측정용)</t>
  </si>
  <si>
    <t>WAVEFORM GENERATOR</t>
  </si>
  <si>
    <t>더블유텍</t>
  </si>
  <si>
    <t>먼지센서 소자 TRIM TOOL</t>
  </si>
  <si>
    <t>부광하이텍</t>
  </si>
  <si>
    <t>금형(먼지센서 LEAD FRAME)</t>
  </si>
  <si>
    <t>거성정밀</t>
  </si>
  <si>
    <t>금형(T-CASE 사출)</t>
  </si>
  <si>
    <t>씨케이티</t>
  </si>
  <si>
    <t>금형(B COVER 사출)</t>
    <phoneticPr fontId="19" type="noConversion"/>
  </si>
  <si>
    <t>금형(MOLDING 사출)</t>
    <phoneticPr fontId="19" type="noConversion"/>
  </si>
  <si>
    <t>금형(일체형인터럽터)</t>
  </si>
  <si>
    <t>合    計</t>
    <phoneticPr fontId="5" type="noConversion"/>
  </si>
  <si>
    <t>자   산   명</t>
    <phoneticPr fontId="5" type="noConversion"/>
  </si>
  <si>
    <t>당기증감</t>
    <phoneticPr fontId="5" type="noConversion"/>
  </si>
  <si>
    <t>전기말상각누계액</t>
    <phoneticPr fontId="5" type="noConversion"/>
  </si>
  <si>
    <t>당기상각대상금액</t>
    <phoneticPr fontId="5" type="noConversion"/>
  </si>
  <si>
    <t>당기상각비</t>
    <phoneticPr fontId="5" type="noConversion"/>
  </si>
  <si>
    <t>당기말상각누계액</t>
    <phoneticPr fontId="5" type="noConversion"/>
  </si>
  <si>
    <t>비 고</t>
    <phoneticPr fontId="5" type="noConversion"/>
  </si>
  <si>
    <t>잔존가\1,000</t>
    <phoneticPr fontId="5" type="noConversion"/>
  </si>
  <si>
    <t>당기상각</t>
    <phoneticPr fontId="5" type="noConversion"/>
  </si>
  <si>
    <t>4분기상각</t>
    <phoneticPr fontId="5" type="noConversion"/>
  </si>
  <si>
    <t>차이</t>
    <phoneticPr fontId="5" type="noConversion"/>
  </si>
  <si>
    <t>MANUALPROBE</t>
  </si>
  <si>
    <t>용기초고</t>
    <phoneticPr fontId="5" type="noConversion"/>
  </si>
  <si>
    <t>FD-600M</t>
  </si>
  <si>
    <t>FLATFINDER</t>
  </si>
  <si>
    <t>PROBER</t>
  </si>
  <si>
    <t>PROBER20009</t>
  </si>
  <si>
    <t>TEL 19SPROBER</t>
  </si>
  <si>
    <t>PHOTOMASK</t>
  </si>
  <si>
    <t>마이크로게이지</t>
    <phoneticPr fontId="5" type="noConversion"/>
  </si>
  <si>
    <t>PH측정기</t>
    <phoneticPr fontId="5" type="noConversion"/>
  </si>
  <si>
    <t>필름</t>
    <phoneticPr fontId="5" type="noConversion"/>
  </si>
  <si>
    <t>SICHIPTRAY</t>
  </si>
  <si>
    <t>히트펌프식에어컨</t>
    <phoneticPr fontId="5" type="noConversion"/>
  </si>
  <si>
    <t>RAPIDBAKING</t>
  </si>
  <si>
    <t>SSCHIPTRAY</t>
  </si>
  <si>
    <t>TEL 193장비</t>
    <phoneticPr fontId="5" type="noConversion"/>
  </si>
  <si>
    <t>TESTER(MT-2000AM)</t>
  </si>
  <si>
    <t>메타멜</t>
    <phoneticPr fontId="5" type="noConversion"/>
  </si>
  <si>
    <t>AUTOTEL 19SPROBER</t>
  </si>
  <si>
    <t>가수온수기</t>
    <phoneticPr fontId="5" type="noConversion"/>
  </si>
  <si>
    <t>대성상사</t>
    <phoneticPr fontId="5" type="noConversion"/>
  </si>
  <si>
    <t>PICO AMMETER(계측기)</t>
    <phoneticPr fontId="5" type="noConversion"/>
  </si>
  <si>
    <t>서부정밀기기</t>
    <phoneticPr fontId="5" type="noConversion"/>
  </si>
  <si>
    <t>MSD 013A(MOTOR LONTH01)</t>
  </si>
  <si>
    <t>영일전업</t>
    <phoneticPr fontId="5" type="noConversion"/>
  </si>
  <si>
    <t>D.C MOTOR</t>
  </si>
  <si>
    <t>퓨리셈</t>
    <phoneticPr fontId="5" type="noConversion"/>
  </si>
  <si>
    <t>DAD522 MIC OVER IIAUL</t>
  </si>
  <si>
    <t>디아이</t>
    <phoneticPr fontId="5" type="noConversion"/>
  </si>
  <si>
    <t>씨에스전자</t>
    <phoneticPr fontId="5" type="noConversion"/>
  </si>
  <si>
    <t>SS CHIP TRAY 금형(350*550)</t>
    <phoneticPr fontId="5" type="noConversion"/>
  </si>
  <si>
    <t>위너TECH</t>
    <phoneticPr fontId="5" type="noConversion"/>
  </si>
  <si>
    <t>표면온도계</t>
    <phoneticPr fontId="5" type="noConversion"/>
  </si>
  <si>
    <t>삼원계측기상사</t>
    <phoneticPr fontId="5" type="noConversion"/>
  </si>
  <si>
    <t>듀폰포토마스크</t>
    <phoneticPr fontId="5" type="noConversion"/>
  </si>
  <si>
    <t>듀폰포토마스크</t>
    <phoneticPr fontId="5" type="noConversion"/>
  </si>
  <si>
    <t>마이크로이미지</t>
    <phoneticPr fontId="5" type="noConversion"/>
  </si>
  <si>
    <t>2004-01-31</t>
  </si>
  <si>
    <t>마이크로이미지</t>
    <phoneticPr fontId="5" type="noConversion"/>
  </si>
  <si>
    <t>2004-02-11</t>
  </si>
  <si>
    <t>마이크로이미지</t>
    <phoneticPr fontId="5" type="noConversion"/>
  </si>
  <si>
    <t>진공게이지</t>
    <phoneticPr fontId="5" type="noConversion"/>
  </si>
  <si>
    <t>2004-02-19</t>
  </si>
  <si>
    <t>퓨마테크</t>
    <phoneticPr fontId="5" type="noConversion"/>
  </si>
  <si>
    <t>2004-03-31</t>
  </si>
  <si>
    <t>SAW TAPE MOUNT DIE</t>
  </si>
  <si>
    <t>2004-04-19</t>
  </si>
  <si>
    <t>조은테크놀로지</t>
    <phoneticPr fontId="5" type="noConversion"/>
  </si>
  <si>
    <t>WET STATION</t>
  </si>
  <si>
    <t>2004-05-18</t>
  </si>
  <si>
    <t>럭키PVCPP제작소</t>
    <phoneticPr fontId="5" type="noConversion"/>
  </si>
  <si>
    <t>AIR GUN CAGN</t>
  </si>
  <si>
    <t>오디쎄미</t>
    <phoneticPr fontId="5" type="noConversion"/>
  </si>
  <si>
    <t>SAW RING</t>
  </si>
  <si>
    <t>내일시스템㈜</t>
    <phoneticPr fontId="5" type="noConversion"/>
  </si>
  <si>
    <t>SAW CASSTTE</t>
  </si>
  <si>
    <t>내일시스템㈜</t>
    <phoneticPr fontId="5" type="noConversion"/>
  </si>
  <si>
    <t>듀폰포토마스크</t>
    <phoneticPr fontId="5" type="noConversion"/>
  </si>
  <si>
    <t>2004-07-23</t>
  </si>
  <si>
    <t>BALANCE 333-13</t>
  </si>
  <si>
    <t>2004-07-26</t>
  </si>
  <si>
    <t>오디쎄미</t>
    <phoneticPr fontId="5" type="noConversion"/>
  </si>
  <si>
    <t>DESICCATOR SND-1</t>
  </si>
  <si>
    <t>2004-07-31</t>
  </si>
  <si>
    <t>ZD-SUB CHIP TRAY금형</t>
    <phoneticPr fontId="5" type="noConversion"/>
  </si>
  <si>
    <t>JCS HI-TECHNOLOGY</t>
  </si>
  <si>
    <t>오븐용 드라이 JIG Z</t>
    <phoneticPr fontId="5" type="noConversion"/>
  </si>
  <si>
    <t>2004-10-30</t>
  </si>
  <si>
    <t>오븐용 드라이 JIG</t>
    <phoneticPr fontId="5" type="noConversion"/>
  </si>
  <si>
    <t>2004-11-08</t>
  </si>
  <si>
    <t>2004-11-09</t>
  </si>
  <si>
    <t>PH METER</t>
  </si>
  <si>
    <t>2004-11-23</t>
  </si>
  <si>
    <t>세창인스트루먼트</t>
    <phoneticPr fontId="5" type="noConversion"/>
  </si>
  <si>
    <t>비접촉식 디지털 타코메타</t>
    <phoneticPr fontId="5" type="noConversion"/>
  </si>
  <si>
    <t>오븐용 건조 JIG</t>
    <phoneticPr fontId="5" type="noConversion"/>
  </si>
  <si>
    <t>2004-12-04</t>
  </si>
  <si>
    <t>TAPC REMOVE JIG(2INCH)</t>
  </si>
  <si>
    <t>TAPC REMOVE JIG(5INCH)</t>
  </si>
  <si>
    <t>SCOPE ARM ADAPTOR</t>
  </si>
  <si>
    <t>2004-12-25</t>
  </si>
  <si>
    <t>CHIP TRAY(OSZ-L064)</t>
  </si>
  <si>
    <t>2004-12-31</t>
  </si>
  <si>
    <t>2005-01-13</t>
  </si>
  <si>
    <t>웨이퍼 정열기</t>
    <phoneticPr fontId="5" type="noConversion"/>
  </si>
  <si>
    <t>2005-05-02</t>
  </si>
  <si>
    <t>EPS CUSHION 금형</t>
    <phoneticPr fontId="5" type="noConversion"/>
  </si>
  <si>
    <t>2005-06-16</t>
  </si>
  <si>
    <t>삼일화학</t>
    <phoneticPr fontId="5" type="noConversion"/>
  </si>
  <si>
    <t>2005-07-20</t>
  </si>
  <si>
    <t>하나계기</t>
    <phoneticPr fontId="5" type="noConversion"/>
  </si>
  <si>
    <t>THERMCO DIFF CALIBRATION용 계측기</t>
    <phoneticPr fontId="5" type="noConversion"/>
  </si>
  <si>
    <t>2005-08-05</t>
  </si>
  <si>
    <t>2005-10-05</t>
  </si>
  <si>
    <t>2005-10-11</t>
  </si>
  <si>
    <t>2005-10-21</t>
  </si>
  <si>
    <t>2005-10-23</t>
  </si>
  <si>
    <t>2005-11-02</t>
  </si>
  <si>
    <t>2005-11-27</t>
  </si>
  <si>
    <t>두께측정기(계측기)</t>
    <phoneticPr fontId="5" type="noConversion"/>
  </si>
  <si>
    <t>디지털인더스</t>
    <phoneticPr fontId="5" type="noConversion"/>
  </si>
  <si>
    <t>2005-12-09</t>
  </si>
  <si>
    <t>2005-12-15</t>
  </si>
  <si>
    <t>2005-12-25</t>
  </si>
  <si>
    <t>WAFER 정열기</t>
    <phoneticPr fontId="5" type="noConversion"/>
  </si>
  <si>
    <t>LONG XU TRADING</t>
  </si>
  <si>
    <t>QINGYI PRECSION</t>
  </si>
  <si>
    <t>PROBE MAIN BOARD ASS'Y</t>
  </si>
  <si>
    <t>TEP SOLDER UNIT</t>
  </si>
  <si>
    <t>INKER</t>
  </si>
  <si>
    <t>티엔피</t>
    <phoneticPr fontId="5" type="noConversion"/>
  </si>
  <si>
    <t>HOT PLATE</t>
  </si>
  <si>
    <t>한신과학의료기</t>
    <phoneticPr fontId="5" type="noConversion"/>
  </si>
  <si>
    <t>고압용 POSITIONER</t>
    <phoneticPr fontId="5" type="noConversion"/>
  </si>
  <si>
    <t>마이크로게이지</t>
    <phoneticPr fontId="5" type="noConversion"/>
  </si>
  <si>
    <t>CIP통상㈜</t>
    <phoneticPr fontId="5" type="noConversion"/>
  </si>
  <si>
    <t>아스만 통풍건습계</t>
    <phoneticPr fontId="5" type="noConversion"/>
  </si>
  <si>
    <t>G-TECH</t>
  </si>
  <si>
    <t>㈜한신과학의료기</t>
    <phoneticPr fontId="5" type="noConversion"/>
  </si>
  <si>
    <t>TR TESTER</t>
  </si>
  <si>
    <t>long xu trading</t>
  </si>
  <si>
    <t>qingyi precsion</t>
  </si>
  <si>
    <t>POWER TR TESTER</t>
  </si>
  <si>
    <t>LONGRAY</t>
  </si>
  <si>
    <t>현미경(MICRO SCOPE)</t>
    <phoneticPr fontId="5" type="noConversion"/>
  </si>
  <si>
    <t>OVEN(ECO-150-1)</t>
  </si>
  <si>
    <t>DRY OVEN</t>
  </si>
  <si>
    <t>오성에스티</t>
    <phoneticPr fontId="5" type="noConversion"/>
  </si>
  <si>
    <t>OVEN(ECO150-1P)</t>
  </si>
  <si>
    <t>OVEN(OST-OVN11-BK01)</t>
  </si>
  <si>
    <t>오성에스티㈜</t>
    <phoneticPr fontId="5" type="noConversion"/>
  </si>
  <si>
    <t>MASK DRYER SPIN</t>
  </si>
  <si>
    <t>DUMPING기</t>
    <phoneticPr fontId="5" type="noConversion"/>
  </si>
  <si>
    <t>MULTI FUNTIONAL SELECTOR(UI9600A)</t>
  </si>
  <si>
    <t>NANJING EVERGREEN TRADE</t>
  </si>
  <si>
    <r>
      <t>3</t>
    </r>
    <r>
      <rPr>
        <sz val="9"/>
        <color indexed="8"/>
        <rFont val="맑은 고딕"/>
        <family val="3"/>
        <charset val="129"/>
      </rPr>
      <t>D LASER 현미경</t>
    </r>
    <phoneticPr fontId="5" type="noConversion"/>
  </si>
  <si>
    <t>브이솔루션</t>
    <phoneticPr fontId="5" type="noConversion"/>
  </si>
  <si>
    <t>FLUORD MAX4C</t>
  </si>
  <si>
    <t>싸이텍인스트루먼트</t>
    <phoneticPr fontId="5" type="noConversion"/>
  </si>
  <si>
    <t>FLUORD MAX4C(accessories)</t>
  </si>
  <si>
    <t>매뉴얼 닥터 블레이드</t>
    <phoneticPr fontId="5" type="noConversion"/>
  </si>
  <si>
    <r>
      <t>핵심소재원천기술개발사업(</t>
    </r>
    <r>
      <rPr>
        <sz val="9"/>
        <color indexed="8"/>
        <rFont val="맑은 고딕"/>
        <family val="3"/>
        <charset val="129"/>
      </rPr>
      <t>18.11.09 자본적지출 25,000,000)</t>
    </r>
    <phoneticPr fontId="5" type="noConversion"/>
  </si>
  <si>
    <t>UV5</t>
  </si>
  <si>
    <t>메틀러토레도코리아</t>
    <phoneticPr fontId="5" type="noConversion"/>
  </si>
  <si>
    <t>월수</t>
    <phoneticPr fontId="5" type="noConversion"/>
  </si>
  <si>
    <t>수 량</t>
    <phoneticPr fontId="5" type="noConversion"/>
  </si>
  <si>
    <t>차이</t>
    <phoneticPr fontId="5" type="noConversion"/>
  </si>
  <si>
    <t>냉난방기</t>
    <phoneticPr fontId="5" type="noConversion"/>
  </si>
  <si>
    <t>앵글</t>
    <phoneticPr fontId="5" type="noConversion"/>
  </si>
  <si>
    <t>노트북</t>
    <phoneticPr fontId="5" type="noConversion"/>
  </si>
  <si>
    <t>냉장고</t>
    <phoneticPr fontId="5" type="noConversion"/>
  </si>
  <si>
    <t>앵글</t>
    <phoneticPr fontId="5" type="noConversion"/>
  </si>
  <si>
    <t>책상외</t>
    <phoneticPr fontId="5" type="noConversion"/>
  </si>
  <si>
    <t>SCH-700</t>
  </si>
  <si>
    <t>무선전화기</t>
    <phoneticPr fontId="5" type="noConversion"/>
  </si>
  <si>
    <t>컴퓨터</t>
    <phoneticPr fontId="5" type="noConversion"/>
  </si>
  <si>
    <t>쇼파</t>
    <phoneticPr fontId="5" type="noConversion"/>
  </si>
  <si>
    <t>폐기(9/10)</t>
    <phoneticPr fontId="5" type="noConversion"/>
  </si>
  <si>
    <t>PC 119</t>
  </si>
  <si>
    <t>경보기</t>
    <phoneticPr fontId="5" type="noConversion"/>
  </si>
  <si>
    <t>금형</t>
    <phoneticPr fontId="5" type="noConversion"/>
  </si>
  <si>
    <t xml:space="preserve">컴퓨터외 </t>
    <phoneticPr fontId="5" type="noConversion"/>
  </si>
  <si>
    <t>프린터</t>
    <phoneticPr fontId="5" type="noConversion"/>
  </si>
  <si>
    <t>COM-INT4</t>
  </si>
  <si>
    <t>이동서랍</t>
    <phoneticPr fontId="5" type="noConversion"/>
  </si>
  <si>
    <t>COM-C5011</t>
  </si>
  <si>
    <t>하론소화기</t>
    <phoneticPr fontId="5" type="noConversion"/>
  </si>
  <si>
    <t>에어컨</t>
    <phoneticPr fontId="5" type="noConversion"/>
  </si>
  <si>
    <t>작업대(6조)</t>
    <phoneticPr fontId="5" type="noConversion"/>
  </si>
  <si>
    <t>사무용책상</t>
    <phoneticPr fontId="5" type="noConversion"/>
  </si>
  <si>
    <t>COM-P7538</t>
  </si>
  <si>
    <t>복사기</t>
    <phoneticPr fontId="5" type="noConversion"/>
  </si>
  <si>
    <t>키폰주장치</t>
    <phoneticPr fontId="5" type="noConversion"/>
  </si>
  <si>
    <t>신발장</t>
    <phoneticPr fontId="5" type="noConversion"/>
  </si>
  <si>
    <t>작업의자하이팩</t>
    <phoneticPr fontId="5" type="noConversion"/>
  </si>
  <si>
    <t>PSC500(복합기)</t>
    <phoneticPr fontId="5" type="noConversion"/>
  </si>
  <si>
    <t>온풍기</t>
    <phoneticPr fontId="5" type="noConversion"/>
  </si>
  <si>
    <t>소프트웨어</t>
    <phoneticPr fontId="5" type="noConversion"/>
  </si>
  <si>
    <t>NEO-PLUSPAY</t>
  </si>
  <si>
    <t>FINPIX4900Z</t>
  </si>
  <si>
    <t>팩시밀리</t>
    <phoneticPr fontId="5" type="noConversion"/>
  </si>
  <si>
    <t>EL 104GF</t>
  </si>
  <si>
    <t>의자</t>
    <phoneticPr fontId="5" type="noConversion"/>
  </si>
  <si>
    <t>아동 BOX</t>
    <phoneticPr fontId="5" type="noConversion"/>
  </si>
  <si>
    <t>컴퓨터 및 주변기기</t>
    <phoneticPr fontId="5" type="noConversion"/>
  </si>
  <si>
    <t>냉장고</t>
    <phoneticPr fontId="5" type="noConversion"/>
  </si>
  <si>
    <t>책상</t>
    <phoneticPr fontId="5" type="noConversion"/>
  </si>
  <si>
    <t>OS책상</t>
    <phoneticPr fontId="5" type="noConversion"/>
  </si>
  <si>
    <t>E/T검사대&amp;STAND</t>
    <phoneticPr fontId="5" type="noConversion"/>
  </si>
  <si>
    <t>삼진정공</t>
    <phoneticPr fontId="5" type="noConversion"/>
  </si>
  <si>
    <t>1EA</t>
  </si>
  <si>
    <t>해성가구</t>
    <phoneticPr fontId="5" type="noConversion"/>
  </si>
  <si>
    <t>의자</t>
    <phoneticPr fontId="5" type="noConversion"/>
  </si>
  <si>
    <t>PC(40GB) 및 모니터</t>
    <phoneticPr fontId="5" type="noConversion"/>
  </si>
  <si>
    <t>해성가구</t>
    <phoneticPr fontId="5" type="noConversion"/>
  </si>
  <si>
    <t>2017.08.16 폐기</t>
    <phoneticPr fontId="5" type="noConversion"/>
  </si>
  <si>
    <t>철재 책상</t>
    <phoneticPr fontId="5" type="noConversion"/>
  </si>
  <si>
    <t>COMPUTER</t>
  </si>
  <si>
    <t>아이랜드컴퓨터</t>
    <phoneticPr fontId="5" type="noConversion"/>
  </si>
  <si>
    <t>관리부</t>
    <phoneticPr fontId="5" type="noConversion"/>
  </si>
  <si>
    <t>작업의자</t>
    <phoneticPr fontId="5" type="noConversion"/>
  </si>
  <si>
    <t>금호월드첨단컴퓨터</t>
    <phoneticPr fontId="5" type="noConversion"/>
  </si>
  <si>
    <t>NEO-PLUS PROGRAM</t>
  </si>
  <si>
    <t>더존</t>
    <phoneticPr fontId="5" type="noConversion"/>
  </si>
  <si>
    <t>책상</t>
    <phoneticPr fontId="5" type="noConversion"/>
  </si>
  <si>
    <t>케이티비네트워크</t>
    <phoneticPr fontId="5" type="noConversion"/>
  </si>
  <si>
    <t>쇼파</t>
    <phoneticPr fontId="5" type="noConversion"/>
  </si>
  <si>
    <t>파티션</t>
    <phoneticPr fontId="5" type="noConversion"/>
  </si>
  <si>
    <t>아이랜드컴퓨터</t>
    <phoneticPr fontId="5" type="noConversion"/>
  </si>
  <si>
    <t>AIR-CON(가열기내장형) 58평</t>
    <phoneticPr fontId="5" type="noConversion"/>
  </si>
  <si>
    <t>AIR-CON(가열기내장형) 15평</t>
    <phoneticPr fontId="5" type="noConversion"/>
  </si>
  <si>
    <t>AIR-CON(가열기내장형) 13평</t>
    <phoneticPr fontId="5" type="noConversion"/>
  </si>
  <si>
    <t>레이져프린터</t>
    <phoneticPr fontId="5" type="noConversion"/>
  </si>
  <si>
    <t>IT정보시스템</t>
    <phoneticPr fontId="5" type="noConversion"/>
  </si>
  <si>
    <t>개별작업대(900*1800)</t>
    <phoneticPr fontId="5" type="noConversion"/>
  </si>
  <si>
    <t>OVEN DIE</t>
  </si>
  <si>
    <t>작업대(생산용) 1200*2400</t>
    <phoneticPr fontId="5" type="noConversion"/>
  </si>
  <si>
    <t>작업대(PACKING용) 1200*2400</t>
    <phoneticPr fontId="5" type="noConversion"/>
  </si>
  <si>
    <t>작업대(장비받침용) 780*2400</t>
    <phoneticPr fontId="5" type="noConversion"/>
  </si>
  <si>
    <t>썬테크</t>
    <phoneticPr fontId="5" type="noConversion"/>
  </si>
  <si>
    <t>AIR-CON(가열기내장형) 83평</t>
    <phoneticPr fontId="5" type="noConversion"/>
  </si>
  <si>
    <t>AIR-CON(가열기내장형) 25평</t>
    <phoneticPr fontId="5" type="noConversion"/>
  </si>
  <si>
    <t>AIR-CONTROL UNIT(10R/T)</t>
  </si>
  <si>
    <t>AIR SHOWER</t>
  </si>
  <si>
    <t>대성냉동설비</t>
    <phoneticPr fontId="5" type="noConversion"/>
  </si>
  <si>
    <t>PASS BOX(600*600*600H)</t>
  </si>
  <si>
    <t>판넬공사</t>
    <phoneticPr fontId="5" type="noConversion"/>
  </si>
  <si>
    <t>태영산업설비</t>
    <phoneticPr fontId="5" type="noConversion"/>
  </si>
  <si>
    <t>전기배선공사</t>
    <phoneticPr fontId="5" type="noConversion"/>
  </si>
  <si>
    <t>작업의자</t>
    <phoneticPr fontId="5" type="noConversion"/>
  </si>
  <si>
    <t>해성가구</t>
    <phoneticPr fontId="5" type="noConversion"/>
  </si>
  <si>
    <t>AIR-CON(이상무님실)</t>
    <phoneticPr fontId="5" type="noConversion"/>
  </si>
  <si>
    <t>현대멀티캡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</si>
  <si>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017.08.16(1대) 폐기</t>
    </r>
    <phoneticPr fontId="5" type="noConversion"/>
  </si>
  <si>
    <t>전화기</t>
    <phoneticPr fontId="5" type="noConversion"/>
  </si>
  <si>
    <t>IT정보시스템</t>
    <phoneticPr fontId="5" type="noConversion"/>
  </si>
  <si>
    <t>커피자판기</t>
    <phoneticPr fontId="5" type="noConversion"/>
  </si>
  <si>
    <t>코리아밴딩</t>
    <phoneticPr fontId="5" type="noConversion"/>
  </si>
  <si>
    <t>마루광택기</t>
    <phoneticPr fontId="5" type="noConversion"/>
  </si>
  <si>
    <t>한국시코</t>
    <phoneticPr fontId="5" type="noConversion"/>
  </si>
  <si>
    <t>관리부</t>
    <phoneticPr fontId="5" type="noConversion"/>
  </si>
  <si>
    <t>전북사무용가구</t>
    <phoneticPr fontId="5" type="noConversion"/>
  </si>
  <si>
    <t>내화금고</t>
    <phoneticPr fontId="5" type="noConversion"/>
  </si>
  <si>
    <t>전북사무용가구</t>
    <phoneticPr fontId="5" type="noConversion"/>
  </si>
  <si>
    <t>관리부</t>
    <phoneticPr fontId="5" type="noConversion"/>
  </si>
  <si>
    <t>화분대</t>
    <phoneticPr fontId="5" type="noConversion"/>
  </si>
  <si>
    <t>사물함</t>
    <phoneticPr fontId="5" type="noConversion"/>
  </si>
  <si>
    <t>책장</t>
    <phoneticPr fontId="5" type="noConversion"/>
  </si>
  <si>
    <t>휴게실 테이블</t>
    <phoneticPr fontId="5" type="noConversion"/>
  </si>
  <si>
    <t>오일쿨러SYSTEM(PRESS냉각수)</t>
    <phoneticPr fontId="5" type="noConversion"/>
  </si>
  <si>
    <t>진공청소기</t>
    <phoneticPr fontId="5" type="noConversion"/>
  </si>
  <si>
    <t>이마트</t>
    <phoneticPr fontId="5" type="noConversion"/>
  </si>
  <si>
    <t>영광종합사무기</t>
    <phoneticPr fontId="5" type="noConversion"/>
  </si>
  <si>
    <t>전기온수기</t>
    <phoneticPr fontId="5" type="noConversion"/>
  </si>
  <si>
    <t>대한냉열기</t>
    <phoneticPr fontId="5" type="noConversion"/>
  </si>
  <si>
    <t>판넬공사(PRESS실)</t>
    <phoneticPr fontId="5" type="noConversion"/>
  </si>
  <si>
    <t>가람내장건설</t>
    <phoneticPr fontId="5" type="noConversion"/>
  </si>
  <si>
    <t>앵글진열대(자재창고)</t>
    <phoneticPr fontId="5" type="noConversion"/>
  </si>
  <si>
    <t>형제진열대</t>
    <phoneticPr fontId="5" type="noConversion"/>
  </si>
  <si>
    <t>흡입펌프</t>
    <phoneticPr fontId="5" type="noConversion"/>
  </si>
  <si>
    <t>2004-02-02</t>
  </si>
  <si>
    <t>대한기계</t>
    <phoneticPr fontId="5" type="noConversion"/>
  </si>
  <si>
    <t>OA책상</t>
    <phoneticPr fontId="5" type="noConversion"/>
  </si>
  <si>
    <t>2004-02-07</t>
  </si>
  <si>
    <t>전북사무용가구</t>
    <phoneticPr fontId="5" type="noConversion"/>
  </si>
  <si>
    <t>회의용 의자</t>
    <phoneticPr fontId="5" type="noConversion"/>
  </si>
  <si>
    <t>프로젝터</t>
    <phoneticPr fontId="5" type="noConversion"/>
  </si>
  <si>
    <t>2004-02-09</t>
  </si>
  <si>
    <t>남상권</t>
    <phoneticPr fontId="5" type="noConversion"/>
  </si>
  <si>
    <t>스크린</t>
    <phoneticPr fontId="5" type="noConversion"/>
  </si>
  <si>
    <t>남상권</t>
    <phoneticPr fontId="5" type="noConversion"/>
  </si>
  <si>
    <t>회의용테이블</t>
    <phoneticPr fontId="5" type="noConversion"/>
  </si>
  <si>
    <t>고려산업</t>
    <phoneticPr fontId="5" type="noConversion"/>
  </si>
  <si>
    <t>2004-04-10</t>
  </si>
  <si>
    <t>영광종합사무기</t>
    <phoneticPr fontId="5" type="noConversion"/>
  </si>
  <si>
    <t>도트 프린터</t>
    <phoneticPr fontId="5" type="noConversion"/>
  </si>
  <si>
    <t>2004-04-20</t>
  </si>
  <si>
    <r>
      <t>관리부(</t>
    </r>
    <r>
      <rPr>
        <sz val="9"/>
        <color indexed="8"/>
        <rFont val="맑은 고딕"/>
        <family val="3"/>
        <charset val="129"/>
      </rPr>
      <t>2017.08.16 폐기)</t>
    </r>
    <phoneticPr fontId="5" type="noConversion"/>
  </si>
  <si>
    <t>2004-05-10</t>
  </si>
  <si>
    <t>2004-05-12</t>
  </si>
  <si>
    <r>
      <t>2</t>
    </r>
    <r>
      <rPr>
        <sz val="9"/>
        <color indexed="8"/>
        <rFont val="맑은 고딕"/>
        <family val="3"/>
        <charset val="129"/>
      </rPr>
      <t>017.08.16 폐기</t>
    </r>
    <phoneticPr fontId="5" type="noConversion"/>
  </si>
  <si>
    <t>편수형 작업대</t>
    <phoneticPr fontId="5" type="noConversion"/>
  </si>
  <si>
    <t>2004-05-23</t>
  </si>
  <si>
    <t>대일기공</t>
    <phoneticPr fontId="5" type="noConversion"/>
  </si>
  <si>
    <t>작업대</t>
    <phoneticPr fontId="5" type="noConversion"/>
  </si>
  <si>
    <t>판넬공사</t>
    <phoneticPr fontId="5" type="noConversion"/>
  </si>
  <si>
    <t>천우건설</t>
    <phoneticPr fontId="5" type="noConversion"/>
  </si>
  <si>
    <t>철재 유리장</t>
    <phoneticPr fontId="5" type="noConversion"/>
  </si>
  <si>
    <t>2004-05-30</t>
  </si>
  <si>
    <t>2004-06-12</t>
  </si>
  <si>
    <t>영광종합사무기</t>
    <phoneticPr fontId="5" type="noConversion"/>
  </si>
  <si>
    <t>2004-06-14</t>
  </si>
  <si>
    <t>작업대</t>
    <phoneticPr fontId="5" type="noConversion"/>
  </si>
  <si>
    <t>대일기공</t>
    <phoneticPr fontId="5" type="noConversion"/>
  </si>
  <si>
    <t>DICING 작업대</t>
    <phoneticPr fontId="5" type="noConversion"/>
  </si>
  <si>
    <t>신발장(20인용)</t>
    <phoneticPr fontId="5" type="noConversion"/>
  </si>
  <si>
    <t>청소기</t>
    <phoneticPr fontId="5" type="noConversion"/>
  </si>
  <si>
    <t>2004-07-01</t>
  </si>
  <si>
    <t>오피스플러스</t>
    <phoneticPr fontId="5" type="noConversion"/>
  </si>
  <si>
    <t>프린터</t>
    <phoneticPr fontId="5" type="noConversion"/>
  </si>
  <si>
    <t>2004-07-13</t>
  </si>
  <si>
    <t>3단책장(하도어)</t>
    <phoneticPr fontId="5" type="noConversion"/>
  </si>
  <si>
    <t>2004-08-25</t>
  </si>
  <si>
    <t>3단책장(오픈)</t>
    <phoneticPr fontId="5" type="noConversion"/>
  </si>
  <si>
    <t>게시판</t>
    <phoneticPr fontId="5" type="noConversion"/>
  </si>
  <si>
    <t>2004-09-06</t>
  </si>
  <si>
    <t>D.C몰21</t>
    <phoneticPr fontId="5" type="noConversion"/>
  </si>
  <si>
    <t>TV</t>
  </si>
  <si>
    <t>2004-10-29</t>
  </si>
  <si>
    <t>신세계이마트전주점</t>
    <phoneticPr fontId="5" type="noConversion"/>
  </si>
  <si>
    <r>
      <t>관리부(</t>
    </r>
    <r>
      <rPr>
        <sz val="9"/>
        <color indexed="8"/>
        <rFont val="맑은 고딕"/>
        <family val="3"/>
        <charset val="129"/>
      </rPr>
      <t>2016.06.30 폐기)</t>
    </r>
    <phoneticPr fontId="5" type="noConversion"/>
  </si>
  <si>
    <t>냉각수및PRESS 배기DUCT</t>
    <phoneticPr fontId="5" type="noConversion"/>
  </si>
  <si>
    <t>2004-11-19</t>
  </si>
  <si>
    <t>우석종합설비</t>
    <phoneticPr fontId="5" type="noConversion"/>
  </si>
  <si>
    <t>냉동고</t>
    <phoneticPr fontId="5" type="noConversion"/>
  </si>
  <si>
    <t>2004-12-18</t>
  </si>
  <si>
    <t>전일주방설비</t>
    <phoneticPr fontId="5" type="noConversion"/>
  </si>
  <si>
    <t>엔비엠 매각</t>
    <phoneticPr fontId="5" type="noConversion"/>
  </si>
  <si>
    <t>OVEN 받침대</t>
    <phoneticPr fontId="5" type="noConversion"/>
  </si>
  <si>
    <t>전일주방설비</t>
    <phoneticPr fontId="5" type="noConversion"/>
  </si>
  <si>
    <t>저울 받침대</t>
    <phoneticPr fontId="5" type="noConversion"/>
  </si>
  <si>
    <t>판넬공사(MOLD실)</t>
    <phoneticPr fontId="5" type="noConversion"/>
  </si>
  <si>
    <t>2005-01-29</t>
  </si>
  <si>
    <t>천우건설</t>
    <phoneticPr fontId="5" type="noConversion"/>
  </si>
  <si>
    <t>CHUCK TABLE 6"</t>
  </si>
  <si>
    <t>2005-02-03</t>
  </si>
  <si>
    <t>책상(1500)</t>
    <phoneticPr fontId="5" type="noConversion"/>
  </si>
  <si>
    <t>2005-03-21</t>
  </si>
  <si>
    <t>모니터</t>
    <phoneticPr fontId="5" type="noConversion"/>
  </si>
  <si>
    <t>애드뷰</t>
    <phoneticPr fontId="5" type="noConversion"/>
  </si>
  <si>
    <t>COMPUTER 본체</t>
    <phoneticPr fontId="5" type="noConversion"/>
  </si>
  <si>
    <t>2005-03-31</t>
  </si>
  <si>
    <t>베스트오피스</t>
    <phoneticPr fontId="5" type="noConversion"/>
  </si>
  <si>
    <t>화이트보드</t>
    <phoneticPr fontId="5" type="noConversion"/>
  </si>
  <si>
    <t>센추리에어컨</t>
    <phoneticPr fontId="5" type="noConversion"/>
  </si>
  <si>
    <t>2005-04-08</t>
  </si>
  <si>
    <t>선반(45*120*180) 5단</t>
    <phoneticPr fontId="5" type="noConversion"/>
  </si>
  <si>
    <t>2005-04-18</t>
  </si>
  <si>
    <t>금반인테리어장식</t>
    <phoneticPr fontId="5" type="noConversion"/>
  </si>
  <si>
    <t>선반(45*120*180) 4단</t>
    <phoneticPr fontId="5" type="noConversion"/>
  </si>
  <si>
    <t>쇼파탁자</t>
    <phoneticPr fontId="5" type="noConversion"/>
  </si>
  <si>
    <t>콘테이너</t>
    <phoneticPr fontId="5" type="noConversion"/>
  </si>
  <si>
    <t>아리랑콘테이너</t>
    <phoneticPr fontId="5" type="noConversion"/>
  </si>
  <si>
    <t>2005-06-04</t>
  </si>
  <si>
    <t>2005-06-07</t>
  </si>
  <si>
    <t>앵글(60*180*150) 4단</t>
    <phoneticPr fontId="5" type="noConversion"/>
  </si>
  <si>
    <t>2005-06-23</t>
  </si>
  <si>
    <t>2005-06-30</t>
  </si>
  <si>
    <t>식탁</t>
    <phoneticPr fontId="5" type="noConversion"/>
  </si>
  <si>
    <t>2005-08-06</t>
  </si>
  <si>
    <t>관리부(기숙사)</t>
    <phoneticPr fontId="5" type="noConversion"/>
  </si>
  <si>
    <t>쇼파</t>
    <phoneticPr fontId="5" type="noConversion"/>
  </si>
  <si>
    <t>2005-08-13</t>
  </si>
  <si>
    <t>받침대(800*500*150)</t>
    <phoneticPr fontId="5" type="noConversion"/>
  </si>
  <si>
    <t>2005-08-19</t>
  </si>
  <si>
    <t>작업대(500*300*600)</t>
    <phoneticPr fontId="5" type="noConversion"/>
  </si>
  <si>
    <t>불량수거통(200*100*90)</t>
    <phoneticPr fontId="5" type="noConversion"/>
  </si>
  <si>
    <t>리빙프라자</t>
    <phoneticPr fontId="5" type="noConversion"/>
  </si>
  <si>
    <t>세탁기</t>
    <phoneticPr fontId="5" type="noConversion"/>
  </si>
  <si>
    <t>밥솥</t>
    <phoneticPr fontId="5" type="noConversion"/>
  </si>
  <si>
    <t>청소기</t>
    <phoneticPr fontId="5" type="noConversion"/>
  </si>
  <si>
    <t>선풍기</t>
    <phoneticPr fontId="5" type="noConversion"/>
  </si>
  <si>
    <t>2005-08-31</t>
  </si>
  <si>
    <t>2단작업대(1350*850*800)</t>
    <phoneticPr fontId="5" type="noConversion"/>
  </si>
  <si>
    <t>2005-09-02</t>
  </si>
  <si>
    <t>작업대(1500*900*800)</t>
    <phoneticPr fontId="5" type="noConversion"/>
  </si>
  <si>
    <t>2005-09-22</t>
  </si>
  <si>
    <t>판넬공사(광축)</t>
    <phoneticPr fontId="5" type="noConversion"/>
  </si>
  <si>
    <t>2005-09-23</t>
  </si>
  <si>
    <t>세계로종합건설</t>
    <phoneticPr fontId="5" type="noConversion"/>
  </si>
  <si>
    <t>CCTV(하드120GB,카메라4대)</t>
    <phoneticPr fontId="5" type="noConversion"/>
  </si>
  <si>
    <t>에스원</t>
    <phoneticPr fontId="5" type="noConversion"/>
  </si>
  <si>
    <t>탁자</t>
    <phoneticPr fontId="5" type="noConversion"/>
  </si>
  <si>
    <t>2005-11-30</t>
  </si>
  <si>
    <t>튜브형 히터</t>
    <phoneticPr fontId="5" type="noConversion"/>
  </si>
  <si>
    <t>알뜰종합백화점</t>
    <phoneticPr fontId="5" type="noConversion"/>
  </si>
  <si>
    <t>조립식앵글(45*120*180)</t>
    <phoneticPr fontId="5" type="noConversion"/>
  </si>
  <si>
    <t>OA 책장</t>
    <phoneticPr fontId="5" type="noConversion"/>
  </si>
  <si>
    <t>의자</t>
    <phoneticPr fontId="5" type="noConversion"/>
  </si>
  <si>
    <t>전북사무용가구</t>
    <phoneticPr fontId="5" type="noConversion"/>
  </si>
  <si>
    <t>책상</t>
    <phoneticPr fontId="5" type="noConversion"/>
  </si>
  <si>
    <t>이동서랍</t>
    <phoneticPr fontId="5" type="noConversion"/>
  </si>
  <si>
    <t>관리부</t>
    <phoneticPr fontId="5" type="noConversion"/>
  </si>
  <si>
    <t>노트북</t>
    <phoneticPr fontId="5" type="noConversion"/>
  </si>
  <si>
    <t>하이마트</t>
    <phoneticPr fontId="5" type="noConversion"/>
  </si>
  <si>
    <t>냉동고(1900*800*1930)</t>
    <phoneticPr fontId="5" type="noConversion"/>
  </si>
  <si>
    <t>조립식앵글(180*180*60)</t>
    <phoneticPr fontId="5" type="noConversion"/>
  </si>
  <si>
    <t>금반인테리어장식</t>
    <phoneticPr fontId="5" type="noConversion"/>
  </si>
  <si>
    <t>조립식앵글(180*150*45)</t>
    <phoneticPr fontId="5" type="noConversion"/>
  </si>
  <si>
    <t>청소기</t>
    <phoneticPr fontId="5" type="noConversion"/>
  </si>
  <si>
    <t>베스트오피스</t>
    <phoneticPr fontId="5" type="noConversion"/>
  </si>
  <si>
    <t>영광종합사무기</t>
    <phoneticPr fontId="5" type="noConversion"/>
  </si>
  <si>
    <t>라벨 프린터</t>
    <phoneticPr fontId="5" type="noConversion"/>
  </si>
  <si>
    <t>새빛맥스</t>
    <phoneticPr fontId="5" type="noConversion"/>
  </si>
  <si>
    <t>작업대(1000*2000*750)</t>
    <phoneticPr fontId="5" type="noConversion"/>
  </si>
  <si>
    <t>대일기공</t>
    <phoneticPr fontId="5" type="noConversion"/>
  </si>
  <si>
    <t>서류 세단기</t>
    <phoneticPr fontId="5" type="noConversion"/>
  </si>
  <si>
    <t>공기 청정기</t>
    <phoneticPr fontId="5" type="noConversion"/>
  </si>
  <si>
    <t>PIC 마이컴용 프로그래머(PRO ENEINE-2)</t>
    <phoneticPr fontId="5" type="noConversion"/>
  </si>
  <si>
    <t>컴파일테크놀로지</t>
    <phoneticPr fontId="5" type="noConversion"/>
  </si>
  <si>
    <t>탁자</t>
    <phoneticPr fontId="5" type="noConversion"/>
  </si>
  <si>
    <t>기륭데이타정보</t>
    <phoneticPr fontId="5" type="noConversion"/>
  </si>
  <si>
    <t>MOLD실 진열장(140*90*60 7단)</t>
    <phoneticPr fontId="5" type="noConversion"/>
  </si>
  <si>
    <t>책상(1800), 사이드, 이동서랍</t>
    <phoneticPr fontId="5" type="noConversion"/>
  </si>
  <si>
    <t>컴퓨터</t>
    <phoneticPr fontId="5" type="noConversion"/>
  </si>
  <si>
    <t>OA 책상(1500)</t>
    <phoneticPr fontId="5" type="noConversion"/>
  </si>
  <si>
    <t>에어컨</t>
    <phoneticPr fontId="5" type="noConversion"/>
  </si>
  <si>
    <t>세기공조설비</t>
    <phoneticPr fontId="5" type="noConversion"/>
  </si>
  <si>
    <t>판넬공사</t>
    <phoneticPr fontId="5" type="noConversion"/>
  </si>
  <si>
    <t>덕유건설㈜</t>
    <phoneticPr fontId="5" type="noConversion"/>
  </si>
  <si>
    <t>PIC 프로그래머</t>
    <phoneticPr fontId="5" type="noConversion"/>
  </si>
  <si>
    <t>휴게실 탁자</t>
    <phoneticPr fontId="5" type="noConversion"/>
  </si>
  <si>
    <t>휴게실 의자</t>
    <phoneticPr fontId="5" type="noConversion"/>
  </si>
  <si>
    <t>앵글 선반(100*40*180)</t>
    <phoneticPr fontId="5" type="noConversion"/>
  </si>
  <si>
    <t>형제상사</t>
    <phoneticPr fontId="5" type="noConversion"/>
  </si>
  <si>
    <t>앵글 선반(120*45*180)</t>
    <phoneticPr fontId="5" type="noConversion"/>
  </si>
  <si>
    <t>작업대(1200*2400*745)</t>
    <phoneticPr fontId="5" type="noConversion"/>
  </si>
  <si>
    <t>예전테크</t>
    <phoneticPr fontId="5" type="noConversion"/>
  </si>
  <si>
    <t>작업대(200*600*800)</t>
    <phoneticPr fontId="5" type="noConversion"/>
  </si>
  <si>
    <t>작업대(470*500*850)</t>
    <phoneticPr fontId="5" type="noConversion"/>
  </si>
  <si>
    <t>오븐 받침대(800*800*500)</t>
    <phoneticPr fontId="5" type="noConversion"/>
  </si>
  <si>
    <t>앵글선반(180*60*130)</t>
    <phoneticPr fontId="5" type="noConversion"/>
  </si>
  <si>
    <t>WIRTER기(LDM용)</t>
    <phoneticPr fontId="5" type="noConversion"/>
  </si>
  <si>
    <t>㈜한국엘넥</t>
    <phoneticPr fontId="5" type="noConversion"/>
  </si>
  <si>
    <t>책장</t>
    <phoneticPr fontId="5" type="noConversion"/>
  </si>
  <si>
    <t>독서실 서가대</t>
    <phoneticPr fontId="5" type="noConversion"/>
  </si>
  <si>
    <t>CHUCK TABLE</t>
  </si>
  <si>
    <t>㈜예원기술</t>
    <phoneticPr fontId="5" type="noConversion"/>
  </si>
  <si>
    <t>㈜예원기술</t>
    <phoneticPr fontId="5" type="noConversion"/>
  </si>
  <si>
    <t>컴퓨터, 모니터</t>
    <phoneticPr fontId="5" type="noConversion"/>
  </si>
  <si>
    <t>철재 6인 락커</t>
    <phoneticPr fontId="5" type="noConversion"/>
  </si>
  <si>
    <t>㈜오디쎄미</t>
    <phoneticPr fontId="5" type="noConversion"/>
  </si>
  <si>
    <t>DESICCATOR AUTO DRY</t>
  </si>
  <si>
    <t>부품 BOX</t>
    <phoneticPr fontId="5" type="noConversion"/>
  </si>
  <si>
    <t>작업의자</t>
    <phoneticPr fontId="5" type="noConversion"/>
  </si>
  <si>
    <t>쇼파 3인</t>
    <phoneticPr fontId="5" type="noConversion"/>
  </si>
  <si>
    <t>쇼파 1인</t>
    <phoneticPr fontId="5" type="noConversion"/>
  </si>
  <si>
    <t>응접탁자(500)</t>
    <phoneticPr fontId="5" type="noConversion"/>
  </si>
  <si>
    <t>전기 온수기</t>
    <phoneticPr fontId="5" type="noConversion"/>
  </si>
  <si>
    <t>성진엔지니어링</t>
    <phoneticPr fontId="5" type="noConversion"/>
  </si>
  <si>
    <t>㈜하이마트 송천점</t>
    <phoneticPr fontId="5" type="noConversion"/>
  </si>
  <si>
    <t>컴퓨터</t>
    <phoneticPr fontId="5" type="noConversion"/>
  </si>
  <si>
    <t>냉동고</t>
    <phoneticPr fontId="5" type="noConversion"/>
  </si>
  <si>
    <t>OA 책상(1500)</t>
    <phoneticPr fontId="5" type="noConversion"/>
  </si>
  <si>
    <t>㈜해송환경</t>
    <phoneticPr fontId="5" type="noConversion"/>
  </si>
  <si>
    <t>세기공조설비</t>
    <phoneticPr fontId="5" type="noConversion"/>
  </si>
  <si>
    <t>자재창고 판넬공사</t>
    <phoneticPr fontId="5" type="noConversion"/>
  </si>
  <si>
    <t>세창기업</t>
    <phoneticPr fontId="5" type="noConversion"/>
  </si>
  <si>
    <t>회의용테이블(2400*1200*750)</t>
    <phoneticPr fontId="5" type="noConversion"/>
  </si>
  <si>
    <t>㈜한림사무용가구</t>
    <phoneticPr fontId="5" type="noConversion"/>
  </si>
  <si>
    <t>1개 LDM</t>
    <phoneticPr fontId="5" type="noConversion"/>
  </si>
  <si>
    <t>책장(1500*350*1200)</t>
    <phoneticPr fontId="5" type="noConversion"/>
  </si>
  <si>
    <t>의자(590*600*910)</t>
    <phoneticPr fontId="5" type="noConversion"/>
  </si>
  <si>
    <t>6개 LDM</t>
    <phoneticPr fontId="5" type="noConversion"/>
  </si>
  <si>
    <t>작업대(1200*1200)</t>
    <phoneticPr fontId="5" type="noConversion"/>
  </si>
  <si>
    <t>작업대(1000*1200)</t>
    <phoneticPr fontId="5" type="noConversion"/>
  </si>
  <si>
    <t>TV(삼성 파브)</t>
    <phoneticPr fontId="5" type="noConversion"/>
  </si>
  <si>
    <t>㈜하이마트 부송점</t>
    <phoneticPr fontId="5" type="noConversion"/>
  </si>
  <si>
    <t>책상(1800*800*720)</t>
    <phoneticPr fontId="5" type="noConversion"/>
  </si>
  <si>
    <t>이동서랍(425*580*580)</t>
    <phoneticPr fontId="5" type="noConversion"/>
  </si>
  <si>
    <t>사이드테이블(1200*450*665)</t>
    <phoneticPr fontId="5" type="noConversion"/>
  </si>
  <si>
    <t>㈜한림사무용가구</t>
    <phoneticPr fontId="5" type="noConversion"/>
  </si>
  <si>
    <t>WORK STATON(HP XW4600)</t>
  </si>
  <si>
    <t>유에이테크</t>
    <phoneticPr fontId="5" type="noConversion"/>
  </si>
  <si>
    <t>UPS 전원공급기(1980W/2200VA)</t>
    <phoneticPr fontId="5" type="noConversion"/>
  </si>
  <si>
    <t>유에이테크</t>
    <phoneticPr fontId="5" type="noConversion"/>
  </si>
  <si>
    <t>노트북(LG XNOTE E300-APOK)</t>
    <phoneticPr fontId="5" type="noConversion"/>
  </si>
  <si>
    <t>코팅기</t>
    <phoneticPr fontId="5" type="noConversion"/>
  </si>
  <si>
    <t>신도커머스</t>
    <phoneticPr fontId="5" type="noConversion"/>
  </si>
  <si>
    <t>작업대(1200*2400)</t>
    <phoneticPr fontId="5" type="noConversion"/>
  </si>
  <si>
    <t>BOOK MOLD DIE</t>
  </si>
  <si>
    <t>작업용의자</t>
    <phoneticPr fontId="5" type="noConversion"/>
  </si>
  <si>
    <t>오디쎄미</t>
    <phoneticPr fontId="5" type="noConversion"/>
  </si>
  <si>
    <t>한림사무용가구</t>
    <phoneticPr fontId="5" type="noConversion"/>
  </si>
  <si>
    <t>테이블(1400)</t>
    <phoneticPr fontId="5" type="noConversion"/>
  </si>
  <si>
    <t>테이블(1200)</t>
    <phoneticPr fontId="5" type="noConversion"/>
  </si>
  <si>
    <t>신관 자재창고 판넬공사</t>
    <phoneticPr fontId="5" type="noConversion"/>
  </si>
  <si>
    <t>우석종합설비</t>
    <phoneticPr fontId="5" type="noConversion"/>
  </si>
  <si>
    <t>신관 판넬공사</t>
    <phoneticPr fontId="5" type="noConversion"/>
  </si>
  <si>
    <t>복합기(HP CC567A)</t>
    <phoneticPr fontId="5" type="noConversion"/>
  </si>
  <si>
    <t>㈜드림정보전산</t>
    <phoneticPr fontId="5" type="noConversion"/>
  </si>
  <si>
    <t>레이저프린터(HP5200)</t>
    <phoneticPr fontId="5" type="noConversion"/>
  </si>
  <si>
    <t>행잉파일 서류함(3단)</t>
    <phoneticPr fontId="5" type="noConversion"/>
  </si>
  <si>
    <t>현우시스템</t>
    <phoneticPr fontId="5" type="noConversion"/>
  </si>
  <si>
    <t>레이저프린터(ML-2450DK)</t>
    <phoneticPr fontId="5" type="noConversion"/>
  </si>
  <si>
    <t>신발장(900*350*1600)</t>
    <phoneticPr fontId="5" type="noConversion"/>
  </si>
  <si>
    <t>동진체어</t>
    <phoneticPr fontId="5" type="noConversion"/>
  </si>
  <si>
    <t>DESICCATOR(1200*550*1765)</t>
  </si>
  <si>
    <t>DESICCATOR(1166*520*1770)</t>
  </si>
  <si>
    <t>컴퓨터(삼성 E5200)</t>
    <phoneticPr fontId="5" type="noConversion"/>
  </si>
  <si>
    <t>책상(1600*800*720)</t>
    <phoneticPr fontId="5" type="noConversion"/>
  </si>
  <si>
    <t>순수실 보관창고 판넬공사</t>
    <phoneticPr fontId="5" type="noConversion"/>
  </si>
  <si>
    <t>세창산업</t>
    <phoneticPr fontId="5" type="noConversion"/>
  </si>
  <si>
    <t>철재옷장(6인용)</t>
    <phoneticPr fontId="5" type="noConversion"/>
  </si>
  <si>
    <t>철재 진열장</t>
    <phoneticPr fontId="5" type="noConversion"/>
  </si>
  <si>
    <t>해송환경</t>
    <phoneticPr fontId="5" type="noConversion"/>
  </si>
  <si>
    <t>델인터내셔날</t>
    <phoneticPr fontId="5" type="noConversion"/>
  </si>
  <si>
    <t>작업대</t>
    <phoneticPr fontId="5" type="noConversion"/>
  </si>
  <si>
    <t>예진전기</t>
    <phoneticPr fontId="5" type="noConversion"/>
  </si>
  <si>
    <t>협탁</t>
    <phoneticPr fontId="5" type="noConversion"/>
  </si>
  <si>
    <t>철재캐비넷</t>
    <phoneticPr fontId="5" type="noConversion"/>
  </si>
  <si>
    <t>작업대(900*1600*700)</t>
    <phoneticPr fontId="5" type="noConversion"/>
  </si>
  <si>
    <t>대일기계</t>
    <phoneticPr fontId="5" type="noConversion"/>
  </si>
  <si>
    <t>디지털 복합기(BG4100)</t>
    <phoneticPr fontId="5" type="noConversion"/>
  </si>
  <si>
    <t>프린터 킷트(BG4100)</t>
    <phoneticPr fontId="5" type="noConversion"/>
  </si>
  <si>
    <t>팩시밀리(CF650)</t>
    <phoneticPr fontId="5" type="noConversion"/>
  </si>
  <si>
    <t>영광종합사무기</t>
    <phoneticPr fontId="5" type="noConversion"/>
  </si>
  <si>
    <t>책상(1600*1200*720)</t>
    <phoneticPr fontId="5" type="noConversion"/>
  </si>
  <si>
    <t>의자</t>
    <phoneticPr fontId="5" type="noConversion"/>
  </si>
  <si>
    <t>컴퓨터(DH-V740/Z253</t>
    <phoneticPr fontId="5" type="noConversion"/>
  </si>
  <si>
    <t>청소기(HDS-2000)</t>
    <phoneticPr fontId="5" type="noConversion"/>
  </si>
  <si>
    <t>(주)오디쎄미</t>
    <phoneticPr fontId="5" type="noConversion"/>
  </si>
  <si>
    <t>컴퓨터(DM-V74D/Z253)</t>
    <phoneticPr fontId="5" type="noConversion"/>
  </si>
  <si>
    <t>철재 옷장(6인)</t>
    <phoneticPr fontId="5" type="noConversion"/>
  </si>
  <si>
    <t>책상(1800)</t>
    <phoneticPr fontId="5" type="noConversion"/>
  </si>
  <si>
    <t>칸막이 공사(외관검사)</t>
    <phoneticPr fontId="5" type="noConversion"/>
  </si>
  <si>
    <t>대산강건</t>
    <phoneticPr fontId="5" type="noConversion"/>
  </si>
  <si>
    <t>COLOR PRINTER(CLP-315K)</t>
  </si>
  <si>
    <t>예진전기</t>
    <phoneticPr fontId="5" type="noConversion"/>
  </si>
  <si>
    <t>컴퓨터(삼성 DM-V189-DA11)</t>
    <phoneticPr fontId="5" type="noConversion"/>
  </si>
  <si>
    <t>작업테이블(1100*500*600)</t>
    <phoneticPr fontId="5" type="noConversion"/>
  </si>
  <si>
    <t>작업테이블(800*500*600)</t>
    <phoneticPr fontId="5" type="noConversion"/>
  </si>
  <si>
    <t>작업테이블(1600*700*200)</t>
    <phoneticPr fontId="5" type="noConversion"/>
  </si>
  <si>
    <t>(주)오디쎄미</t>
    <phoneticPr fontId="5" type="noConversion"/>
  </si>
  <si>
    <t>작업테이블(1800*600*700)</t>
    <phoneticPr fontId="5" type="noConversion"/>
  </si>
  <si>
    <t>작업테이블(1200*800*800)</t>
    <phoneticPr fontId="5" type="noConversion"/>
  </si>
  <si>
    <t>작업테이블(800*500*800)</t>
    <phoneticPr fontId="5" type="noConversion"/>
  </si>
  <si>
    <t>작업테이블(800*800*800)</t>
    <phoneticPr fontId="5" type="noConversion"/>
  </si>
  <si>
    <t>작업테이블(1800*500*900)</t>
    <phoneticPr fontId="5" type="noConversion"/>
  </si>
  <si>
    <t>청소기((삼성 400W) VC-R934D)</t>
    <phoneticPr fontId="5" type="noConversion"/>
  </si>
  <si>
    <t>신세계아이앤씨</t>
    <phoneticPr fontId="5" type="noConversion"/>
  </si>
  <si>
    <t>노트북(삼성 NT-R530-JS42)</t>
    <phoneticPr fontId="5" type="noConversion"/>
  </si>
  <si>
    <t>컴퓨터(삼성 DM-V189-DA11)</t>
    <phoneticPr fontId="5" type="noConversion"/>
  </si>
  <si>
    <t>더블유텍</t>
    <phoneticPr fontId="5" type="noConversion"/>
  </si>
  <si>
    <t>OA책상(1500)</t>
    <phoneticPr fontId="5" type="noConversion"/>
  </si>
  <si>
    <t>동진체어</t>
    <phoneticPr fontId="5" type="noConversion"/>
  </si>
  <si>
    <t>신발장(56인)</t>
    <phoneticPr fontId="5" type="noConversion"/>
  </si>
  <si>
    <t>금강탁자</t>
    <phoneticPr fontId="5" type="noConversion"/>
  </si>
  <si>
    <t>작업대(1600*800*800)</t>
    <phoneticPr fontId="5" type="noConversion"/>
  </si>
  <si>
    <t>작업대(1800*800*1400)</t>
    <phoneticPr fontId="5" type="noConversion"/>
  </si>
  <si>
    <t>프로젝트(SONY VPL-EX130)</t>
    <phoneticPr fontId="5" type="noConversion"/>
  </si>
  <si>
    <t>유맥스</t>
    <phoneticPr fontId="5" type="noConversion"/>
  </si>
  <si>
    <t>전자칠판(BCB-3200WM)</t>
    <phoneticPr fontId="5" type="noConversion"/>
  </si>
  <si>
    <t>서도솔루션</t>
    <phoneticPr fontId="5" type="noConversion"/>
  </si>
  <si>
    <t>컬러 전자칠판</t>
    <phoneticPr fontId="5" type="noConversion"/>
  </si>
  <si>
    <t>작업대(1800*800*800)</t>
    <phoneticPr fontId="5" type="noConversion"/>
  </si>
  <si>
    <t>작업의자(550*440*790)</t>
    <phoneticPr fontId="5" type="noConversion"/>
  </si>
  <si>
    <t>LABEL PRINTER</t>
  </si>
  <si>
    <t>기륨데이타정보</t>
    <phoneticPr fontId="5" type="noConversion"/>
  </si>
  <si>
    <t>시스템 에어컨</t>
    <phoneticPr fontId="5" type="noConversion"/>
  </si>
  <si>
    <t>글로벌공조</t>
    <phoneticPr fontId="5" type="noConversion"/>
  </si>
  <si>
    <t>DESICCATOR(1200*500*800)</t>
  </si>
  <si>
    <t>작업테이블(2단, 1800*800*800)</t>
    <phoneticPr fontId="5" type="noConversion"/>
  </si>
  <si>
    <t>작업테이블(2단, 2000*800*800)</t>
    <phoneticPr fontId="5" type="noConversion"/>
  </si>
  <si>
    <t>작업테이블(1800*800*800)</t>
    <phoneticPr fontId="5" type="noConversion"/>
  </si>
  <si>
    <t>작업테이블(1100*500*550)</t>
    <phoneticPr fontId="5" type="noConversion"/>
  </si>
  <si>
    <t>작업테이블(800*500*550)</t>
    <phoneticPr fontId="5" type="noConversion"/>
  </si>
  <si>
    <t>OA책상(1500*750*730)</t>
    <phoneticPr fontId="5" type="noConversion"/>
  </si>
  <si>
    <t>의자(중)</t>
    <phoneticPr fontId="5" type="noConversion"/>
  </si>
  <si>
    <t>책상(1800*800*730)</t>
    <phoneticPr fontId="5" type="noConversion"/>
  </si>
  <si>
    <t>사이드책상</t>
    <phoneticPr fontId="5" type="noConversion"/>
  </si>
  <si>
    <t>의자(대)</t>
    <phoneticPr fontId="5" type="noConversion"/>
  </si>
  <si>
    <t>서고(1500*350*1200)</t>
    <phoneticPr fontId="5" type="noConversion"/>
  </si>
  <si>
    <t>철재유리진열장(1200*400*1800)</t>
    <phoneticPr fontId="5" type="noConversion"/>
  </si>
  <si>
    <t>철재락카(900*510*1800)</t>
    <phoneticPr fontId="5" type="noConversion"/>
  </si>
  <si>
    <t>목재회탁(2400*1200*730)</t>
    <phoneticPr fontId="5" type="noConversion"/>
  </si>
  <si>
    <t>회의의자</t>
    <phoneticPr fontId="5" type="noConversion"/>
  </si>
  <si>
    <t>연결회탁(1400*600*720)</t>
    <phoneticPr fontId="5" type="noConversion"/>
  </si>
  <si>
    <t>연결회탁(600*600*720)</t>
    <phoneticPr fontId="5" type="noConversion"/>
  </si>
  <si>
    <t>복합기(DGWOX-4100)</t>
    <phoneticPr fontId="5" type="noConversion"/>
  </si>
  <si>
    <t>신도네트풍납점</t>
    <phoneticPr fontId="5" type="noConversion"/>
  </si>
  <si>
    <t>팩스(MFC-7340)</t>
    <phoneticPr fontId="5" type="noConversion"/>
  </si>
  <si>
    <t>듀오백(의자)</t>
    <phoneticPr fontId="5" type="noConversion"/>
  </si>
  <si>
    <t>노트북(삼성 NT-R430-JA22H)</t>
    <phoneticPr fontId="5" type="noConversion"/>
  </si>
  <si>
    <t>컴퓨터(삼성 DM-V189-DA13S)</t>
    <phoneticPr fontId="5" type="noConversion"/>
  </si>
  <si>
    <t>냉난방기(LG스탠드)</t>
    <phoneticPr fontId="5" type="noConversion"/>
  </si>
  <si>
    <t>노트북(DV6-4005TX)</t>
    <phoneticPr fontId="5" type="noConversion"/>
  </si>
  <si>
    <t>엔터정보기기</t>
    <phoneticPr fontId="5" type="noConversion"/>
  </si>
  <si>
    <t>박영규차장</t>
    <phoneticPr fontId="5" type="noConversion"/>
  </si>
  <si>
    <t>컴퓨터(DELL VOSTRO460)</t>
    <phoneticPr fontId="5" type="noConversion"/>
  </si>
  <si>
    <t>델인터내셔널</t>
    <phoneticPr fontId="5" type="noConversion"/>
  </si>
  <si>
    <t>컴퓨터(DM-V189-DA33S)</t>
    <phoneticPr fontId="5" type="noConversion"/>
  </si>
  <si>
    <t>LDM 이세일기사</t>
    <phoneticPr fontId="5" type="noConversion"/>
  </si>
  <si>
    <t>3단 화일장</t>
    <phoneticPr fontId="5" type="noConversion"/>
  </si>
  <si>
    <t>LED 사업부</t>
    <phoneticPr fontId="5" type="noConversion"/>
  </si>
  <si>
    <t>하이마트쇼핑몰</t>
    <phoneticPr fontId="5" type="noConversion"/>
  </si>
  <si>
    <t>소병훈상무</t>
    <phoneticPr fontId="5" type="noConversion"/>
  </si>
  <si>
    <t>REEL 보관함(670*400*1590)</t>
    <phoneticPr fontId="5" type="noConversion"/>
  </si>
  <si>
    <t>우진ACT호남지사</t>
    <phoneticPr fontId="5" type="noConversion"/>
  </si>
  <si>
    <t>REEL 보관함(690*200*1715)</t>
    <phoneticPr fontId="5" type="noConversion"/>
  </si>
  <si>
    <t>세척작업대(1660*575*900)</t>
    <phoneticPr fontId="5" type="noConversion"/>
  </si>
  <si>
    <t>부품보관함(KMP-27R-C, 52H-A)</t>
    <phoneticPr fontId="5" type="noConversion"/>
  </si>
  <si>
    <t>경도비젼테크㈜</t>
    <phoneticPr fontId="5" type="noConversion"/>
  </si>
  <si>
    <t>지그보관함(MF80)</t>
    <phoneticPr fontId="5" type="noConversion"/>
  </si>
  <si>
    <t>한일과학산업</t>
    <phoneticPr fontId="5" type="noConversion"/>
  </si>
  <si>
    <t>지그보관함(SL50-6)</t>
    <phoneticPr fontId="5" type="noConversion"/>
  </si>
  <si>
    <t>한일과학산업</t>
    <phoneticPr fontId="5" type="noConversion"/>
  </si>
  <si>
    <t>HOUSING ATTACH TABLE(2200*800)</t>
  </si>
  <si>
    <t>CLEAN CHAIR(KM9581)</t>
  </si>
  <si>
    <t>WORK TABLE(1200*800*850)</t>
  </si>
  <si>
    <t>NEXT TEST TABLE(1800*600*950)</t>
  </si>
  <si>
    <t>LID ATTACH TABLE(800*600*950)</t>
  </si>
  <si>
    <t>EPOXY 청소작업대</t>
    <phoneticPr fontId="5" type="noConversion"/>
  </si>
  <si>
    <t>작업대(LID ARRAY W/T(1600*800*800)</t>
    <phoneticPr fontId="5" type="noConversion"/>
  </si>
  <si>
    <t>작업대(HOUSING ATTACH(1800*800*850)</t>
    <phoneticPr fontId="5" type="noConversion"/>
  </si>
  <si>
    <t>작업대(HOUSING ARRAY(1800*800*850)</t>
    <phoneticPr fontId="5" type="noConversion"/>
  </si>
  <si>
    <t>SIDPENSING 로봇거치대(1800*800*8)</t>
    <phoneticPr fontId="5" type="noConversion"/>
  </si>
  <si>
    <t>가경화 작업대(1500*800*850)</t>
    <phoneticPr fontId="5" type="noConversion"/>
  </si>
  <si>
    <t>제품 보관함(700*600*1700)</t>
    <phoneticPr fontId="5" type="noConversion"/>
  </si>
  <si>
    <t>다이싱</t>
    <phoneticPr fontId="5" type="noConversion"/>
  </si>
  <si>
    <t>책상(180*800*720)</t>
    <phoneticPr fontId="5" type="noConversion"/>
  </si>
  <si>
    <t>박해룡차장</t>
    <phoneticPr fontId="5" type="noConversion"/>
  </si>
  <si>
    <t>컴퓨터, 모니터</t>
    <phoneticPr fontId="5" type="noConversion"/>
  </si>
  <si>
    <t>장식장</t>
    <phoneticPr fontId="5" type="noConversion"/>
  </si>
  <si>
    <t>김강호부사장님실</t>
    <phoneticPr fontId="5" type="noConversion"/>
  </si>
  <si>
    <t>3단 책장</t>
    <phoneticPr fontId="5" type="noConversion"/>
  </si>
  <si>
    <t>LED사업부</t>
    <phoneticPr fontId="5" type="noConversion"/>
  </si>
  <si>
    <t>LABEL PRINTER(113XI4-M)</t>
  </si>
  <si>
    <t>아이디정보시스템</t>
    <phoneticPr fontId="5" type="noConversion"/>
  </si>
  <si>
    <t>LABEL PRINTER(ZM400)</t>
  </si>
  <si>
    <t>삼성탈레스용</t>
    <phoneticPr fontId="5" type="noConversion"/>
  </si>
  <si>
    <t>작업대(1000*2000)</t>
    <phoneticPr fontId="5" type="noConversion"/>
  </si>
  <si>
    <t>대일엠엔씨</t>
    <phoneticPr fontId="5" type="noConversion"/>
  </si>
  <si>
    <t>DICING</t>
  </si>
  <si>
    <t>스마트TV</t>
    <phoneticPr fontId="5" type="noConversion"/>
  </si>
  <si>
    <t>리빙프라자(주) 송천점</t>
    <phoneticPr fontId="5" type="noConversion"/>
  </si>
  <si>
    <t>학습조- 대표이사실</t>
    <phoneticPr fontId="5" type="noConversion"/>
  </si>
  <si>
    <t>백승우기사</t>
    <phoneticPr fontId="5" type="noConversion"/>
  </si>
  <si>
    <t>심인보상무-&gt;개발(장수지대리)</t>
    <phoneticPr fontId="5" type="noConversion"/>
  </si>
  <si>
    <t>심인보상무-&gt;영업(설영한대리)</t>
    <phoneticPr fontId="5" type="noConversion"/>
  </si>
  <si>
    <t>컴퓨터</t>
    <phoneticPr fontId="5" type="noConversion"/>
  </si>
  <si>
    <t>델 인터내셔날</t>
    <phoneticPr fontId="5" type="noConversion"/>
  </si>
  <si>
    <t>개발-박성운</t>
    <phoneticPr fontId="5" type="noConversion"/>
  </si>
  <si>
    <t>듀오백-DK2500G(의자)</t>
    <phoneticPr fontId="5" type="noConversion"/>
  </si>
  <si>
    <t>박병근사장님실</t>
    <phoneticPr fontId="5" type="noConversion"/>
  </si>
  <si>
    <t xml:space="preserve">N2 DESICCATER </t>
  </si>
  <si>
    <r>
      <t>캐비닛(</t>
    </r>
    <r>
      <rPr>
        <sz val="9"/>
        <color indexed="8"/>
        <rFont val="맑은 고딕"/>
        <family val="3"/>
        <charset val="129"/>
      </rPr>
      <t>SC-WCHM4R)</t>
    </r>
    <phoneticPr fontId="5" type="noConversion"/>
  </si>
  <si>
    <t>에스엔에스</t>
    <phoneticPr fontId="5" type="noConversion"/>
  </si>
  <si>
    <r>
      <t>프로젝터(엡손</t>
    </r>
    <r>
      <rPr>
        <sz val="9"/>
        <color indexed="8"/>
        <rFont val="맑은 고딕"/>
        <family val="3"/>
        <charset val="129"/>
      </rPr>
      <t>)</t>
    </r>
    <phoneticPr fontId="5" type="noConversion"/>
  </si>
  <si>
    <t>인성미디어</t>
    <phoneticPr fontId="5" type="noConversion"/>
  </si>
  <si>
    <t>접견실</t>
    <phoneticPr fontId="5" type="noConversion"/>
  </si>
  <si>
    <t>노트북(SD550-PD60K)-1</t>
    <phoneticPr fontId="5" type="noConversion"/>
  </si>
  <si>
    <t>㈜비스타넷</t>
    <phoneticPr fontId="5" type="noConversion"/>
  </si>
  <si>
    <t>개발-최윤상</t>
    <phoneticPr fontId="5" type="noConversion"/>
  </si>
  <si>
    <t>노트북(SD550-PD60K)-2</t>
    <phoneticPr fontId="5" type="noConversion"/>
  </si>
  <si>
    <t>개발-한병호</t>
    <phoneticPr fontId="5" type="noConversion"/>
  </si>
  <si>
    <t>㈜비스타넷</t>
    <phoneticPr fontId="5" type="noConversion"/>
  </si>
  <si>
    <t>개발-장수지</t>
    <phoneticPr fontId="5" type="noConversion"/>
  </si>
  <si>
    <t>관리부-박심선</t>
    <phoneticPr fontId="5" type="noConversion"/>
  </si>
  <si>
    <t>회의실</t>
    <phoneticPr fontId="5" type="noConversion"/>
  </si>
  <si>
    <t>비스타넷</t>
    <phoneticPr fontId="5" type="noConversion"/>
  </si>
  <si>
    <t>몰드(김상중대리)</t>
    <phoneticPr fontId="5" type="noConversion"/>
  </si>
  <si>
    <t>개발부 이승우부장</t>
    <phoneticPr fontId="5" type="noConversion"/>
  </si>
  <si>
    <t>개발부 손동현 기사</t>
    <phoneticPr fontId="5" type="noConversion"/>
  </si>
  <si>
    <t>개발부 서연호 기사</t>
    <phoneticPr fontId="5" type="noConversion"/>
  </si>
  <si>
    <t>개발부 이승우부장</t>
    <phoneticPr fontId="5" type="noConversion"/>
  </si>
  <si>
    <t>PDP TV(42")</t>
  </si>
  <si>
    <t>피씨수리센터</t>
    <phoneticPr fontId="5" type="noConversion"/>
  </si>
  <si>
    <t>본관2층소자1, SMT 1</t>
    <phoneticPr fontId="5" type="noConversion"/>
  </si>
  <si>
    <t>이베이코리아</t>
    <phoneticPr fontId="5" type="noConversion"/>
  </si>
  <si>
    <t>관리부(상근감사)</t>
    <phoneticPr fontId="5" type="noConversion"/>
  </si>
  <si>
    <t>한시스템</t>
    <phoneticPr fontId="5" type="noConversion"/>
  </si>
  <si>
    <t>개발부</t>
    <phoneticPr fontId="5" type="noConversion"/>
  </si>
  <si>
    <t>의자(660*600*1230)</t>
    <phoneticPr fontId="5" type="noConversion"/>
  </si>
  <si>
    <t>의자(620*600*1150)</t>
    <phoneticPr fontId="5" type="noConversion"/>
  </si>
  <si>
    <t>파티션</t>
    <phoneticPr fontId="5" type="noConversion"/>
  </si>
  <si>
    <t>제습기</t>
    <phoneticPr fontId="5" type="noConversion"/>
  </si>
  <si>
    <t>현대오피스가구</t>
    <phoneticPr fontId="5" type="noConversion"/>
  </si>
  <si>
    <t>비피씨엔에스</t>
    <phoneticPr fontId="5" type="noConversion"/>
  </si>
  <si>
    <t>보안용 SERVER</t>
    <phoneticPr fontId="5" type="noConversion"/>
  </si>
  <si>
    <t>다온소프트</t>
    <phoneticPr fontId="5" type="noConversion"/>
  </si>
  <si>
    <t>영업부</t>
    <phoneticPr fontId="5" type="noConversion"/>
  </si>
  <si>
    <t>영업부</t>
    <phoneticPr fontId="5" type="noConversion"/>
  </si>
  <si>
    <t>식기세척기</t>
    <phoneticPr fontId="5" type="noConversion"/>
  </si>
  <si>
    <t>군산종합주방</t>
    <phoneticPr fontId="5" type="noConversion"/>
  </si>
  <si>
    <t>식당동</t>
    <phoneticPr fontId="5" type="noConversion"/>
  </si>
  <si>
    <t>냉동냉장고</t>
    <phoneticPr fontId="5" type="noConversion"/>
  </si>
  <si>
    <t>보존식냉동고</t>
    <phoneticPr fontId="5" type="noConversion"/>
  </si>
  <si>
    <t>군산종합주방</t>
    <phoneticPr fontId="5" type="noConversion"/>
  </si>
  <si>
    <t>3단취반기</t>
    <phoneticPr fontId="5" type="noConversion"/>
  </si>
  <si>
    <t>자율배식대</t>
    <phoneticPr fontId="5" type="noConversion"/>
  </si>
  <si>
    <t>천정형 냉난방기</t>
    <phoneticPr fontId="5" type="noConversion"/>
  </si>
  <si>
    <t>지식나눔터</t>
    <phoneticPr fontId="5" type="noConversion"/>
  </si>
  <si>
    <t>VISUAL TABLE 외</t>
  </si>
  <si>
    <t>전일써쓰텍</t>
  </si>
  <si>
    <t>PC</t>
  </si>
  <si>
    <t>컴퓨존</t>
  </si>
  <si>
    <t>LED사업부</t>
  </si>
  <si>
    <t>슬림형 인버터 냉난방기</t>
  </si>
  <si>
    <t>익산세기냉동</t>
  </si>
  <si>
    <t>자재실</t>
  </si>
  <si>
    <t>회사명 : (주)오디텍 반도체사업부</t>
    <phoneticPr fontId="5" type="noConversion"/>
  </si>
  <si>
    <t>&lt;단위 : 원&gt;</t>
    <phoneticPr fontId="5" type="noConversion"/>
  </si>
  <si>
    <t>자산명</t>
    <phoneticPr fontId="5" type="noConversion"/>
  </si>
  <si>
    <t>당기증감</t>
    <phoneticPr fontId="5" type="noConversion"/>
  </si>
  <si>
    <t>당기상각</t>
    <phoneticPr fontId="5" type="noConversion"/>
  </si>
  <si>
    <t>설치철망</t>
    <phoneticPr fontId="5" type="noConversion"/>
  </si>
  <si>
    <t>인터폰</t>
    <phoneticPr fontId="5" type="noConversion"/>
  </si>
  <si>
    <t>사무용가구</t>
    <phoneticPr fontId="5" type="noConversion"/>
  </si>
  <si>
    <t>보스</t>
    <phoneticPr fontId="5" type="noConversion"/>
  </si>
  <si>
    <t>허브</t>
    <phoneticPr fontId="5" type="noConversion"/>
  </si>
  <si>
    <t>TKP-2000(전화기)</t>
    <phoneticPr fontId="5" type="noConversion"/>
  </si>
  <si>
    <t>다이제작</t>
    <phoneticPr fontId="5" type="noConversion"/>
  </si>
  <si>
    <t>DIGITAL CAMERA</t>
  </si>
  <si>
    <t>신도네트</t>
    <phoneticPr fontId="5" type="noConversion"/>
  </si>
  <si>
    <t>신도네트</t>
    <phoneticPr fontId="5" type="noConversion"/>
  </si>
  <si>
    <t>회전테이블</t>
    <phoneticPr fontId="5" type="noConversion"/>
  </si>
  <si>
    <t>㈜에이티엠</t>
    <phoneticPr fontId="5" type="noConversion"/>
  </si>
  <si>
    <t>책상3EA,3단서랍장3EA</t>
    <phoneticPr fontId="5" type="noConversion"/>
  </si>
  <si>
    <t>탁자4EA,의자8EA</t>
    <phoneticPr fontId="5" type="noConversion"/>
  </si>
  <si>
    <t>FAX</t>
  </si>
  <si>
    <t>탑정보시스템</t>
    <phoneticPr fontId="5" type="noConversion"/>
  </si>
  <si>
    <t>AIR-CON</t>
  </si>
  <si>
    <t>3단화일박스 및 탁자</t>
    <phoneticPr fontId="5" type="noConversion"/>
  </si>
  <si>
    <t>모드니가구</t>
    <phoneticPr fontId="5" type="noConversion"/>
  </si>
  <si>
    <t>한국종합주방</t>
    <phoneticPr fontId="5" type="noConversion"/>
  </si>
  <si>
    <t>철재책상</t>
    <phoneticPr fontId="5" type="noConversion"/>
  </si>
  <si>
    <t>WAPER PLATE ZONE 정렬기</t>
    <phoneticPr fontId="5" type="noConversion"/>
  </si>
  <si>
    <t>OA책장 5단</t>
    <phoneticPr fontId="5" type="noConversion"/>
  </si>
  <si>
    <t>전북사무용가구</t>
    <phoneticPr fontId="5" type="noConversion"/>
  </si>
  <si>
    <t>U형 테이블</t>
    <phoneticPr fontId="5" type="noConversion"/>
  </si>
  <si>
    <t>책상(1200)</t>
    <phoneticPr fontId="5" type="noConversion"/>
  </si>
  <si>
    <t>아이포</t>
    <phoneticPr fontId="5" type="noConversion"/>
  </si>
  <si>
    <t>전자랜드21</t>
    <phoneticPr fontId="5" type="noConversion"/>
  </si>
  <si>
    <t>사무용기기(책상,서랍,의자)</t>
    <phoneticPr fontId="5" type="noConversion"/>
  </si>
  <si>
    <t>하나저울</t>
    <phoneticPr fontId="5" type="noConversion"/>
  </si>
  <si>
    <t>냉난방기</t>
    <phoneticPr fontId="5" type="noConversion"/>
  </si>
  <si>
    <t>전기온수기</t>
    <phoneticPr fontId="5" type="noConversion"/>
  </si>
  <si>
    <t>대성상사</t>
    <phoneticPr fontId="5" type="noConversion"/>
  </si>
  <si>
    <t>계측기용 COMPUTER</t>
    <phoneticPr fontId="5" type="noConversion"/>
  </si>
  <si>
    <t>하이마트서곡점</t>
    <phoneticPr fontId="5" type="noConversion"/>
  </si>
  <si>
    <t>신도디지탈</t>
    <phoneticPr fontId="5" type="noConversion"/>
  </si>
  <si>
    <t>바코드프린터,바코드리더</t>
    <phoneticPr fontId="5" type="noConversion"/>
  </si>
  <si>
    <t>2004-02-21</t>
  </si>
  <si>
    <t>㈜프로텍</t>
    <phoneticPr fontId="5" type="noConversion"/>
  </si>
  <si>
    <t>책상</t>
    <phoneticPr fontId="5" type="noConversion"/>
  </si>
  <si>
    <t>전북사무용가구</t>
    <phoneticPr fontId="5" type="noConversion"/>
  </si>
  <si>
    <t>2004-04-13</t>
  </si>
  <si>
    <t>㈜하이마트</t>
    <phoneticPr fontId="5" type="noConversion"/>
  </si>
  <si>
    <t>칸막이</t>
    <phoneticPr fontId="5" type="noConversion"/>
  </si>
  <si>
    <t>유리탁자</t>
    <phoneticPr fontId="5" type="noConversion"/>
  </si>
  <si>
    <t>해성가구</t>
    <phoneticPr fontId="5" type="noConversion"/>
  </si>
  <si>
    <t>에어컨(히트펌프식)</t>
    <phoneticPr fontId="5" type="noConversion"/>
  </si>
  <si>
    <t>2004-05-29</t>
  </si>
  <si>
    <t>세기공조설비</t>
    <phoneticPr fontId="5" type="noConversion"/>
  </si>
  <si>
    <t>이동서랍(49단)</t>
    <phoneticPr fontId="5" type="noConversion"/>
  </si>
  <si>
    <t>2004-06-05</t>
  </si>
  <si>
    <t>탑,사이드,이동서랍</t>
    <phoneticPr fontId="5" type="noConversion"/>
  </si>
  <si>
    <t>OA책상</t>
    <phoneticPr fontId="5" type="noConversion"/>
  </si>
  <si>
    <t>의자(목근모도)</t>
    <phoneticPr fontId="5" type="noConversion"/>
  </si>
  <si>
    <t>의자(베스타)</t>
    <phoneticPr fontId="5" type="noConversion"/>
  </si>
  <si>
    <t>책장(5단)</t>
    <phoneticPr fontId="5" type="noConversion"/>
  </si>
  <si>
    <t>자판기 다이</t>
    <phoneticPr fontId="5" type="noConversion"/>
  </si>
  <si>
    <t>OA옷장</t>
    <phoneticPr fontId="5" type="noConversion"/>
  </si>
  <si>
    <t>회의용 테이블</t>
    <phoneticPr fontId="5" type="noConversion"/>
  </si>
  <si>
    <t>라운드 테이블</t>
    <phoneticPr fontId="5" type="noConversion"/>
  </si>
  <si>
    <t>신발장(60칸)</t>
    <phoneticPr fontId="5" type="noConversion"/>
  </si>
  <si>
    <t>원목 발판</t>
    <phoneticPr fontId="5" type="noConversion"/>
  </si>
  <si>
    <t>철재옷장(8인용)</t>
    <phoneticPr fontId="5" type="noConversion"/>
  </si>
  <si>
    <t>2004-06-13</t>
  </si>
  <si>
    <t>조립식 앵글(5단)</t>
    <phoneticPr fontId="5" type="noConversion"/>
  </si>
  <si>
    <t>2004-06-21</t>
  </si>
  <si>
    <t>조립식 앵글(6단)</t>
    <phoneticPr fontId="5" type="noConversion"/>
  </si>
  <si>
    <t>금반인테리어장식</t>
    <phoneticPr fontId="5" type="noConversion"/>
  </si>
  <si>
    <t>2004-06-22</t>
  </si>
  <si>
    <t>영광사무기기</t>
    <phoneticPr fontId="5" type="noConversion"/>
  </si>
  <si>
    <t>작업대(1600*800*750)</t>
    <phoneticPr fontId="5" type="noConversion"/>
  </si>
  <si>
    <t>신흥종합주방설비</t>
    <phoneticPr fontId="5" type="noConversion"/>
  </si>
  <si>
    <t>작업대(900*600*800)</t>
    <phoneticPr fontId="5" type="noConversion"/>
  </si>
  <si>
    <t>신흥종합주방설비</t>
    <phoneticPr fontId="5" type="noConversion"/>
  </si>
  <si>
    <t>선반</t>
    <phoneticPr fontId="5" type="noConversion"/>
  </si>
  <si>
    <t>철재옷장</t>
    <phoneticPr fontId="5" type="noConversion"/>
  </si>
  <si>
    <t>오성냉동ENG</t>
    <phoneticPr fontId="5" type="noConversion"/>
  </si>
  <si>
    <t>2004-07-29</t>
  </si>
  <si>
    <t>제품 건조대</t>
    <phoneticPr fontId="5" type="noConversion"/>
  </si>
  <si>
    <t>2004-08-01</t>
  </si>
  <si>
    <t>진열대</t>
    <phoneticPr fontId="5" type="noConversion"/>
  </si>
  <si>
    <t>2004-09-01</t>
  </si>
  <si>
    <t>MASK CARRIER</t>
  </si>
  <si>
    <t>2004-09-13</t>
  </si>
  <si>
    <t>두리텍</t>
    <phoneticPr fontId="5" type="noConversion"/>
  </si>
  <si>
    <t>작업테이블</t>
    <phoneticPr fontId="5" type="noConversion"/>
  </si>
  <si>
    <t>폐액운반구</t>
    <phoneticPr fontId="5" type="noConversion"/>
  </si>
  <si>
    <t>책장(5단)</t>
    <phoneticPr fontId="5" type="noConversion"/>
  </si>
  <si>
    <t>2004-10-26</t>
  </si>
  <si>
    <t>의자(슬라이딩)</t>
    <phoneticPr fontId="5" type="noConversion"/>
  </si>
  <si>
    <t>의자(보스)</t>
    <phoneticPr fontId="5" type="noConversion"/>
  </si>
  <si>
    <t>책장(철재)</t>
    <phoneticPr fontId="5" type="noConversion"/>
  </si>
  <si>
    <t>WORK STATION</t>
  </si>
  <si>
    <t>2004-11-13</t>
  </si>
  <si>
    <t>매트릭스세미컨덕터</t>
    <phoneticPr fontId="5" type="noConversion"/>
  </si>
  <si>
    <t>조립식앵글(5단)</t>
    <phoneticPr fontId="5" type="noConversion"/>
  </si>
  <si>
    <t>2005-01-21</t>
  </si>
  <si>
    <t>조립식앵글(3단)</t>
    <phoneticPr fontId="5" type="noConversion"/>
  </si>
  <si>
    <t>판넬공사(FAB3)</t>
    <phoneticPr fontId="5" type="noConversion"/>
  </si>
  <si>
    <t>2005-01-26</t>
  </si>
  <si>
    <t>천우건설</t>
    <phoneticPr fontId="5" type="noConversion"/>
  </si>
  <si>
    <t>드림정보전산</t>
    <phoneticPr fontId="5" type="noConversion"/>
  </si>
  <si>
    <t>디지털복사기(D-1023)</t>
    <phoneticPr fontId="5" type="noConversion"/>
  </si>
  <si>
    <t>슬라이드상자(280*280*230)</t>
    <phoneticPr fontId="5" type="noConversion"/>
  </si>
  <si>
    <t>2005-02-02</t>
  </si>
  <si>
    <t>작업대(1700*900*850)</t>
    <phoneticPr fontId="5" type="noConversion"/>
  </si>
  <si>
    <t>회전의자</t>
    <phoneticPr fontId="5" type="noConversion"/>
  </si>
  <si>
    <t>환의자</t>
    <phoneticPr fontId="5" type="noConversion"/>
  </si>
  <si>
    <t>책장선반</t>
    <phoneticPr fontId="5" type="noConversion"/>
  </si>
  <si>
    <t>신발장(15칸)</t>
    <phoneticPr fontId="5" type="noConversion"/>
  </si>
  <si>
    <t>조각간판(1400*1000)</t>
    <phoneticPr fontId="5" type="noConversion"/>
  </si>
  <si>
    <t>2005-02-04</t>
  </si>
  <si>
    <t>썬디자인광고기획</t>
    <phoneticPr fontId="5" type="noConversion"/>
  </si>
  <si>
    <t>판넬공사(크린룸)</t>
    <phoneticPr fontId="5" type="noConversion"/>
  </si>
  <si>
    <t>2005-02-16</t>
  </si>
  <si>
    <t>옷걸이</t>
    <phoneticPr fontId="5" type="noConversion"/>
  </si>
  <si>
    <t>2005-02-25</t>
  </si>
  <si>
    <t>호원상사</t>
    <phoneticPr fontId="5" type="noConversion"/>
  </si>
  <si>
    <t>양면 유니트</t>
    <phoneticPr fontId="5" type="noConversion"/>
  </si>
  <si>
    <t>인터체인지 유니트</t>
    <phoneticPr fontId="5" type="noConversion"/>
  </si>
  <si>
    <t>OA3단자(오픈형)</t>
    <phoneticPr fontId="5" type="noConversion"/>
  </si>
  <si>
    <t>OA3단자(하도어)</t>
    <phoneticPr fontId="5" type="noConversion"/>
  </si>
  <si>
    <t>OA3단자(올문형)</t>
    <phoneticPr fontId="5" type="noConversion"/>
  </si>
  <si>
    <t>프린터퓨저ASS'Y</t>
    <phoneticPr fontId="5" type="noConversion"/>
  </si>
  <si>
    <t>작업대(1700*900*800)</t>
    <phoneticPr fontId="5" type="noConversion"/>
  </si>
  <si>
    <t>2005-04-06</t>
  </si>
  <si>
    <t>작업대(550*400*700)</t>
    <phoneticPr fontId="5" type="noConversion"/>
  </si>
  <si>
    <t>작업대(800*600*800)</t>
    <phoneticPr fontId="5" type="noConversion"/>
  </si>
  <si>
    <t>작업대(900*700*800)</t>
    <phoneticPr fontId="5" type="noConversion"/>
  </si>
  <si>
    <t>선반(900*305*1550)</t>
    <phoneticPr fontId="5" type="noConversion"/>
  </si>
  <si>
    <t>공기청정기</t>
    <phoneticPr fontId="5" type="noConversion"/>
  </si>
  <si>
    <t>절탁자(2*6)</t>
    <phoneticPr fontId="5" type="noConversion"/>
  </si>
  <si>
    <t>접의자</t>
    <phoneticPr fontId="5" type="noConversion"/>
  </si>
  <si>
    <t>2005-06-14</t>
  </si>
  <si>
    <t>2005-07-26</t>
  </si>
  <si>
    <t>받침대(1300*750*120)</t>
    <phoneticPr fontId="5" type="noConversion"/>
  </si>
  <si>
    <t>2005-09-10</t>
  </si>
  <si>
    <t>석정반테이블(900*600)</t>
    <phoneticPr fontId="5" type="noConversion"/>
  </si>
  <si>
    <t>2005-09-15</t>
  </si>
  <si>
    <t>태경정밀정반</t>
    <phoneticPr fontId="5" type="noConversion"/>
  </si>
  <si>
    <t>작업대(1700*900*900)</t>
    <phoneticPr fontId="5" type="noConversion"/>
  </si>
  <si>
    <t>2005-09-21</t>
  </si>
  <si>
    <t>작업대(1400*650*900)</t>
    <phoneticPr fontId="5" type="noConversion"/>
  </si>
  <si>
    <t>2005-10-07</t>
  </si>
  <si>
    <t>삼보컴퓨터</t>
    <phoneticPr fontId="5" type="noConversion"/>
  </si>
  <si>
    <t>CCTV(하드,카메라8대)</t>
    <phoneticPr fontId="5" type="noConversion"/>
  </si>
  <si>
    <t>작업대(900*900*900)</t>
    <phoneticPr fontId="5" type="noConversion"/>
  </si>
  <si>
    <t>작업대(500*500*700)</t>
    <phoneticPr fontId="5" type="noConversion"/>
  </si>
  <si>
    <t>2005-12-05</t>
  </si>
  <si>
    <t>작업대(900*900*800)</t>
    <phoneticPr fontId="5" type="noConversion"/>
  </si>
  <si>
    <t>2005-12-31</t>
  </si>
  <si>
    <t>크린룸 판넬공사</t>
    <phoneticPr fontId="5" type="noConversion"/>
  </si>
  <si>
    <t>2006-01-31</t>
  </si>
  <si>
    <t>작업대(600*850*800)</t>
    <phoneticPr fontId="5" type="noConversion"/>
  </si>
  <si>
    <t>작업대(1000*850*800)</t>
    <phoneticPr fontId="5" type="noConversion"/>
  </si>
  <si>
    <t>전화대</t>
    <phoneticPr fontId="5" type="noConversion"/>
  </si>
  <si>
    <t>OA 책장</t>
    <phoneticPr fontId="5" type="noConversion"/>
  </si>
  <si>
    <t>2006-02-03</t>
  </si>
  <si>
    <t>진공 청소기</t>
    <phoneticPr fontId="5" type="noConversion"/>
  </si>
  <si>
    <t>2006-02-15</t>
  </si>
  <si>
    <t>서광하이테크</t>
    <phoneticPr fontId="5" type="noConversion"/>
  </si>
  <si>
    <t>오븐다이(1000*850*800)</t>
    <phoneticPr fontId="5" type="noConversion"/>
  </si>
  <si>
    <t>2006-03-25</t>
  </si>
  <si>
    <t>2006-04-18</t>
  </si>
  <si>
    <t>자기온습도계</t>
    <phoneticPr fontId="5" type="noConversion"/>
  </si>
  <si>
    <t>2006-05-15</t>
  </si>
  <si>
    <t>종로사이언스</t>
    <phoneticPr fontId="5" type="noConversion"/>
  </si>
  <si>
    <t>철재 책장</t>
    <phoneticPr fontId="5" type="noConversion"/>
  </si>
  <si>
    <t>2006-05-16</t>
  </si>
  <si>
    <t>2006-05-20</t>
  </si>
  <si>
    <t>판넬 공사</t>
    <phoneticPr fontId="5" type="noConversion"/>
  </si>
  <si>
    <t>2006-05-22</t>
  </si>
  <si>
    <t>거대개발</t>
    <phoneticPr fontId="5" type="noConversion"/>
  </si>
  <si>
    <t>2006-05-24</t>
  </si>
  <si>
    <t>2006-05-26</t>
  </si>
  <si>
    <t>OA 책상</t>
    <phoneticPr fontId="5" type="noConversion"/>
  </si>
  <si>
    <t>2006-06-12</t>
  </si>
  <si>
    <t>작업대(1500*900*600)</t>
    <phoneticPr fontId="5" type="noConversion"/>
  </si>
  <si>
    <t>2006-06-14</t>
  </si>
  <si>
    <t>작업대(900*600*710)</t>
    <phoneticPr fontId="5" type="noConversion"/>
  </si>
  <si>
    <t>GAS 보관함</t>
    <phoneticPr fontId="5" type="noConversion"/>
  </si>
  <si>
    <t>2006-06-23</t>
  </si>
  <si>
    <t>아텍산업</t>
    <phoneticPr fontId="5" type="noConversion"/>
  </si>
  <si>
    <t>냉난방기(KC-500)</t>
    <phoneticPr fontId="5" type="noConversion"/>
  </si>
  <si>
    <t>2006-08-14</t>
  </si>
  <si>
    <t>㈜하이코</t>
    <phoneticPr fontId="5" type="noConversion"/>
  </si>
  <si>
    <t>폐기물 보관대</t>
    <phoneticPr fontId="5" type="noConversion"/>
  </si>
  <si>
    <t>경인산업</t>
    <phoneticPr fontId="5" type="noConversion"/>
  </si>
  <si>
    <t>처재 책장</t>
    <phoneticPr fontId="5" type="noConversion"/>
  </si>
  <si>
    <t>현주컴퓨터</t>
    <phoneticPr fontId="5" type="noConversion"/>
  </si>
  <si>
    <t>레이저 프린터</t>
    <phoneticPr fontId="5" type="noConversion"/>
  </si>
  <si>
    <t>프린터 퓨저 ASS'Y</t>
    <phoneticPr fontId="5" type="noConversion"/>
  </si>
  <si>
    <t>프린터기</t>
    <phoneticPr fontId="5" type="noConversion"/>
  </si>
  <si>
    <t>테이블(1600*800*800)</t>
    <phoneticPr fontId="5" type="noConversion"/>
  </si>
  <si>
    <t>스텐찬장(1200*340*1240)</t>
    <phoneticPr fontId="5" type="noConversion"/>
  </si>
  <si>
    <t>아크릴 현판(1400*1000)</t>
    <phoneticPr fontId="5" type="noConversion"/>
  </si>
  <si>
    <t>전라아크릴</t>
    <phoneticPr fontId="5" type="noConversion"/>
  </si>
  <si>
    <t>이동 서랍</t>
    <phoneticPr fontId="5" type="noConversion"/>
  </si>
  <si>
    <t>냉난방기(88GY)</t>
    <phoneticPr fontId="5" type="noConversion"/>
  </si>
  <si>
    <t>테이블</t>
    <phoneticPr fontId="5" type="noConversion"/>
  </si>
  <si>
    <t>철재 책장(4*5)</t>
    <phoneticPr fontId="5" type="noConversion"/>
  </si>
  <si>
    <t>철재 옷장 6인</t>
    <phoneticPr fontId="5" type="noConversion"/>
  </si>
  <si>
    <t>작업대(800*500*750)</t>
    <phoneticPr fontId="5" type="noConversion"/>
  </si>
  <si>
    <t>㈜신흥종합주방설비</t>
    <phoneticPr fontId="5" type="noConversion"/>
  </si>
  <si>
    <t>작업대(900*600*750)</t>
    <phoneticPr fontId="5" type="noConversion"/>
  </si>
  <si>
    <t>작업대(1900*900*900)</t>
    <phoneticPr fontId="5" type="noConversion"/>
  </si>
  <si>
    <t>OA 책상(1200)</t>
    <phoneticPr fontId="5" type="noConversion"/>
  </si>
  <si>
    <t>오픈책장 5단</t>
    <phoneticPr fontId="5" type="noConversion"/>
  </si>
  <si>
    <t>HP SALE</t>
  </si>
  <si>
    <t>철재서고</t>
    <phoneticPr fontId="5" type="noConversion"/>
  </si>
  <si>
    <t>하이마트 서곡지점</t>
    <phoneticPr fontId="5" type="noConversion"/>
  </si>
  <si>
    <t>디지털북전주</t>
    <phoneticPr fontId="5" type="noConversion"/>
  </si>
  <si>
    <t>스텐판</t>
    <phoneticPr fontId="5" type="noConversion"/>
  </si>
  <si>
    <t>스텐 BOX</t>
    <phoneticPr fontId="5" type="noConversion"/>
  </si>
  <si>
    <t>알파정보</t>
    <phoneticPr fontId="5" type="noConversion"/>
  </si>
  <si>
    <t>삼성디지털프라자</t>
    <phoneticPr fontId="5" type="noConversion"/>
  </si>
  <si>
    <t>철재옷장(6인)</t>
    <phoneticPr fontId="5" type="noConversion"/>
  </si>
  <si>
    <t>신발장(15인)</t>
    <phoneticPr fontId="5" type="noConversion"/>
  </si>
  <si>
    <t>노트북(삼성센스 NT-R509-BAH1)</t>
    <phoneticPr fontId="5" type="noConversion"/>
  </si>
  <si>
    <t>디자인노트</t>
    <phoneticPr fontId="5" type="noConversion"/>
  </si>
  <si>
    <t>작업테이블(1600*500*700)</t>
    <phoneticPr fontId="5" type="noConversion"/>
  </si>
  <si>
    <t>포밍테이블(3*5)</t>
    <phoneticPr fontId="5" type="noConversion"/>
  </si>
  <si>
    <t>에어컨(벽걸이형)</t>
    <phoneticPr fontId="5" type="noConversion"/>
  </si>
  <si>
    <t>크린룸, 휴게실 및 창고 판네공사</t>
    <phoneticPr fontId="5" type="noConversion"/>
  </si>
  <si>
    <t>철재 오픈 서가</t>
    <phoneticPr fontId="5" type="noConversion"/>
  </si>
  <si>
    <t>파티션(1200)</t>
    <phoneticPr fontId="5" type="noConversion"/>
  </si>
  <si>
    <t>회의용 탁자</t>
    <phoneticPr fontId="5" type="noConversion"/>
  </si>
  <si>
    <t>철재 캐비닛</t>
    <phoneticPr fontId="5" type="noConversion"/>
  </si>
  <si>
    <t>작업테이블(700*1600*700)</t>
    <phoneticPr fontId="5" type="noConversion"/>
  </si>
  <si>
    <t>청소기(GS L-1245GP[041322])</t>
    <phoneticPr fontId="5" type="noConversion"/>
  </si>
  <si>
    <t>서광하이테크주식회사</t>
    <phoneticPr fontId="5" type="noConversion"/>
  </si>
  <si>
    <t>진열장(1200*00*1500)</t>
    <phoneticPr fontId="5" type="noConversion"/>
  </si>
  <si>
    <t>현대진열장</t>
    <phoneticPr fontId="5" type="noConversion"/>
  </si>
  <si>
    <t>작업대(2000*550*800)</t>
    <phoneticPr fontId="5" type="noConversion"/>
  </si>
  <si>
    <t>작업대(600*550*800)</t>
    <phoneticPr fontId="5" type="noConversion"/>
  </si>
  <si>
    <t>철재진열장(4*5)</t>
    <phoneticPr fontId="5" type="noConversion"/>
  </si>
  <si>
    <t>쇼파 3인</t>
    <phoneticPr fontId="5" type="noConversion"/>
  </si>
  <si>
    <t>응접테이블</t>
    <phoneticPr fontId="5" type="noConversion"/>
  </si>
  <si>
    <t>철재책장</t>
    <phoneticPr fontId="5" type="noConversion"/>
  </si>
  <si>
    <t>고정탁자</t>
    <phoneticPr fontId="5" type="noConversion"/>
  </si>
  <si>
    <t>컴퓨터(삼성 DM-V55)</t>
    <phoneticPr fontId="5" type="noConversion"/>
  </si>
  <si>
    <t>㈜디지리워드</t>
    <phoneticPr fontId="5" type="noConversion"/>
  </si>
  <si>
    <t>바코드 라벨 프린터(Z-M 400)</t>
    <phoneticPr fontId="5" type="noConversion"/>
  </si>
  <si>
    <t>작업대(1200*600*850)</t>
    <phoneticPr fontId="5" type="noConversion"/>
  </si>
  <si>
    <t>신흥그릇마트</t>
    <phoneticPr fontId="5" type="noConversion"/>
  </si>
  <si>
    <t>작업대(600*600*850)</t>
    <phoneticPr fontId="5" type="noConversion"/>
  </si>
  <si>
    <t>작업대(1700*900*930)</t>
    <phoneticPr fontId="5" type="noConversion"/>
  </si>
  <si>
    <t>작업대(900*650*900)</t>
    <phoneticPr fontId="5" type="noConversion"/>
  </si>
  <si>
    <t>레이져프린터(LBP330KG)</t>
    <phoneticPr fontId="5" type="noConversion"/>
  </si>
  <si>
    <t>컴퓨터(삼성 MV10)</t>
    <phoneticPr fontId="5" type="noConversion"/>
  </si>
  <si>
    <t>디지리워드</t>
    <phoneticPr fontId="5" type="noConversion"/>
  </si>
  <si>
    <t>직압데</t>
    <phoneticPr fontId="5" type="noConversion"/>
  </si>
  <si>
    <t>작업대(1600*900*700)</t>
    <phoneticPr fontId="5" type="noConversion"/>
  </si>
  <si>
    <t>우진ACT 호남지사</t>
    <phoneticPr fontId="5" type="noConversion"/>
  </si>
  <si>
    <t>작업대(1200*900*800)</t>
    <phoneticPr fontId="5" type="noConversion"/>
  </si>
  <si>
    <t>프린터(LBF7820)</t>
    <phoneticPr fontId="5" type="noConversion"/>
  </si>
  <si>
    <t>작업대(1700*800*700)</t>
    <phoneticPr fontId="5" type="noConversion"/>
  </si>
  <si>
    <t>CLEANING M/C SPINNER TABLE</t>
  </si>
  <si>
    <t>철재오픈진열장(1150*400*1700*선반5개)</t>
    <phoneticPr fontId="5" type="noConversion"/>
  </si>
  <si>
    <t>철재유리진열장(1150*400*1700*선반5개)</t>
    <phoneticPr fontId="5" type="noConversion"/>
  </si>
  <si>
    <t>신발장(2단*15칸, 900*360*1500)</t>
    <phoneticPr fontId="5" type="noConversion"/>
  </si>
  <si>
    <t>신발장(15칸, 900*360*1500)</t>
    <phoneticPr fontId="5" type="noConversion"/>
  </si>
  <si>
    <t>신발장(5열 2단, 1500*3560*710)</t>
    <phoneticPr fontId="5" type="noConversion"/>
  </si>
  <si>
    <t>철재옷장 6인(900*510*1800)</t>
    <phoneticPr fontId="5" type="noConversion"/>
  </si>
  <si>
    <t>사무용책장(800*400*1800)</t>
    <phoneticPr fontId="5" type="noConversion"/>
  </si>
  <si>
    <t>사무용책장(1200*750*730)</t>
    <phoneticPr fontId="5" type="noConversion"/>
  </si>
  <si>
    <t>사무용의자</t>
    <phoneticPr fontId="5" type="noConversion"/>
  </si>
  <si>
    <t>작업테이블(2단,900*600*800)</t>
    <phoneticPr fontId="5" type="noConversion"/>
  </si>
  <si>
    <t>작업테이블(2단,800*500*800)</t>
    <phoneticPr fontId="5" type="noConversion"/>
  </si>
  <si>
    <t>작업테이블(2단,1800*900*800)</t>
    <phoneticPr fontId="5" type="noConversion"/>
  </si>
  <si>
    <t>작업받침대</t>
    <phoneticPr fontId="5" type="noConversion"/>
  </si>
  <si>
    <t>약품보관대</t>
    <phoneticPr fontId="5" type="noConversion"/>
  </si>
  <si>
    <t>작업대(400*400*800)</t>
    <phoneticPr fontId="5" type="noConversion"/>
  </si>
  <si>
    <t>리눅스 삼바 서버 컴퓨터</t>
    <phoneticPr fontId="5" type="noConversion"/>
  </si>
  <si>
    <t>철재오픈서가(1150*400*1700)</t>
    <phoneticPr fontId="5" type="noConversion"/>
  </si>
  <si>
    <t>소형장식장(600*400*720)</t>
    <phoneticPr fontId="5" type="noConversion"/>
  </si>
  <si>
    <t>TV대(1500*500*450)</t>
    <phoneticPr fontId="5" type="noConversion"/>
  </si>
  <si>
    <t>5단하문장(800*400*1880)</t>
    <phoneticPr fontId="5" type="noConversion"/>
  </si>
  <si>
    <t>옥장(500*400*1880)</t>
    <phoneticPr fontId="5" type="noConversion"/>
  </si>
  <si>
    <t>미팅의자</t>
    <phoneticPr fontId="5" type="noConversion"/>
  </si>
  <si>
    <t>테이블(1500*900*720)</t>
    <phoneticPr fontId="5" type="noConversion"/>
  </si>
  <si>
    <t>원강연대</t>
    <phoneticPr fontId="5" type="noConversion"/>
  </si>
  <si>
    <t>잡지대4단</t>
    <phoneticPr fontId="5" type="noConversion"/>
  </si>
  <si>
    <t>절탁자(1800*450*720)</t>
    <phoneticPr fontId="5" type="noConversion"/>
  </si>
  <si>
    <t>청 접의자</t>
    <phoneticPr fontId="5" type="noConversion"/>
  </si>
  <si>
    <t>연결테이블(1400*600*720)</t>
    <phoneticPr fontId="5" type="noConversion"/>
  </si>
  <si>
    <t>희의테이블(1800*800*720)</t>
    <phoneticPr fontId="5" type="noConversion"/>
  </si>
  <si>
    <t>희의의자</t>
    <phoneticPr fontId="5" type="noConversion"/>
  </si>
  <si>
    <t>사무용책장(2000*1000*750)</t>
    <phoneticPr fontId="5" type="noConversion"/>
  </si>
  <si>
    <t>유리장(880*420*2000)</t>
    <phoneticPr fontId="5" type="noConversion"/>
  </si>
  <si>
    <t>옷장(550*420*2000)</t>
    <phoneticPr fontId="5" type="noConversion"/>
  </si>
  <si>
    <t>사무용쇼파1인</t>
    <phoneticPr fontId="5" type="noConversion"/>
  </si>
  <si>
    <t>응접테이블(1500*500*440)</t>
    <phoneticPr fontId="5" type="noConversion"/>
  </si>
  <si>
    <t>사무용책장(의자, 서랍포함)</t>
    <phoneticPr fontId="5" type="noConversion"/>
  </si>
  <si>
    <t>1층 전화대</t>
    <phoneticPr fontId="5" type="noConversion"/>
  </si>
  <si>
    <t>철재2층 침대</t>
    <phoneticPr fontId="5" type="noConversion"/>
  </si>
  <si>
    <t>프린터(HP5200L)</t>
    <phoneticPr fontId="5" type="noConversion"/>
  </si>
  <si>
    <t>프로젝트</t>
    <phoneticPr fontId="5" type="noConversion"/>
  </si>
  <si>
    <t>금고(ES-065)</t>
    <phoneticPr fontId="5" type="noConversion"/>
  </si>
  <si>
    <t>오피스디포</t>
    <phoneticPr fontId="5" type="noConversion"/>
  </si>
  <si>
    <t>청소기(SVC-1200SHA)</t>
    <phoneticPr fontId="5" type="noConversion"/>
  </si>
  <si>
    <t>철재 오픈서가(1500*400*1700)</t>
    <phoneticPr fontId="5" type="noConversion"/>
  </si>
  <si>
    <t>근태관리용</t>
    <phoneticPr fontId="5" type="noConversion"/>
  </si>
  <si>
    <t>개발 정정문기사</t>
    <phoneticPr fontId="5" type="noConversion"/>
  </si>
  <si>
    <t>발바닥세척기</t>
    <phoneticPr fontId="5" type="noConversion"/>
  </si>
  <si>
    <t>대신엠씨㈜</t>
    <phoneticPr fontId="5" type="noConversion"/>
  </si>
  <si>
    <t>신공장2, 전주1</t>
    <phoneticPr fontId="5" type="noConversion"/>
  </si>
  <si>
    <t>프린터(LBP3300)</t>
    <phoneticPr fontId="5" type="noConversion"/>
  </si>
  <si>
    <t>라미네이터(MARS A4/펠로우즈)</t>
    <phoneticPr fontId="5" type="noConversion"/>
  </si>
  <si>
    <t>5단오픈장(800*400*1880)</t>
    <phoneticPr fontId="5" type="noConversion"/>
  </si>
  <si>
    <t>신발장 2단(15칸, 900*360*1500)</t>
    <phoneticPr fontId="5" type="noConversion"/>
  </si>
  <si>
    <t>철재오픈진열장(1150*400*1700)</t>
    <phoneticPr fontId="5" type="noConversion"/>
  </si>
  <si>
    <t>철재선반</t>
    <phoneticPr fontId="5" type="noConversion"/>
  </si>
  <si>
    <t>철재주문서가3단(800*230*700)</t>
    <phoneticPr fontId="5" type="noConversion"/>
  </si>
  <si>
    <t>철재주문서가3단(600*230*700)</t>
    <phoneticPr fontId="5" type="noConversion"/>
  </si>
  <si>
    <t>철재주문서가3단(400*230*700)</t>
    <phoneticPr fontId="5" type="noConversion"/>
  </si>
  <si>
    <t>철재주문서가4단(800*230*900)</t>
    <phoneticPr fontId="5" type="noConversion"/>
  </si>
  <si>
    <t>철재주문서가2단(1600*230*500)</t>
    <phoneticPr fontId="5" type="noConversion"/>
  </si>
  <si>
    <t>철재주문서가(1150*400*1700)</t>
    <phoneticPr fontId="5" type="noConversion"/>
  </si>
  <si>
    <t>세미나테이블(1500*450*720)</t>
    <phoneticPr fontId="5" type="noConversion"/>
  </si>
  <si>
    <t>책상(1200*750*730)</t>
    <phoneticPr fontId="5" type="noConversion"/>
  </si>
  <si>
    <t>신공장 창고 신축</t>
    <phoneticPr fontId="5" type="noConversion"/>
  </si>
  <si>
    <t>㈜벧엘씨앤씨</t>
    <phoneticPr fontId="5" type="noConversion"/>
  </si>
  <si>
    <t>품질 강상진대리</t>
    <phoneticPr fontId="5" type="noConversion"/>
  </si>
  <si>
    <t>안내데스크</t>
    <phoneticPr fontId="5" type="noConversion"/>
  </si>
  <si>
    <t>현관 출입구</t>
    <phoneticPr fontId="5" type="noConversion"/>
  </si>
  <si>
    <t>탑마스타책상(1800*800*720)</t>
    <phoneticPr fontId="5" type="noConversion"/>
  </si>
  <si>
    <t>사이드책상(1200*430*680)</t>
    <phoneticPr fontId="5" type="noConversion"/>
  </si>
  <si>
    <t>이동서랍(400*575*600)</t>
    <phoneticPr fontId="5" type="noConversion"/>
  </si>
  <si>
    <t>의자(660*760*1120)</t>
    <phoneticPr fontId="5" type="noConversion"/>
  </si>
  <si>
    <t>아이컴퓨터클리닉</t>
    <phoneticPr fontId="5" type="noConversion"/>
  </si>
  <si>
    <t>이상용부장</t>
    <phoneticPr fontId="5" type="noConversion"/>
  </si>
  <si>
    <t>청운테크</t>
    <phoneticPr fontId="5" type="noConversion"/>
  </si>
  <si>
    <t>아싸컴</t>
    <phoneticPr fontId="5" type="noConversion"/>
  </si>
  <si>
    <r>
      <t>노트북(삼성아티브북</t>
    </r>
    <r>
      <rPr>
        <sz val="9"/>
        <color indexed="8"/>
        <rFont val="맑은 고딕"/>
        <family val="3"/>
        <charset val="129"/>
      </rPr>
      <t>9 NT905S3T-KDBS)</t>
    </r>
    <phoneticPr fontId="5" type="noConversion"/>
  </si>
  <si>
    <t>완소컴퓨터</t>
    <phoneticPr fontId="5" type="noConversion"/>
  </si>
  <si>
    <t>최봉민 대표</t>
    <phoneticPr fontId="5" type="noConversion"/>
  </si>
  <si>
    <t>김명준 이사</t>
    <phoneticPr fontId="5" type="noConversion"/>
  </si>
  <si>
    <t>책장(1200*300*2000)</t>
    <phoneticPr fontId="5" type="noConversion"/>
  </si>
  <si>
    <t>휴게실</t>
    <phoneticPr fontId="5" type="noConversion"/>
  </si>
  <si>
    <t>휴게실 의자</t>
    <phoneticPr fontId="5" type="noConversion"/>
  </si>
  <si>
    <t>입구 화분대(1200*350*700)</t>
    <phoneticPr fontId="5" type="noConversion"/>
  </si>
  <si>
    <t>화분대(1200*350*900)</t>
    <phoneticPr fontId="5" type="noConversion"/>
  </si>
  <si>
    <t>원탁(900)</t>
    <phoneticPr fontId="5" type="noConversion"/>
  </si>
  <si>
    <t>UTM, HUB</t>
  </si>
  <si>
    <t>케이씨에프인터내셔날</t>
    <phoneticPr fontId="5" type="noConversion"/>
  </si>
  <si>
    <t>전산관리자</t>
    <phoneticPr fontId="5" type="noConversion"/>
  </si>
  <si>
    <t>PC외</t>
    <phoneticPr fontId="5" type="noConversion"/>
  </si>
  <si>
    <t>세단기</t>
    <phoneticPr fontId="5" type="noConversion"/>
  </si>
  <si>
    <t>컴퓨존</t>
    <phoneticPr fontId="5" type="noConversion"/>
  </si>
  <si>
    <t>컴퓨터및주변기기</t>
    <phoneticPr fontId="5" type="noConversion"/>
  </si>
  <si>
    <t>DISKLESS 시스템 구축용</t>
    <phoneticPr fontId="5" type="noConversion"/>
  </si>
  <si>
    <t>SWITCH HUB</t>
  </si>
  <si>
    <t>STORAGE SERVER외</t>
    <phoneticPr fontId="5" type="noConversion"/>
  </si>
  <si>
    <t>㈜오스테이션</t>
    <phoneticPr fontId="5" type="noConversion"/>
  </si>
  <si>
    <t>임원</t>
    <phoneticPr fontId="5" type="noConversion"/>
  </si>
  <si>
    <t>이동서랍(400*520*600)</t>
    <phoneticPr fontId="5" type="noConversion"/>
  </si>
  <si>
    <t>EDS DATA SERVER</t>
  </si>
  <si>
    <t>MES DB SERVER</t>
  </si>
  <si>
    <r>
      <t>바코드,</t>
    </r>
    <r>
      <rPr>
        <sz val="9"/>
        <color indexed="8"/>
        <rFont val="맑은 고딕"/>
        <family val="3"/>
        <charset val="129"/>
      </rPr>
      <t>SPC관리,출하관리시스템</t>
    </r>
    <phoneticPr fontId="5" type="noConversion"/>
  </si>
  <si>
    <t>SERVER</t>
  </si>
  <si>
    <r>
      <t>프로그램 개발용</t>
    </r>
    <r>
      <rPr>
        <sz val="9"/>
        <color indexed="8"/>
        <rFont val="맑은 고딕"/>
        <family val="3"/>
        <charset val="129"/>
      </rPr>
      <t xml:space="preserve"> 테스트서버</t>
    </r>
    <phoneticPr fontId="5" type="noConversion"/>
  </si>
  <si>
    <t xml:space="preserve"> 동진체어 </t>
    <phoneticPr fontId="5" type="noConversion"/>
  </si>
  <si>
    <t>기술고문</t>
    <phoneticPr fontId="5" type="noConversion"/>
  </si>
  <si>
    <t>사이드책상(1200*450*650)</t>
    <phoneticPr fontId="5" type="noConversion"/>
  </si>
  <si>
    <t xml:space="preserve"> 비피씨엔이스 </t>
    <phoneticPr fontId="5" type="noConversion"/>
  </si>
  <si>
    <t>생산 전산</t>
    <phoneticPr fontId="5" type="noConversion"/>
  </si>
  <si>
    <t>전사공정</t>
    <phoneticPr fontId="5" type="noConversion"/>
  </si>
  <si>
    <t>ERP 서버</t>
    <phoneticPr fontId="5" type="noConversion"/>
  </si>
  <si>
    <t>레이트론(JAPAN)</t>
    <phoneticPr fontId="5" type="noConversion"/>
  </si>
  <si>
    <t>PHOTO IC 설계용</t>
    <phoneticPr fontId="5" type="noConversion"/>
  </si>
  <si>
    <t>라벨프린터</t>
  </si>
  <si>
    <t>트러스트텍</t>
  </si>
  <si>
    <t>회사명 : (주)오디텍</t>
    <phoneticPr fontId="5" type="noConversion"/>
  </si>
  <si>
    <t>구분</t>
    <phoneticPr fontId="5" type="noConversion"/>
  </si>
  <si>
    <t>취득년월일</t>
    <phoneticPr fontId="5" type="noConversion"/>
  </si>
  <si>
    <t>당기증감</t>
    <phoneticPr fontId="5" type="noConversion"/>
  </si>
  <si>
    <t>월수</t>
    <phoneticPr fontId="5" type="noConversion"/>
  </si>
  <si>
    <t>당기말상각누계액</t>
    <phoneticPr fontId="5" type="noConversion"/>
  </si>
  <si>
    <t>비 고</t>
    <phoneticPr fontId="5" type="noConversion"/>
  </si>
  <si>
    <t>4분기상각</t>
    <phoneticPr fontId="5" type="noConversion"/>
  </si>
  <si>
    <t>차이</t>
    <phoneticPr fontId="5" type="noConversion"/>
  </si>
  <si>
    <t>특허권</t>
    <phoneticPr fontId="5" type="noConversion"/>
  </si>
  <si>
    <t>2000.02.19</t>
  </si>
  <si>
    <t>상각종료</t>
    <phoneticPr fontId="5" type="noConversion"/>
  </si>
  <si>
    <t>특허권(개발비)</t>
    <phoneticPr fontId="5" type="noConversion"/>
  </si>
  <si>
    <t>2000.03.01</t>
  </si>
  <si>
    <t>실용신안권</t>
    <phoneticPr fontId="5" type="noConversion"/>
  </si>
  <si>
    <t>2003.03.10</t>
  </si>
  <si>
    <t>상각종료</t>
    <phoneticPr fontId="5" type="noConversion"/>
  </si>
  <si>
    <t>2004.12.20</t>
  </si>
  <si>
    <t>상각종료</t>
    <phoneticPr fontId="5" type="noConversion"/>
  </si>
  <si>
    <t>상표권</t>
    <phoneticPr fontId="5" type="noConversion"/>
  </si>
  <si>
    <t>2005.02.25</t>
  </si>
  <si>
    <t>상각종료</t>
    <phoneticPr fontId="5" type="noConversion"/>
  </si>
  <si>
    <t>소프트웨어</t>
    <phoneticPr fontId="5" type="noConversion"/>
  </si>
  <si>
    <t>2005.04.04</t>
  </si>
  <si>
    <t>2005.07.27</t>
  </si>
  <si>
    <t>2005.10.24</t>
  </si>
  <si>
    <t>소프트웨어</t>
    <phoneticPr fontId="5" type="noConversion"/>
  </si>
  <si>
    <t>2005.11.11</t>
  </si>
  <si>
    <t>상표권</t>
    <phoneticPr fontId="5" type="noConversion"/>
  </si>
  <si>
    <t>2006.03.23</t>
  </si>
  <si>
    <t>2006.08.24</t>
  </si>
  <si>
    <t>개발비(태양광추적센서)</t>
    <phoneticPr fontId="5" type="noConversion"/>
  </si>
  <si>
    <t xml:space="preserve"> 2006.10.31</t>
  </si>
  <si>
    <t>개발비(DOOR Sensor)</t>
    <phoneticPr fontId="5" type="noConversion"/>
  </si>
  <si>
    <t>2007.02.01</t>
  </si>
  <si>
    <t>개발비(ROOM Lamp)</t>
    <phoneticPr fontId="5" type="noConversion"/>
  </si>
  <si>
    <t>개발비(64광축)</t>
    <phoneticPr fontId="5" type="noConversion"/>
  </si>
  <si>
    <t>2007.05.01</t>
  </si>
  <si>
    <t>개발비(COLOR Sensor)</t>
    <phoneticPr fontId="5" type="noConversion"/>
  </si>
  <si>
    <t>2007.07.01</t>
  </si>
  <si>
    <t>개발비(LDM(실내용))</t>
    <phoneticPr fontId="5" type="noConversion"/>
  </si>
  <si>
    <t>개발비(OAS-8014스크린도어)</t>
    <phoneticPr fontId="5" type="noConversion"/>
  </si>
  <si>
    <t>2007.08.01</t>
  </si>
  <si>
    <t>개발비(OAS-3032차장감지장치)</t>
    <phoneticPr fontId="5" type="noConversion"/>
  </si>
  <si>
    <t>2007.09.01</t>
  </si>
  <si>
    <t>2007.10.29</t>
  </si>
  <si>
    <t>개발비(LDM(실외용))</t>
    <phoneticPr fontId="5" type="noConversion"/>
  </si>
  <si>
    <t>2007.11.01</t>
  </si>
  <si>
    <t>개발비(리니어 인터럽터)</t>
    <phoneticPr fontId="5" type="noConversion"/>
  </si>
  <si>
    <t>2007.12.31</t>
  </si>
  <si>
    <t>개발비(상,하단 램프)</t>
    <phoneticPr fontId="5" type="noConversion"/>
  </si>
  <si>
    <t>2008.06.01</t>
  </si>
  <si>
    <t>2008.06.04</t>
  </si>
  <si>
    <t>개발비(2컬러PD)</t>
    <phoneticPr fontId="5" type="noConversion"/>
  </si>
  <si>
    <t>2008.07.01</t>
  </si>
  <si>
    <t>2008.07.22</t>
  </si>
  <si>
    <t>2008.07.26</t>
  </si>
  <si>
    <t>개발비(SLC)</t>
    <phoneticPr fontId="5" type="noConversion"/>
  </si>
  <si>
    <t>2008.08.01</t>
  </si>
  <si>
    <t>개발비(조도센서)</t>
    <phoneticPr fontId="5" type="noConversion"/>
  </si>
  <si>
    <t>2008.10.01</t>
  </si>
  <si>
    <t>소프트웨어</t>
    <phoneticPr fontId="5" type="noConversion"/>
  </si>
  <si>
    <t>2008.12.08</t>
  </si>
  <si>
    <t>개발비(P 프로젝트)</t>
    <phoneticPr fontId="5" type="noConversion"/>
  </si>
  <si>
    <t>2008.12.31</t>
  </si>
  <si>
    <t>개발비(광전센서)</t>
    <phoneticPr fontId="5" type="noConversion"/>
  </si>
  <si>
    <t>개발비(H프로젝트)</t>
    <phoneticPr fontId="5" type="noConversion"/>
  </si>
  <si>
    <t>개발비(OP58TF)</t>
    <phoneticPr fontId="5" type="noConversion"/>
  </si>
  <si>
    <t>2009.05.22</t>
  </si>
  <si>
    <t>2009.08.20</t>
  </si>
  <si>
    <t>OP30TS</t>
  </si>
  <si>
    <t>2009.10.01</t>
  </si>
  <si>
    <t>개발비(SUN SENSOR DIGITAL)</t>
    <phoneticPr fontId="5" type="noConversion"/>
  </si>
  <si>
    <t>2009.11.01</t>
  </si>
  <si>
    <t>2009.12.04</t>
  </si>
  <si>
    <t>2010.03.25</t>
  </si>
  <si>
    <t>2010.08.05</t>
  </si>
  <si>
    <t>개발비(집광형추적센서)</t>
    <phoneticPr fontId="5" type="noConversion"/>
  </si>
  <si>
    <t>2011.12.31</t>
  </si>
  <si>
    <t>개발비(MTS IR ANT)</t>
    <phoneticPr fontId="5" type="noConversion"/>
  </si>
  <si>
    <t>개발비(리니어 센서)</t>
    <phoneticPr fontId="5" type="noConversion"/>
  </si>
  <si>
    <t>개발비(엘리베이터센서)</t>
    <phoneticPr fontId="5" type="noConversion"/>
  </si>
  <si>
    <t>2013.11.15</t>
  </si>
  <si>
    <t>2015.03.25</t>
  </si>
  <si>
    <t>ORCAD PSPICE DESINGER PLUS</t>
  </si>
  <si>
    <t>2017.07.25</t>
  </si>
  <si>
    <t>CAD</t>
  </si>
  <si>
    <t>2017.10.20</t>
  </si>
  <si>
    <t>4분기</t>
    <phoneticPr fontId="5" type="noConversion"/>
  </si>
  <si>
    <t>판관</t>
    <phoneticPr fontId="5" type="noConversion"/>
  </si>
  <si>
    <t>개발비</t>
    <phoneticPr fontId="5" type="noConversion"/>
  </si>
  <si>
    <t>3분기</t>
    <phoneticPr fontId="5" type="noConversion"/>
  </si>
  <si>
    <t>2분기</t>
    <phoneticPr fontId="5" type="noConversion"/>
  </si>
  <si>
    <t>1분기</t>
    <phoneticPr fontId="5" type="noConversion"/>
  </si>
  <si>
    <t>1분기</t>
    <phoneticPr fontId="5" type="noConversion"/>
  </si>
  <si>
    <t>검증</t>
    <phoneticPr fontId="5" type="noConversion"/>
  </si>
  <si>
    <t>이  월</t>
    <phoneticPr fontId="5" type="noConversion"/>
  </si>
  <si>
    <t>계정과목</t>
    <phoneticPr fontId="5" type="noConversion"/>
  </si>
  <si>
    <t>무형자산상각비(판)</t>
    <phoneticPr fontId="5" type="noConversion"/>
  </si>
  <si>
    <t>무형자산상각비(제)</t>
    <phoneticPr fontId="5" type="noConversion"/>
  </si>
  <si>
    <t>무형자산상각비(판)</t>
    <phoneticPr fontId="5" type="noConversion"/>
  </si>
  <si>
    <t>상표권</t>
    <phoneticPr fontId="5" type="noConversion"/>
  </si>
  <si>
    <t>검증</t>
    <phoneticPr fontId="5" type="noConversion"/>
  </si>
  <si>
    <t>특허권</t>
    <phoneticPr fontId="5" type="noConversion"/>
  </si>
  <si>
    <t>무형자산상각비(제)</t>
    <phoneticPr fontId="5" type="noConversion"/>
  </si>
  <si>
    <t>소프트웨어</t>
    <phoneticPr fontId="5" type="noConversion"/>
  </si>
  <si>
    <t>개발비</t>
    <phoneticPr fontId="5" type="noConversion"/>
  </si>
  <si>
    <t>Total</t>
  </si>
  <si>
    <t>검증</t>
    <phoneticPr fontId="5" type="noConversion"/>
  </si>
  <si>
    <t>무형자산상각비(판)</t>
    <phoneticPr fontId="5" type="noConversion"/>
  </si>
  <si>
    <t>TESTER HANDLER(SU7500CSP)</t>
  </si>
  <si>
    <t>PLASTIC DEFLASHER</t>
  </si>
  <si>
    <t>에스이테크</t>
  </si>
  <si>
    <t>상아기공</t>
  </si>
  <si>
    <t>제네시스</t>
    <phoneticPr fontId="4" type="noConversion"/>
  </si>
  <si>
    <t>SOURCE METER(KEITHLEY 2612B)</t>
  </si>
  <si>
    <t>리솔루션</t>
    <phoneticPr fontId="4" type="noConversion"/>
  </si>
  <si>
    <t>MOLD 금형 적치대</t>
  </si>
  <si>
    <t>한국플랜테크</t>
    <phoneticPr fontId="4" type="noConversion"/>
  </si>
  <si>
    <t>감가상각비</t>
  </si>
  <si>
    <t>건물</t>
  </si>
  <si>
    <t>감가상각비(DM)</t>
  </si>
  <si>
    <t>구축물</t>
  </si>
  <si>
    <t>감가상각비(반도체)</t>
  </si>
  <si>
    <t>기계</t>
  </si>
  <si>
    <t>차량</t>
  </si>
  <si>
    <t>공구</t>
  </si>
  <si>
    <t>비품</t>
  </si>
  <si>
    <t>반도체</t>
  </si>
  <si>
    <t>판관, 영업용차량(폐차2019.05.28)</t>
    <phoneticPr fontId="5" type="noConversion"/>
  </si>
  <si>
    <t>FILM ATTACH &amp; CASE 조립설비</t>
  </si>
  <si>
    <t>금형(PSD SENSOR 이너홀더)</t>
  </si>
  <si>
    <t>금형(PSD SENSOR 하우징)</t>
  </si>
  <si>
    <t>금형(SUNLOAD SENSOR V2_CASE)</t>
  </si>
  <si>
    <t>PSD 거리측정 테스터</t>
  </si>
  <si>
    <t>PSD PACKING TRAY(진공 블로우)</t>
  </si>
  <si>
    <t>금형(썬로드센서 홀더)</t>
  </si>
  <si>
    <t>XRF ANALYZER(EA1000Aⅲ)</t>
  </si>
  <si>
    <t>금형(일사센서 CASE)</t>
  </si>
  <si>
    <t>금형(먼지센서 렌즈)</t>
  </si>
  <si>
    <t>금형(PSD LED LENS)</t>
  </si>
  <si>
    <t>금형(PSD SENSOR LENS)</t>
  </si>
  <si>
    <t>금오몰드</t>
  </si>
  <si>
    <t>HITACHI HIGH-TECH</t>
  </si>
  <si>
    <t>JURARON</t>
  </si>
  <si>
    <t>상용특장차</t>
  </si>
  <si>
    <t>2019.09.30 폐기</t>
  </si>
  <si>
    <t>2019.09.30 폐기</t>
    <phoneticPr fontId="4" type="noConversion"/>
  </si>
  <si>
    <t>GRINDER M/C(PG200)</t>
  </si>
  <si>
    <t>전기공사-PG200</t>
  </si>
  <si>
    <t>유틸리티 연결공사-PG200</t>
  </si>
  <si>
    <t>아이엔티에스</t>
  </si>
  <si>
    <t>현대종합전기</t>
  </si>
  <si>
    <t>도일이엔지</t>
  </si>
  <si>
    <t>금형(썬로드센서 덮개/QDM)</t>
  </si>
  <si>
    <t>금형(SLS SENSOR/UPPER)</t>
  </si>
  <si>
    <t>금형(COVER_PC)</t>
  </si>
  <si>
    <t>금형(CASE_PC)</t>
  </si>
  <si>
    <t xml:space="preserve">금형(PSD CASE 목업_2CAVITY) </t>
  </si>
  <si>
    <t>금형(PSD 홀더_2CAVITY)</t>
  </si>
  <si>
    <t>금형(PSD 센서덮개목업_2CAVITY)</t>
  </si>
  <si>
    <t>금형(HOLDER_PC)</t>
  </si>
  <si>
    <t>금형(먼지센서 CASE_2CAVITY)</t>
  </si>
  <si>
    <t>금형(먼지센서 홀더_2CAVITY)</t>
  </si>
  <si>
    <t>금형(먼지센서홀더 덮개_2CAVITY)</t>
  </si>
  <si>
    <t>썬로드센서광학테스터</t>
  </si>
  <si>
    <t>금형(썬로드센서 PCB 타발)</t>
  </si>
  <si>
    <t>금형(썬로드센서 CASE 이중사출)</t>
  </si>
  <si>
    <t>금형(썬로드센서 리드프레임)</t>
  </si>
  <si>
    <t>PSD센서 소자테스터</t>
  </si>
  <si>
    <t>선반-독립형(1200*450*2100)</t>
  </si>
  <si>
    <t>선반-연결형(1200*450*2100)</t>
  </si>
  <si>
    <t>선반-연결형(900*450*2100)</t>
  </si>
  <si>
    <t>네모코리아</t>
  </si>
  <si>
    <t>유림기업</t>
  </si>
  <si>
    <t>상수도급수공사(식당)</t>
    <phoneticPr fontId="5" type="noConversion"/>
  </si>
  <si>
    <t>2019.08.09</t>
    <phoneticPr fontId="4" type="noConversion"/>
  </si>
  <si>
    <t>변전실 전기 승압 공사(신관)</t>
    <phoneticPr fontId="5" type="noConversion"/>
  </si>
  <si>
    <t>2019.07.31일부 폐기</t>
    <phoneticPr fontId="5" type="noConversion"/>
  </si>
  <si>
    <r>
      <t xml:space="preserve"> 06.11.7자본적, </t>
    </r>
    <r>
      <rPr>
        <sz val="10"/>
        <color indexed="8"/>
        <rFont val="맑은 고딕"/>
        <family val="3"/>
        <charset val="129"/>
      </rPr>
      <t>2019.07.31 폐기</t>
    </r>
    <phoneticPr fontId="5" type="noConversion"/>
  </si>
  <si>
    <t>2019.07.31 폐기</t>
    <phoneticPr fontId="4" type="noConversion"/>
  </si>
  <si>
    <t>신발장(154칸)</t>
    <phoneticPr fontId="4" type="noConversion"/>
  </si>
  <si>
    <t>19.10.24 폐기</t>
    <phoneticPr fontId="4" type="noConversion"/>
  </si>
  <si>
    <t>항혼항습설비</t>
  </si>
  <si>
    <t>AOI 외</t>
  </si>
  <si>
    <t>AUTO BLADE BAR COATER</t>
  </si>
  <si>
    <t>양압공사</t>
  </si>
  <si>
    <t>대성기연</t>
  </si>
  <si>
    <t>비티엔</t>
  </si>
  <si>
    <t>한테크(코팅장비)</t>
  </si>
  <si>
    <t>SMT라인</t>
  </si>
  <si>
    <t>5리터 합성반응장치</t>
  </si>
  <si>
    <t>EAD-6340(SAWING M/C)</t>
  </si>
  <si>
    <t>아토솔루션</t>
  </si>
  <si>
    <t>서플러스글로벌</t>
  </si>
  <si>
    <t>핵심소재</t>
  </si>
  <si>
    <t>금형(OGR-103P 컨벤셜 MOLD)</t>
  </si>
  <si>
    <t>금형(썬로드센서 홀더/PC,BLACK)</t>
  </si>
  <si>
    <t>금형(PSD SMT 트레이_ABS BLACK)</t>
  </si>
  <si>
    <t>작업대(800*500*800)</t>
  </si>
  <si>
    <t>전일써스텍</t>
  </si>
  <si>
    <t>PASTE MIXER</t>
  </si>
  <si>
    <t>대화테크</t>
  </si>
  <si>
    <t>관류형증기보일러</t>
  </si>
  <si>
    <t>한국미우라공업</t>
  </si>
  <si>
    <t>작업대(800*500*600)</t>
  </si>
  <si>
    <t>소프트웨어</t>
    <phoneticPr fontId="4" type="noConversion"/>
  </si>
  <si>
    <t>윈도우</t>
    <phoneticPr fontId="4" type="noConversion"/>
  </si>
  <si>
    <t>2020.01.13</t>
    <phoneticPr fontId="4" type="noConversion"/>
  </si>
  <si>
    <t>2020.05.25 폐기</t>
    <phoneticPr fontId="4" type="noConversion"/>
  </si>
  <si>
    <t>신공장 16.11.7 자본적지출, 2020.05.29 1대 매각</t>
    <phoneticPr fontId="5" type="noConversion"/>
  </si>
  <si>
    <t>에이프로시스템즈</t>
    <phoneticPr fontId="5" type="noConversion"/>
  </si>
  <si>
    <t>전주렉시안아파트(108동 303호)</t>
    <phoneticPr fontId="5" type="noConversion"/>
  </si>
  <si>
    <t>41.5811㎡</t>
    <phoneticPr fontId="5" type="noConversion"/>
  </si>
  <si>
    <t>(2020.06.12 매각)</t>
    <phoneticPr fontId="4" type="noConversion"/>
  </si>
  <si>
    <t>EJ옵틱스</t>
  </si>
  <si>
    <t>TESTER(LAOTB_S)</t>
  </si>
  <si>
    <t>홀더금형(OL44GLF-4CH-RC)</t>
  </si>
  <si>
    <t>금형(OMP-R801용 L/F 사출)</t>
  </si>
  <si>
    <t>금형(한정반사 포토센서 INSERT)</t>
  </si>
  <si>
    <t>금형(CASE MOCK-UP)</t>
  </si>
  <si>
    <t>금형(LENS MOCK-UP)</t>
  </si>
  <si>
    <t>중량랙(연결형)</t>
  </si>
  <si>
    <t>복사기(N-501)</t>
  </si>
  <si>
    <t>팩스(M2870FW)</t>
  </si>
  <si>
    <t>영광종합사무기</t>
  </si>
  <si>
    <t>대형REEL선반</t>
  </si>
  <si>
    <t>소형REEL선반</t>
  </si>
  <si>
    <t>ERP</t>
    <phoneticPr fontId="4" type="noConversion"/>
  </si>
  <si>
    <t>2020.04.21</t>
    <phoneticPr fontId="4" type="noConversion"/>
  </si>
  <si>
    <t>관리부</t>
    <phoneticPr fontId="4" type="noConversion"/>
  </si>
  <si>
    <t>특허권</t>
    <phoneticPr fontId="4" type="noConversion"/>
  </si>
  <si>
    <t>진드기용 천연 살비제</t>
    <phoneticPr fontId="4" type="noConversion"/>
  </si>
  <si>
    <t>2020.05.27</t>
    <phoneticPr fontId="4" type="noConversion"/>
  </si>
  <si>
    <t>판관</t>
    <phoneticPr fontId="4" type="noConversion"/>
  </si>
  <si>
    <t>성남 엠코헤리츠(302/707)</t>
  </si>
  <si>
    <t>유스랩</t>
  </si>
  <si>
    <t>2020.09.28</t>
  </si>
  <si>
    <t>본사건물(용암리814)</t>
    <phoneticPr fontId="5" type="noConversion"/>
  </si>
  <si>
    <t>본사건물 제3동(식당)</t>
    <phoneticPr fontId="5" type="noConversion"/>
  </si>
  <si>
    <t>AIR COMPRESSOR M/C</t>
  </si>
  <si>
    <t>반자동 단면밸런스 머신</t>
  </si>
  <si>
    <t>대진기계</t>
  </si>
  <si>
    <t>코엔지바란스</t>
  </si>
  <si>
    <t>SOURCE METER</t>
  </si>
  <si>
    <t>금형(COVER INSERT)</t>
  </si>
  <si>
    <t>금형(TRAY BK-722-2호 상)</t>
  </si>
  <si>
    <t>금형(TRAY BK-722-2호 하)</t>
  </si>
  <si>
    <t>금형(1CH HUD LED TRAY)</t>
  </si>
  <si>
    <t>코아텍계측기</t>
  </si>
  <si>
    <t>나노소재 R&amp;D지원사업</t>
  </si>
  <si>
    <t>QE-2000</t>
  </si>
  <si>
    <t>Laser marker</t>
  </si>
  <si>
    <t>2020.11.04</t>
  </si>
  <si>
    <t>2020.11.17</t>
  </si>
  <si>
    <t>한국오츠카전자</t>
  </si>
  <si>
    <t>TAIZHOU ICON PRECISION TECHNOLOGY</t>
  </si>
  <si>
    <t>중량랙(연결형)</t>
    <phoneticPr fontId="4" type="noConversion"/>
  </si>
  <si>
    <t>네모코리아</t>
    <phoneticPr fontId="4" type="noConversion"/>
  </si>
  <si>
    <t>2021년 1분기</t>
    <phoneticPr fontId="4" type="noConversion"/>
  </si>
  <si>
    <t>2021년 2분기</t>
    <phoneticPr fontId="4" type="noConversion"/>
  </si>
  <si>
    <t>2021년 반기</t>
    <phoneticPr fontId="4" type="noConversion"/>
  </si>
  <si>
    <t>2021년 3분기</t>
    <phoneticPr fontId="4" type="noConversion"/>
  </si>
  <si>
    <t>인코어테크</t>
    <phoneticPr fontId="4" type="noConversion"/>
  </si>
  <si>
    <t>SHOTMASTER(300DS)</t>
  </si>
  <si>
    <t>전자저울(AJH2200E/분동내장형)</t>
  </si>
  <si>
    <t>2021.01.25</t>
  </si>
  <si>
    <t>2021.02.25</t>
  </si>
  <si>
    <t>작업대(800*500*800) 외</t>
  </si>
  <si>
    <t>오븐 받침배</t>
  </si>
  <si>
    <t>2021.01.12</t>
  </si>
  <si>
    <t>성일저울</t>
  </si>
  <si>
    <t>에넥스과학</t>
  </si>
  <si>
    <t>캐비넷</t>
  </si>
  <si>
    <t>진영가구</t>
    <phoneticPr fontId="4" type="noConversion"/>
  </si>
  <si>
    <t>CURE OVEN(CV-250CD)</t>
    <phoneticPr fontId="4" type="noConversion"/>
  </si>
  <si>
    <t>특허권</t>
  </si>
  <si>
    <t>상표권</t>
  </si>
  <si>
    <t>소프트웨어</t>
  </si>
  <si>
    <t>판관비</t>
  </si>
  <si>
    <t>제조</t>
  </si>
  <si>
    <t>판관</t>
  </si>
  <si>
    <t>개발비</t>
  </si>
  <si>
    <t>X-RAY(XSCAN-A100R)</t>
  </si>
  <si>
    <t>4CH-HUD 렌즈 조립 자동</t>
  </si>
  <si>
    <t>자비스</t>
  </si>
  <si>
    <t>유진시스템</t>
  </si>
  <si>
    <t>EG PROBER</t>
  </si>
  <si>
    <t>MOSAIC</t>
  </si>
  <si>
    <t>씨에스이</t>
  </si>
  <si>
    <t>스타랩</t>
  </si>
  <si>
    <t>금형(1CH METAL PCB 타발)</t>
  </si>
  <si>
    <t>계측기(KEITHLEY 2612A)</t>
  </si>
  <si>
    <t>현미경(SZMN45-B7)</t>
  </si>
  <si>
    <t>지와이테크</t>
  </si>
  <si>
    <t>아로 광학</t>
  </si>
  <si>
    <t>냉난방기</t>
  </si>
  <si>
    <t>개발부</t>
  </si>
  <si>
    <t>소프트웨어</t>
    <phoneticPr fontId="4" type="noConversion"/>
  </si>
  <si>
    <t>오피스 2019</t>
    <phoneticPr fontId="4" type="noConversion"/>
  </si>
  <si>
    <t>2021.06.28</t>
    <phoneticPr fontId="4" type="noConversion"/>
  </si>
  <si>
    <t>HANDLER</t>
  </si>
  <si>
    <t>WIRE BONDER(EAGLE60)</t>
  </si>
  <si>
    <t>세미위즈</t>
  </si>
  <si>
    <t>CAN TYPE</t>
  </si>
  <si>
    <t>금형(CASE/LIDAR)</t>
  </si>
  <si>
    <t>금형(COVER/LIDAR)</t>
  </si>
  <si>
    <t>금형(HOLDER/LIDAR)</t>
  </si>
  <si>
    <t>금형(RUBBER/NBR)</t>
  </si>
  <si>
    <t>금형(CASE/말굽센서</t>
  </si>
  <si>
    <t>금형(COVER/말굽센서)</t>
  </si>
  <si>
    <t>금형(INNER/말굽센서)</t>
  </si>
  <si>
    <t>현미경</t>
  </si>
  <si>
    <t>현미경(MICRO SCOPE)</t>
  </si>
  <si>
    <t>실텍</t>
  </si>
  <si>
    <t>신화전자</t>
  </si>
  <si>
    <t>택산테크</t>
  </si>
  <si>
    <t>이전기술사업화 과제</t>
  </si>
  <si>
    <t>전북특구 첨단기술 과제</t>
  </si>
  <si>
    <t>빔프로젝터</t>
  </si>
  <si>
    <t>정전기 방지 의자</t>
  </si>
  <si>
    <t>의자</t>
  </si>
  <si>
    <t>샤론빔스토어</t>
  </si>
  <si>
    <t>에스엔에스컴퍼니</t>
  </si>
  <si>
    <t>대회의실</t>
  </si>
  <si>
    <t>생산라인</t>
  </si>
  <si>
    <t>외관</t>
  </si>
  <si>
    <t>LNM   2021.09.02 매각</t>
  </si>
  <si>
    <t>LNM   2021.09.02 매각</t>
    <phoneticPr fontId="4" type="noConversion"/>
  </si>
  <si>
    <t>폐기</t>
    <phoneticPr fontId="4" type="noConversion"/>
  </si>
  <si>
    <t>노트북</t>
    <phoneticPr fontId="4" type="noConversion"/>
  </si>
  <si>
    <t>2021년 4분기 유형자산 감가상각비 명세서 (총괄)</t>
    <phoneticPr fontId="4" type="noConversion"/>
  </si>
  <si>
    <t>2021년 4분기 토지 감가상각비명세서</t>
    <phoneticPr fontId="4" type="noConversion"/>
  </si>
  <si>
    <t>2021년 4분기 건물 감가상각비명세서</t>
    <phoneticPr fontId="4" type="noConversion"/>
  </si>
  <si>
    <t>2021년 4분기 구축물 감가상각비명세서</t>
    <phoneticPr fontId="4" type="noConversion"/>
  </si>
  <si>
    <t>2021년 4분기 구축물 감가상각비명세서</t>
    <phoneticPr fontId="4" type="noConversion"/>
  </si>
  <si>
    <t>2021년 4분기 기계장치 감가상각비명세서</t>
    <phoneticPr fontId="4" type="noConversion"/>
  </si>
  <si>
    <t>2021년 4분기 차량운반구 감가상각비명세서</t>
    <phoneticPr fontId="4" type="noConversion"/>
  </si>
  <si>
    <t>2021년 4분기 공구와기구 감가상각비명세서</t>
    <phoneticPr fontId="4" type="noConversion"/>
  </si>
  <si>
    <t>2021년 4분기 비품 감가상각비명세서</t>
    <phoneticPr fontId="4" type="noConversion"/>
  </si>
  <si>
    <t>2021년 4분기 비품 감가상각비명세서</t>
    <phoneticPr fontId="4" type="noConversion"/>
  </si>
  <si>
    <t>2021년 4분기 무형자산상각 명세서</t>
    <phoneticPr fontId="4" type="noConversion"/>
  </si>
  <si>
    <t>2021년 4분기</t>
    <phoneticPr fontId="4" type="noConversion"/>
  </si>
  <si>
    <t>WIRE BONDER(IHAWK XTREME)</t>
  </si>
  <si>
    <t>TESTER(E/T 및 비전검사)</t>
  </si>
  <si>
    <t>HANDLER(TRAY TO TRAY)</t>
  </si>
  <si>
    <t>Single side polishing machine</t>
  </si>
  <si>
    <t>티씨에스</t>
  </si>
  <si>
    <t>OP30TS 엿 압착기(4ea Press)</t>
  </si>
  <si>
    <t>금형(L24 Main Case/1×4)</t>
  </si>
  <si>
    <t>금형(F24 Main Case/1×4)</t>
  </si>
  <si>
    <t>2021.11.04</t>
  </si>
  <si>
    <t>4분기</t>
    <phoneticPr fontId="5" type="noConversion"/>
  </si>
  <si>
    <t>과  목  명</t>
  </si>
  <si>
    <t>기초가액</t>
  </si>
  <si>
    <t>당기증감</t>
  </si>
  <si>
    <t>기말가액</t>
  </si>
  <si>
    <t>전기말상각누계액</t>
  </si>
  <si>
    <t>당기상각대상액</t>
  </si>
  <si>
    <t>당기상각액</t>
  </si>
  <si>
    <t>당기말상각누계액</t>
  </si>
  <si>
    <t>당기말미상각액</t>
  </si>
  <si>
    <t>토         지</t>
  </si>
  <si>
    <t>건        물</t>
  </si>
  <si>
    <t>구  축  물</t>
  </si>
  <si>
    <t>기 계 장 치</t>
  </si>
  <si>
    <t>차량운반구</t>
  </si>
  <si>
    <t>공구와기구</t>
  </si>
  <si>
    <t>비         품</t>
  </si>
  <si>
    <t>합         계</t>
  </si>
  <si>
    <t>㈜오디텍 전주지점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</si>
</sst>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_-* #,##0.00_-;\-* #,##0.00_-;_-* &quot;-&quot;_-;_-@_-"/>
    <numFmt numFmtId="178" formatCode="_-* #,##0.0_-;\-* #,##0.0_-;_-* &quot;-&quot;_-;_-@_-"/>
    <numFmt numFmtId="179" formatCode="yyyy\.mm\.dd"/>
    <numFmt numFmtId="180" formatCode="_-* #,##0.0_-;\-* #,##0.0_-;_-* &quot;-&quot;?_-;_-@_-"/>
    <numFmt numFmtId="181" formatCode="mm&quot;월&quot;\ dd&quot;일&quot;"/>
  </numFmts>
  <fonts count="33" x14ac:knownFonts="1"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12"/>
      <color indexed="9"/>
      <name val="맑은 고딕"/>
      <family val="3"/>
      <charset val="129"/>
    </font>
    <font>
      <sz val="8"/>
      <name val="맑은 고딕"/>
      <family val="3"/>
      <charset val="129"/>
    </font>
    <font>
      <sz val="8"/>
      <color indexed="8"/>
      <name val="돋움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체"/>
      <family val="3"/>
      <charset val="129"/>
    </font>
    <font>
      <b/>
      <sz val="18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6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8"/>
      <color indexed="10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9"/>
      <color indexed="10"/>
      <name val="굴림"/>
      <family val="3"/>
      <charset val="129"/>
    </font>
    <font>
      <sz val="9"/>
      <color indexed="8"/>
      <name val="굴림"/>
      <family val="3"/>
      <charset val="129"/>
    </font>
    <font>
      <sz val="8"/>
      <name val="돋움"/>
      <family val="3"/>
      <charset val="129"/>
    </font>
    <font>
      <b/>
      <sz val="9"/>
      <color indexed="8"/>
      <name val="굴림"/>
      <family val="3"/>
      <charset val="129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돋움"/>
      <family val="3"/>
      <charset val="129"/>
    </font>
    <font>
      <sz val="5"/>
      <color indexed="8"/>
      <name val="맑은 고딕"/>
      <family val="3"/>
      <charset val="129"/>
    </font>
    <font>
      <sz val="7.5"/>
      <color indexed="8"/>
      <name val="맑은 고딕"/>
      <family val="3"/>
      <charset val="129"/>
    </font>
    <font>
      <sz val="9"/>
      <color indexed="10"/>
      <name val="맑은 고딕"/>
      <family val="3"/>
      <charset val="129"/>
    </font>
    <font>
      <sz val="8.5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indexed="8"/>
      <name val="굴림체"/>
      <family val="3"/>
      <charset val="129"/>
    </font>
    <font>
      <b/>
      <sz val="9"/>
      <color indexed="8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</cellStyleXfs>
  <cellXfs count="852">
    <xf numFmtId="0" fontId="0" fillId="0" borderId="0" xfId="0">
      <alignment vertical="center"/>
    </xf>
    <xf numFmtId="0" fontId="2" fillId="0" borderId="0" xfId="3"/>
    <xf numFmtId="41" fontId="6" fillId="0" borderId="0" xfId="3" applyNumberFormat="1" applyFont="1"/>
    <xf numFmtId="41" fontId="6" fillId="2" borderId="0" xfId="3" applyNumberFormat="1" applyFont="1" applyFill="1"/>
    <xf numFmtId="41" fontId="7" fillId="0" borderId="0" xfId="3" applyNumberFormat="1" applyFont="1"/>
    <xf numFmtId="41" fontId="7" fillId="0" borderId="1" xfId="3" applyNumberFormat="1" applyFont="1" applyBorder="1"/>
    <xf numFmtId="41" fontId="6" fillId="0" borderId="1" xfId="3" applyNumberFormat="1" applyFont="1" applyBorder="1"/>
    <xf numFmtId="41" fontId="2" fillId="0" borderId="0" xfId="3" applyNumberFormat="1"/>
    <xf numFmtId="0" fontId="2" fillId="0" borderId="2" xfId="3" applyBorder="1"/>
    <xf numFmtId="0" fontId="9" fillId="0" borderId="0" xfId="3" applyFont="1"/>
    <xf numFmtId="41" fontId="9" fillId="0" borderId="0" xfId="3" applyNumberFormat="1" applyFont="1"/>
    <xf numFmtId="0" fontId="6" fillId="0" borderId="0" xfId="3" applyFont="1"/>
    <xf numFmtId="41" fontId="6" fillId="0" borderId="0" xfId="3" applyNumberFormat="1" applyFont="1" applyAlignment="1">
      <alignment horizontal="right"/>
    </xf>
    <xf numFmtId="0" fontId="6" fillId="0" borderId="3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41" fontId="6" fillId="0" borderId="5" xfId="3" applyNumberFormat="1" applyFont="1" applyBorder="1" applyAlignment="1">
      <alignment horizontal="center" vertical="center"/>
    </xf>
    <xf numFmtId="41" fontId="6" fillId="0" borderId="6" xfId="3" applyNumberFormat="1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3" fontId="6" fillId="3" borderId="8" xfId="3" applyNumberFormat="1" applyFont="1" applyFill="1" applyBorder="1" applyAlignment="1">
      <alignment horizontal="right" vertical="center"/>
    </xf>
    <xf numFmtId="3" fontId="6" fillId="0" borderId="9" xfId="3" applyNumberFormat="1" applyFont="1" applyBorder="1" applyAlignment="1">
      <alignment horizontal="right" vertical="center"/>
    </xf>
    <xf numFmtId="41" fontId="6" fillId="0" borderId="9" xfId="3" applyNumberFormat="1" applyFont="1" applyBorder="1" applyAlignment="1">
      <alignment horizontal="right" vertical="center"/>
    </xf>
    <xf numFmtId="41" fontId="6" fillId="0" borderId="10" xfId="3" applyNumberFormat="1" applyFont="1" applyBorder="1" applyAlignment="1">
      <alignment horizontal="right" vertical="center"/>
    </xf>
    <xf numFmtId="3" fontId="9" fillId="0" borderId="0" xfId="3" applyNumberFormat="1" applyFont="1"/>
    <xf numFmtId="0" fontId="6" fillId="0" borderId="11" xfId="3" applyFont="1" applyBorder="1" applyAlignment="1">
      <alignment horizontal="center" vertical="center"/>
    </xf>
    <xf numFmtId="3" fontId="6" fillId="3" borderId="12" xfId="3" applyNumberFormat="1" applyFont="1" applyFill="1" applyBorder="1" applyAlignment="1">
      <alignment horizontal="right" vertical="center"/>
    </xf>
    <xf numFmtId="3" fontId="6" fillId="0" borderId="13" xfId="3" applyNumberFormat="1" applyFont="1" applyBorder="1" applyAlignment="1">
      <alignment horizontal="right" vertical="center"/>
    </xf>
    <xf numFmtId="41" fontId="6" fillId="0" borderId="13" xfId="3" applyNumberFormat="1" applyFont="1" applyBorder="1" applyAlignment="1">
      <alignment horizontal="right" vertical="center"/>
    </xf>
    <xf numFmtId="41" fontId="6" fillId="3" borderId="10" xfId="3" applyNumberFormat="1" applyFont="1" applyFill="1" applyBorder="1" applyAlignment="1">
      <alignment horizontal="right" vertical="center"/>
    </xf>
    <xf numFmtId="176" fontId="9" fillId="0" borderId="0" xfId="3" applyNumberFormat="1" applyFont="1"/>
    <xf numFmtId="0" fontId="6" fillId="3" borderId="11" xfId="3" applyFont="1" applyFill="1" applyBorder="1" applyAlignment="1">
      <alignment horizontal="center" vertical="center"/>
    </xf>
    <xf numFmtId="41" fontId="6" fillId="3" borderId="9" xfId="3" applyNumberFormat="1" applyFont="1" applyFill="1" applyBorder="1" applyAlignment="1">
      <alignment horizontal="right" vertical="center"/>
    </xf>
    <xf numFmtId="41" fontId="6" fillId="3" borderId="13" xfId="3" applyNumberFormat="1" applyFont="1" applyFill="1" applyBorder="1" applyAlignment="1">
      <alignment horizontal="right" vertical="center"/>
    </xf>
    <xf numFmtId="0" fontId="6" fillId="0" borderId="14" xfId="3" applyFont="1" applyBorder="1" applyAlignment="1">
      <alignment horizontal="center" vertical="center"/>
    </xf>
    <xf numFmtId="3" fontId="6" fillId="3" borderId="15" xfId="3" applyNumberFormat="1" applyFont="1" applyFill="1" applyBorder="1" applyAlignment="1">
      <alignment horizontal="right" vertical="center"/>
    </xf>
    <xf numFmtId="3" fontId="6" fillId="0" borderId="16" xfId="3" applyNumberFormat="1" applyFont="1" applyBorder="1" applyAlignment="1">
      <alignment horizontal="right" vertical="center"/>
    </xf>
    <xf numFmtId="41" fontId="6" fillId="0" borderId="16" xfId="3" applyNumberFormat="1" applyFont="1" applyBorder="1" applyAlignment="1">
      <alignment horizontal="right" vertical="center"/>
    </xf>
    <xf numFmtId="41" fontId="6" fillId="3" borderId="17" xfId="3" applyNumberFormat="1" applyFont="1" applyFill="1" applyBorder="1" applyAlignment="1">
      <alignment horizontal="right" vertical="center"/>
    </xf>
    <xf numFmtId="41" fontId="6" fillId="3" borderId="18" xfId="3" applyNumberFormat="1" applyFont="1" applyFill="1" applyBorder="1" applyAlignment="1">
      <alignment horizontal="right" vertical="center"/>
    </xf>
    <xf numFmtId="0" fontId="6" fillId="0" borderId="19" xfId="3" applyFont="1" applyBorder="1" applyAlignment="1">
      <alignment horizontal="center" vertical="center"/>
    </xf>
    <xf numFmtId="3" fontId="6" fillId="0" borderId="20" xfId="3" applyNumberFormat="1" applyFont="1" applyBorder="1" applyAlignment="1">
      <alignment horizontal="right" vertical="center"/>
    </xf>
    <xf numFmtId="3" fontId="6" fillId="0" borderId="21" xfId="3" applyNumberFormat="1" applyFont="1" applyBorder="1" applyAlignment="1">
      <alignment horizontal="right" vertical="center"/>
    </xf>
    <xf numFmtId="41" fontId="6" fillId="0" borderId="21" xfId="3" applyNumberFormat="1" applyFont="1" applyBorder="1" applyAlignment="1">
      <alignment horizontal="right" vertical="center"/>
    </xf>
    <xf numFmtId="41" fontId="6" fillId="0" borderId="22" xfId="3" applyNumberFormat="1" applyFont="1" applyBorder="1" applyAlignment="1">
      <alignment horizontal="right" vertical="center"/>
    </xf>
    <xf numFmtId="0" fontId="10" fillId="0" borderId="0" xfId="3" applyFont="1"/>
    <xf numFmtId="0" fontId="9" fillId="0" borderId="0" xfId="3" applyFont="1" applyAlignment="1">
      <alignment horizontal="center"/>
    </xf>
    <xf numFmtId="0" fontId="6" fillId="0" borderId="0" xfId="3" applyFont="1" applyAlignment="1">
      <alignment vertical="center"/>
    </xf>
    <xf numFmtId="43" fontId="9" fillId="0" borderId="0" xfId="3" applyNumberFormat="1" applyFont="1"/>
    <xf numFmtId="0" fontId="10" fillId="0" borderId="0" xfId="3" applyFont="1" applyAlignment="1">
      <alignment horizontal="center"/>
    </xf>
    <xf numFmtId="0" fontId="9" fillId="0" borderId="0" xfId="3" applyFont="1" applyAlignment="1">
      <alignment horizontal="right"/>
    </xf>
    <xf numFmtId="0" fontId="9" fillId="0" borderId="23" xfId="3" applyFont="1" applyBorder="1" applyAlignment="1">
      <alignment horizontal="center"/>
    </xf>
    <xf numFmtId="0" fontId="9" fillId="0" borderId="24" xfId="3" applyFont="1" applyBorder="1" applyAlignment="1">
      <alignment horizontal="center"/>
    </xf>
    <xf numFmtId="0" fontId="9" fillId="0" borderId="4" xfId="3" applyFont="1" applyBorder="1" applyAlignment="1">
      <alignment horizontal="center"/>
    </xf>
    <xf numFmtId="0" fontId="9" fillId="0" borderId="5" xfId="3" applyFont="1" applyBorder="1" applyAlignment="1">
      <alignment horizontal="center"/>
    </xf>
    <xf numFmtId="3" fontId="9" fillId="0" borderId="25" xfId="3" applyNumberFormat="1" applyFont="1" applyBorder="1" applyAlignment="1">
      <alignment horizontal="center"/>
    </xf>
    <xf numFmtId="0" fontId="9" fillId="0" borderId="6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9" fillId="0" borderId="27" xfId="3" applyFont="1" applyBorder="1" applyAlignment="1">
      <alignment horizontal="center"/>
    </xf>
    <xf numFmtId="0" fontId="9" fillId="0" borderId="28" xfId="3" applyFont="1" applyBorder="1" applyAlignment="1">
      <alignment horizontal="center"/>
    </xf>
    <xf numFmtId="3" fontId="9" fillId="0" borderId="29" xfId="3" applyNumberFormat="1" applyFont="1" applyBorder="1" applyAlignment="1">
      <alignment horizontal="right"/>
    </xf>
    <xf numFmtId="0" fontId="9" fillId="0" borderId="29" xfId="3" applyFont="1" applyBorder="1" applyAlignment="1">
      <alignment horizontal="center"/>
    </xf>
    <xf numFmtId="3" fontId="9" fillId="0" borderId="30" xfId="3" applyNumberFormat="1" applyFont="1" applyBorder="1" applyAlignment="1">
      <alignment horizontal="right"/>
    </xf>
    <xf numFmtId="3" fontId="9" fillId="0" borderId="31" xfId="3" applyNumberFormat="1" applyFont="1" applyBorder="1" applyAlignment="1">
      <alignment horizontal="right"/>
    </xf>
    <xf numFmtId="3" fontId="9" fillId="0" borderId="32" xfId="3" applyNumberFormat="1" applyFont="1" applyBorder="1" applyAlignment="1">
      <alignment horizontal="right"/>
    </xf>
    <xf numFmtId="0" fontId="9" fillId="0" borderId="33" xfId="3" applyFont="1" applyBorder="1" applyAlignment="1">
      <alignment horizontal="center"/>
    </xf>
    <xf numFmtId="0" fontId="9" fillId="0" borderId="34" xfId="3" applyFont="1" applyBorder="1" applyAlignment="1">
      <alignment horizontal="left"/>
    </xf>
    <xf numFmtId="0" fontId="9" fillId="0" borderId="12" xfId="3" applyFont="1" applyBorder="1" applyAlignment="1">
      <alignment horizontal="center"/>
    </xf>
    <xf numFmtId="3" fontId="9" fillId="0" borderId="13" xfId="3" applyNumberFormat="1" applyFont="1" applyBorder="1" applyAlignment="1">
      <alignment horizontal="right"/>
    </xf>
    <xf numFmtId="0" fontId="9" fillId="0" borderId="13" xfId="3" applyFont="1" applyBorder="1" applyAlignment="1">
      <alignment horizontal="center"/>
    </xf>
    <xf numFmtId="3" fontId="9" fillId="0" borderId="35" xfId="3" applyNumberFormat="1" applyFont="1" applyBorder="1" applyAlignment="1">
      <alignment horizontal="right"/>
    </xf>
    <xf numFmtId="3" fontId="9" fillId="0" borderId="36" xfId="3" applyNumberFormat="1" applyFont="1" applyBorder="1" applyAlignment="1">
      <alignment horizontal="right"/>
    </xf>
    <xf numFmtId="0" fontId="12" fillId="0" borderId="37" xfId="3" applyFont="1" applyBorder="1" applyAlignment="1">
      <alignment horizontal="left"/>
    </xf>
    <xf numFmtId="0" fontId="9" fillId="0" borderId="15" xfId="3" applyFont="1" applyBorder="1" applyAlignment="1">
      <alignment horizontal="center"/>
    </xf>
    <xf numFmtId="3" fontId="9" fillId="0" borderId="16" xfId="3" applyNumberFormat="1" applyFont="1" applyBorder="1" applyAlignment="1">
      <alignment horizontal="right"/>
    </xf>
    <xf numFmtId="0" fontId="9" fillId="0" borderId="16" xfId="3" applyFont="1" applyBorder="1" applyAlignment="1">
      <alignment horizontal="center"/>
    </xf>
    <xf numFmtId="3" fontId="9" fillId="0" borderId="38" xfId="3" applyNumberFormat="1" applyFont="1" applyBorder="1" applyAlignment="1">
      <alignment horizontal="right"/>
    </xf>
    <xf numFmtId="3" fontId="9" fillId="0" borderId="39" xfId="3" applyNumberFormat="1" applyFont="1" applyBorder="1" applyAlignment="1">
      <alignment horizontal="right"/>
    </xf>
    <xf numFmtId="0" fontId="12" fillId="0" borderId="34" xfId="3" applyFont="1" applyBorder="1" applyAlignment="1">
      <alignment horizontal="left"/>
    </xf>
    <xf numFmtId="0" fontId="9" fillId="4" borderId="33" xfId="3" applyFont="1" applyFill="1" applyBorder="1" applyAlignment="1">
      <alignment horizontal="center"/>
    </xf>
    <xf numFmtId="0" fontId="12" fillId="4" borderId="34" xfId="3" applyFont="1" applyFill="1" applyBorder="1" applyAlignment="1">
      <alignment horizontal="left"/>
    </xf>
    <xf numFmtId="0" fontId="9" fillId="4" borderId="12" xfId="3" applyFont="1" applyFill="1" applyBorder="1" applyAlignment="1">
      <alignment horizontal="center"/>
    </xf>
    <xf numFmtId="3" fontId="9" fillId="4" borderId="17" xfId="3" applyNumberFormat="1" applyFont="1" applyFill="1" applyBorder="1" applyAlignment="1">
      <alignment horizontal="right"/>
    </xf>
    <xf numFmtId="3" fontId="9" fillId="4" borderId="13" xfId="3" applyNumberFormat="1" applyFont="1" applyFill="1" applyBorder="1" applyAlignment="1">
      <alignment horizontal="right"/>
    </xf>
    <xf numFmtId="0" fontId="9" fillId="4" borderId="17" xfId="3" applyFont="1" applyFill="1" applyBorder="1" applyAlignment="1">
      <alignment horizontal="center"/>
    </xf>
    <xf numFmtId="3" fontId="9" fillId="4" borderId="40" xfId="3" applyNumberFormat="1" applyFont="1" applyFill="1" applyBorder="1" applyAlignment="1">
      <alignment horizontal="right"/>
    </xf>
    <xf numFmtId="3" fontId="9" fillId="4" borderId="18" xfId="3" applyNumberFormat="1" applyFont="1" applyFill="1" applyBorder="1" applyAlignment="1">
      <alignment horizontal="right"/>
    </xf>
    <xf numFmtId="0" fontId="9" fillId="4" borderId="13" xfId="3" applyFont="1" applyFill="1" applyBorder="1" applyAlignment="1">
      <alignment horizontal="center"/>
    </xf>
    <xf numFmtId="3" fontId="9" fillId="4" borderId="35" xfId="3" applyNumberFormat="1" applyFont="1" applyFill="1" applyBorder="1" applyAlignment="1">
      <alignment horizontal="right"/>
    </xf>
    <xf numFmtId="3" fontId="9" fillId="4" borderId="36" xfId="3" applyNumberFormat="1" applyFont="1" applyFill="1" applyBorder="1" applyAlignment="1">
      <alignment horizontal="right"/>
    </xf>
    <xf numFmtId="0" fontId="9" fillId="0" borderId="41" xfId="3" applyFont="1" applyBorder="1" applyAlignment="1">
      <alignment horizontal="center"/>
    </xf>
    <xf numFmtId="0" fontId="9" fillId="0" borderId="42" xfId="3" applyFont="1" applyBorder="1" applyAlignment="1">
      <alignment horizontal="center"/>
    </xf>
    <xf numFmtId="3" fontId="9" fillId="0" borderId="17" xfId="3" applyNumberFormat="1" applyFont="1" applyBorder="1" applyAlignment="1">
      <alignment horizontal="right"/>
    </xf>
    <xf numFmtId="0" fontId="9" fillId="0" borderId="17" xfId="3" applyFont="1" applyBorder="1" applyAlignment="1">
      <alignment horizontal="center"/>
    </xf>
    <xf numFmtId="3" fontId="9" fillId="0" borderId="40" xfId="3" applyNumberFormat="1" applyFont="1" applyBorder="1" applyAlignment="1">
      <alignment horizontal="right"/>
    </xf>
    <xf numFmtId="3" fontId="9" fillId="0" borderId="18" xfId="3" applyNumberFormat="1" applyFont="1" applyBorder="1" applyAlignment="1">
      <alignment horizontal="right"/>
    </xf>
    <xf numFmtId="0" fontId="9" fillId="0" borderId="43" xfId="3" applyFont="1" applyBorder="1" applyAlignment="1">
      <alignment horizontal="center"/>
    </xf>
    <xf numFmtId="0" fontId="9" fillId="0" borderId="44" xfId="3" applyFont="1" applyBorder="1" applyAlignment="1">
      <alignment horizontal="center"/>
    </xf>
    <xf numFmtId="0" fontId="9" fillId="0" borderId="20" xfId="3" applyFont="1" applyBorder="1" applyAlignment="1">
      <alignment horizontal="center"/>
    </xf>
    <xf numFmtId="3" fontId="9" fillId="0" borderId="21" xfId="3" applyNumberFormat="1" applyFont="1" applyBorder="1" applyAlignment="1">
      <alignment horizontal="right"/>
    </xf>
    <xf numFmtId="0" fontId="9" fillId="0" borderId="21" xfId="3" applyFont="1" applyBorder="1" applyAlignment="1">
      <alignment horizontal="center"/>
    </xf>
    <xf numFmtId="3" fontId="9" fillId="0" borderId="45" xfId="3" applyNumberFormat="1" applyFont="1" applyBorder="1" applyAlignment="1">
      <alignment horizontal="right"/>
    </xf>
    <xf numFmtId="3" fontId="9" fillId="0" borderId="22" xfId="3" applyNumberFormat="1" applyFont="1" applyBorder="1" applyAlignment="1">
      <alignment horizontal="right"/>
    </xf>
    <xf numFmtId="43" fontId="10" fillId="0" borderId="0" xfId="3" applyNumberFormat="1" applyFont="1" applyAlignment="1">
      <alignment horizontal="center"/>
    </xf>
    <xf numFmtId="43" fontId="9" fillId="0" borderId="0" xfId="3" applyNumberFormat="1" applyFont="1" applyAlignment="1">
      <alignment horizontal="center"/>
    </xf>
    <xf numFmtId="43" fontId="9" fillId="0" borderId="5" xfId="3" applyNumberFormat="1" applyFont="1" applyBorder="1" applyAlignment="1">
      <alignment horizontal="center"/>
    </xf>
    <xf numFmtId="41" fontId="9" fillId="0" borderId="9" xfId="3" applyNumberFormat="1" applyFont="1" applyBorder="1" applyAlignment="1">
      <alignment horizontal="right"/>
    </xf>
    <xf numFmtId="0" fontId="12" fillId="0" borderId="36" xfId="3" applyFont="1" applyBorder="1"/>
    <xf numFmtId="0" fontId="9" fillId="0" borderId="46" xfId="3" applyFont="1" applyBorder="1" applyAlignment="1">
      <alignment horizontal="center"/>
    </xf>
    <xf numFmtId="0" fontId="9" fillId="0" borderId="37" xfId="3" applyFont="1" applyBorder="1" applyAlignment="1">
      <alignment horizontal="center"/>
    </xf>
    <xf numFmtId="0" fontId="9" fillId="0" borderId="34" xfId="3" applyFont="1" applyBorder="1" applyAlignment="1">
      <alignment horizontal="center"/>
    </xf>
    <xf numFmtId="41" fontId="9" fillId="0" borderId="13" xfId="3" applyNumberFormat="1" applyFont="1" applyBorder="1" applyAlignment="1">
      <alignment horizontal="right"/>
    </xf>
    <xf numFmtId="3" fontId="9" fillId="0" borderId="35" xfId="3" applyNumberFormat="1" applyFont="1" applyBorder="1" applyAlignment="1">
      <alignment horizontal="center"/>
    </xf>
    <xf numFmtId="41" fontId="9" fillId="4" borderId="13" xfId="3" applyNumberFormat="1" applyFont="1" applyFill="1" applyBorder="1" applyAlignment="1">
      <alignment horizontal="right"/>
    </xf>
    <xf numFmtId="0" fontId="9" fillId="4" borderId="16" xfId="3" applyFont="1" applyFill="1" applyBorder="1" applyAlignment="1">
      <alignment horizontal="center"/>
    </xf>
    <xf numFmtId="3" fontId="9" fillId="4" borderId="35" xfId="3" applyNumberFormat="1" applyFont="1" applyFill="1" applyBorder="1" applyAlignment="1">
      <alignment horizontal="center"/>
    </xf>
    <xf numFmtId="0" fontId="9" fillId="4" borderId="41" xfId="3" applyFont="1" applyFill="1" applyBorder="1" applyAlignment="1">
      <alignment horizontal="center"/>
    </xf>
    <xf numFmtId="0" fontId="9" fillId="4" borderId="42" xfId="3" applyFont="1" applyFill="1" applyBorder="1" applyAlignment="1">
      <alignment horizontal="center"/>
    </xf>
    <xf numFmtId="41" fontId="9" fillId="4" borderId="17" xfId="3" applyNumberFormat="1" applyFont="1" applyFill="1" applyBorder="1" applyAlignment="1">
      <alignment horizontal="right"/>
    </xf>
    <xf numFmtId="41" fontId="9" fillId="4" borderId="9" xfId="3" applyNumberFormat="1" applyFont="1" applyFill="1" applyBorder="1" applyAlignment="1">
      <alignment horizontal="right"/>
    </xf>
    <xf numFmtId="3" fontId="9" fillId="4" borderId="47" xfId="3" applyNumberFormat="1" applyFont="1" applyFill="1" applyBorder="1" applyAlignment="1">
      <alignment horizontal="center"/>
    </xf>
    <xf numFmtId="0" fontId="12" fillId="0" borderId="48" xfId="3" applyFont="1" applyBorder="1" applyAlignment="1">
      <alignment horizontal="center"/>
    </xf>
    <xf numFmtId="41" fontId="9" fillId="0" borderId="17" xfId="3" applyNumberFormat="1" applyFont="1" applyBorder="1" applyAlignment="1">
      <alignment horizontal="right"/>
    </xf>
    <xf numFmtId="3" fontId="9" fillId="0" borderId="40" xfId="3" applyNumberFormat="1" applyFont="1" applyBorder="1" applyAlignment="1">
      <alignment horizontal="center"/>
    </xf>
    <xf numFmtId="3" fontId="9" fillId="3" borderId="21" xfId="3" applyNumberFormat="1" applyFont="1" applyFill="1" applyBorder="1" applyAlignment="1">
      <alignment horizontal="right"/>
    </xf>
    <xf numFmtId="43" fontId="10" fillId="0" borderId="0" xfId="3" applyNumberFormat="1" applyFont="1"/>
    <xf numFmtId="41" fontId="9" fillId="0" borderId="0" xfId="3" applyNumberFormat="1" applyFont="1" applyAlignment="1">
      <alignment horizontal="center"/>
    </xf>
    <xf numFmtId="177" fontId="6" fillId="0" borderId="0" xfId="3" applyNumberFormat="1" applyFont="1"/>
    <xf numFmtId="0" fontId="9" fillId="0" borderId="49" xfId="3" applyFont="1" applyBorder="1" applyAlignment="1">
      <alignment horizontal="center"/>
    </xf>
    <xf numFmtId="0" fontId="9" fillId="0" borderId="50" xfId="3" applyFont="1" applyBorder="1" applyAlignment="1">
      <alignment horizontal="center"/>
    </xf>
    <xf numFmtId="0" fontId="9" fillId="0" borderId="51" xfId="3" applyFont="1" applyBorder="1" applyAlignment="1">
      <alignment horizontal="center"/>
    </xf>
    <xf numFmtId="3" fontId="9" fillId="0" borderId="52" xfId="3" applyNumberFormat="1" applyFont="1" applyBorder="1" applyAlignment="1">
      <alignment horizontal="right"/>
    </xf>
    <xf numFmtId="3" fontId="9" fillId="0" borderId="53" xfId="3" applyNumberFormat="1" applyFont="1" applyBorder="1" applyAlignment="1">
      <alignment horizontal="right"/>
    </xf>
    <xf numFmtId="41" fontId="10" fillId="0" borderId="0" xfId="2" applyFont="1" applyFill="1" applyAlignment="1"/>
    <xf numFmtId="41" fontId="10" fillId="0" borderId="0" xfId="3" applyNumberFormat="1" applyFont="1" applyAlignment="1">
      <alignment horizontal="center"/>
    </xf>
    <xf numFmtId="41" fontId="9" fillId="0" borderId="0" xfId="2" applyFont="1" applyFill="1" applyAlignment="1"/>
    <xf numFmtId="41" fontId="9" fillId="0" borderId="5" xfId="3" applyNumberFormat="1" applyFont="1" applyBorder="1" applyAlignment="1">
      <alignment horizontal="center"/>
    </xf>
    <xf numFmtId="41" fontId="9" fillId="0" borderId="29" xfId="3" applyNumberFormat="1" applyFont="1" applyBorder="1" applyAlignment="1">
      <alignment horizontal="right"/>
    </xf>
    <xf numFmtId="41" fontId="9" fillId="0" borderId="30" xfId="3" applyNumberFormat="1" applyFont="1" applyBorder="1" applyAlignment="1">
      <alignment horizontal="right"/>
    </xf>
    <xf numFmtId="3" fontId="9" fillId="0" borderId="54" xfId="3" applyNumberFormat="1" applyFont="1" applyBorder="1" applyAlignment="1">
      <alignment horizontal="right"/>
    </xf>
    <xf numFmtId="0" fontId="9" fillId="0" borderId="48" xfId="3" applyFont="1" applyBorder="1" applyAlignment="1">
      <alignment horizontal="center"/>
    </xf>
    <xf numFmtId="41" fontId="9" fillId="0" borderId="16" xfId="3" applyNumberFormat="1" applyFont="1" applyBorder="1" applyAlignment="1">
      <alignment horizontal="right"/>
    </xf>
    <xf numFmtId="41" fontId="9" fillId="0" borderId="21" xfId="3" applyNumberFormat="1" applyFont="1" applyBorder="1" applyAlignment="1">
      <alignment horizontal="right"/>
    </xf>
    <xf numFmtId="41" fontId="10" fillId="0" borderId="0" xfId="3" applyNumberFormat="1" applyFont="1"/>
    <xf numFmtId="0" fontId="9" fillId="0" borderId="37" xfId="3" applyFont="1" applyBorder="1" applyAlignment="1">
      <alignment horizontal="center" vertical="center"/>
    </xf>
    <xf numFmtId="41" fontId="9" fillId="0" borderId="13" xfId="2" applyFont="1" applyFill="1" applyBorder="1" applyAlignment="1">
      <alignment horizontal="right"/>
    </xf>
    <xf numFmtId="41" fontId="9" fillId="0" borderId="13" xfId="3" applyNumberFormat="1" applyFont="1" applyBorder="1" applyAlignment="1">
      <alignment horizontal="center" vertical="center"/>
    </xf>
    <xf numFmtId="3" fontId="9" fillId="0" borderId="36" xfId="3" applyNumberFormat="1" applyFont="1" applyBorder="1" applyAlignment="1">
      <alignment horizontal="center"/>
    </xf>
    <xf numFmtId="0" fontId="9" fillId="0" borderId="34" xfId="3" applyFont="1" applyBorder="1" applyAlignment="1">
      <alignment horizontal="center" vertical="center"/>
    </xf>
    <xf numFmtId="14" fontId="9" fillId="0" borderId="15" xfId="3" applyNumberFormat="1" applyFont="1" applyBorder="1" applyAlignment="1">
      <alignment horizontal="center"/>
    </xf>
    <xf numFmtId="41" fontId="9" fillId="0" borderId="16" xfId="2" applyFont="1" applyFill="1" applyBorder="1" applyAlignment="1">
      <alignment horizontal="center" vertical="center"/>
    </xf>
    <xf numFmtId="41" fontId="9" fillId="0" borderId="16" xfId="3" applyNumberFormat="1" applyFont="1" applyBorder="1" applyAlignment="1">
      <alignment horizontal="center" vertical="center"/>
    </xf>
    <xf numFmtId="3" fontId="9" fillId="0" borderId="39" xfId="3" applyNumberFormat="1" applyFont="1" applyBorder="1" applyAlignment="1">
      <alignment horizontal="center"/>
    </xf>
    <xf numFmtId="0" fontId="9" fillId="0" borderId="50" xfId="3" applyFont="1" applyBorder="1" applyAlignment="1">
      <alignment horizontal="center" vertical="center"/>
    </xf>
    <xf numFmtId="41" fontId="9" fillId="0" borderId="52" xfId="3" applyNumberFormat="1" applyFont="1" applyBorder="1" applyAlignment="1">
      <alignment horizontal="center" vertical="center"/>
    </xf>
    <xf numFmtId="41" fontId="9" fillId="0" borderId="52" xfId="2" applyFont="1" applyFill="1" applyBorder="1" applyAlignment="1">
      <alignment horizontal="right"/>
    </xf>
    <xf numFmtId="41" fontId="9" fillId="0" borderId="52" xfId="3" applyNumberFormat="1" applyFont="1" applyBorder="1" applyAlignment="1">
      <alignment horizontal="right"/>
    </xf>
    <xf numFmtId="0" fontId="9" fillId="0" borderId="52" xfId="3" applyFont="1" applyBorder="1" applyAlignment="1">
      <alignment horizontal="center"/>
    </xf>
    <xf numFmtId="3" fontId="9" fillId="0" borderId="55" xfId="3" applyNumberFormat="1" applyFont="1" applyBorder="1" applyAlignment="1">
      <alignment horizontal="right"/>
    </xf>
    <xf numFmtId="3" fontId="9" fillId="0" borderId="53" xfId="3" applyNumberFormat="1" applyFont="1" applyBorder="1" applyAlignment="1">
      <alignment horizontal="center"/>
    </xf>
    <xf numFmtId="41" fontId="9" fillId="0" borderId="21" xfId="2" applyFont="1" applyFill="1" applyBorder="1" applyAlignment="1">
      <alignment horizontal="right"/>
    </xf>
    <xf numFmtId="0" fontId="10" fillId="0" borderId="0" xfId="3" applyFont="1" applyAlignment="1">
      <alignment horizontal="left"/>
    </xf>
    <xf numFmtId="0" fontId="9" fillId="0" borderId="0" xfId="3" applyFont="1" applyAlignment="1">
      <alignment horizontal="left"/>
    </xf>
    <xf numFmtId="0" fontId="9" fillId="0" borderId="24" xfId="3" applyFont="1" applyBorder="1" applyAlignment="1">
      <alignment horizontal="left"/>
    </xf>
    <xf numFmtId="14" fontId="9" fillId="0" borderId="12" xfId="3" applyNumberFormat="1" applyFont="1" applyBorder="1" applyAlignment="1">
      <alignment horizontal="center"/>
    </xf>
    <xf numFmtId="0" fontId="9" fillId="5" borderId="33" xfId="3" applyFont="1" applyFill="1" applyBorder="1" applyAlignment="1">
      <alignment horizontal="center"/>
    </xf>
    <xf numFmtId="0" fontId="9" fillId="5" borderId="34" xfId="3" applyFont="1" applyFill="1" applyBorder="1" applyAlignment="1">
      <alignment horizontal="left"/>
    </xf>
    <xf numFmtId="14" fontId="9" fillId="5" borderId="12" xfId="3" applyNumberFormat="1" applyFont="1" applyFill="1" applyBorder="1" applyAlignment="1">
      <alignment horizontal="center"/>
    </xf>
    <xf numFmtId="3" fontId="9" fillId="5" borderId="13" xfId="3" applyNumberFormat="1" applyFont="1" applyFill="1" applyBorder="1" applyAlignment="1">
      <alignment horizontal="right"/>
    </xf>
    <xf numFmtId="41" fontId="9" fillId="5" borderId="13" xfId="3" applyNumberFormat="1" applyFont="1" applyFill="1" applyBorder="1" applyAlignment="1">
      <alignment horizontal="right"/>
    </xf>
    <xf numFmtId="0" fontId="9" fillId="5" borderId="13" xfId="3" applyFont="1" applyFill="1" applyBorder="1" applyAlignment="1">
      <alignment horizontal="center"/>
    </xf>
    <xf numFmtId="3" fontId="9" fillId="5" borderId="35" xfId="3" applyNumberFormat="1" applyFont="1" applyFill="1" applyBorder="1" applyAlignment="1">
      <alignment horizontal="right"/>
    </xf>
    <xf numFmtId="3" fontId="9" fillId="5" borderId="36" xfId="3" applyNumberFormat="1" applyFont="1" applyFill="1" applyBorder="1" applyAlignment="1">
      <alignment horizontal="right"/>
    </xf>
    <xf numFmtId="3" fontId="9" fillId="5" borderId="0" xfId="3" applyNumberFormat="1" applyFont="1" applyFill="1"/>
    <xf numFmtId="41" fontId="9" fillId="5" borderId="0" xfId="3" applyNumberFormat="1" applyFont="1" applyFill="1"/>
    <xf numFmtId="0" fontId="9" fillId="5" borderId="0" xfId="3" applyFont="1" applyFill="1"/>
    <xf numFmtId="3" fontId="9" fillId="0" borderId="13" xfId="3" applyNumberFormat="1" applyFont="1" applyBorder="1"/>
    <xf numFmtId="3" fontId="9" fillId="5" borderId="35" xfId="3" applyNumberFormat="1" applyFont="1" applyFill="1" applyBorder="1" applyAlignment="1">
      <alignment horizontal="center"/>
    </xf>
    <xf numFmtId="3" fontId="12" fillId="0" borderId="35" xfId="3" applyNumberFormat="1" applyFont="1" applyBorder="1" applyAlignment="1">
      <alignment horizontal="right"/>
    </xf>
    <xf numFmtId="3" fontId="13" fillId="0" borderId="36" xfId="3" applyNumberFormat="1" applyFont="1" applyBorder="1" applyAlignment="1">
      <alignment horizontal="left"/>
    </xf>
    <xf numFmtId="3" fontId="13" fillId="0" borderId="36" xfId="3" applyNumberFormat="1" applyFont="1" applyBorder="1" applyAlignment="1">
      <alignment horizontal="right"/>
    </xf>
    <xf numFmtId="3" fontId="12" fillId="0" borderId="35" xfId="3" applyNumberFormat="1" applyFont="1" applyBorder="1" applyAlignment="1">
      <alignment horizontal="center"/>
    </xf>
    <xf numFmtId="3" fontId="14" fillId="0" borderId="36" xfId="3" applyNumberFormat="1" applyFont="1" applyBorder="1" applyAlignment="1">
      <alignment horizontal="left"/>
    </xf>
    <xf numFmtId="0" fontId="9" fillId="3" borderId="34" xfId="3" applyFont="1" applyFill="1" applyBorder="1" applyAlignment="1">
      <alignment horizontal="left"/>
    </xf>
    <xf numFmtId="14" fontId="9" fillId="3" borderId="12" xfId="3" applyNumberFormat="1" applyFont="1" applyFill="1" applyBorder="1" applyAlignment="1">
      <alignment horizontal="center"/>
    </xf>
    <xf numFmtId="3" fontId="9" fillId="3" borderId="13" xfId="3" applyNumberFormat="1" applyFont="1" applyFill="1" applyBorder="1" applyAlignment="1">
      <alignment horizontal="right"/>
    </xf>
    <xf numFmtId="41" fontId="9" fillId="3" borderId="13" xfId="3" applyNumberFormat="1" applyFont="1" applyFill="1" applyBorder="1" applyAlignment="1">
      <alignment horizontal="right"/>
    </xf>
    <xf numFmtId="0" fontId="9" fillId="3" borderId="13" xfId="3" applyFont="1" applyFill="1" applyBorder="1" applyAlignment="1">
      <alignment horizontal="center"/>
    </xf>
    <xf numFmtId="3" fontId="9" fillId="3" borderId="35" xfId="3" applyNumberFormat="1" applyFont="1" applyFill="1" applyBorder="1" applyAlignment="1">
      <alignment horizontal="center"/>
    </xf>
    <xf numFmtId="3" fontId="9" fillId="3" borderId="36" xfId="3" applyNumberFormat="1" applyFont="1" applyFill="1" applyBorder="1" applyAlignment="1">
      <alignment horizontal="right"/>
    </xf>
    <xf numFmtId="3" fontId="9" fillId="3" borderId="0" xfId="3" applyNumberFormat="1" applyFont="1" applyFill="1"/>
    <xf numFmtId="0" fontId="9" fillId="3" borderId="0" xfId="3" applyFont="1" applyFill="1"/>
    <xf numFmtId="41" fontId="9" fillId="6" borderId="0" xfId="3" applyNumberFormat="1" applyFont="1" applyFill="1"/>
    <xf numFmtId="0" fontId="9" fillId="7" borderId="34" xfId="3" applyFont="1" applyFill="1" applyBorder="1" applyAlignment="1">
      <alignment horizontal="center" vertical="center"/>
    </xf>
    <xf numFmtId="0" fontId="9" fillId="7" borderId="34" xfId="3" applyFont="1" applyFill="1" applyBorder="1" applyAlignment="1">
      <alignment horizontal="left" vertical="center"/>
    </xf>
    <xf numFmtId="14" fontId="9" fillId="7" borderId="12" xfId="3" applyNumberFormat="1" applyFont="1" applyFill="1" applyBorder="1" applyAlignment="1">
      <alignment horizontal="center"/>
    </xf>
    <xf numFmtId="3" fontId="9" fillId="7" borderId="13" xfId="3" applyNumberFormat="1" applyFont="1" applyFill="1" applyBorder="1" applyAlignment="1">
      <alignment horizontal="right"/>
    </xf>
    <xf numFmtId="41" fontId="9" fillId="7" borderId="13" xfId="3" applyNumberFormat="1" applyFont="1" applyFill="1" applyBorder="1" applyAlignment="1">
      <alignment horizontal="right"/>
    </xf>
    <xf numFmtId="0" fontId="9" fillId="7" borderId="13" xfId="3" applyFont="1" applyFill="1" applyBorder="1" applyAlignment="1">
      <alignment horizontal="center"/>
    </xf>
    <xf numFmtId="3" fontId="9" fillId="7" borderId="35" xfId="3" applyNumberFormat="1" applyFont="1" applyFill="1" applyBorder="1" applyAlignment="1">
      <alignment horizontal="center"/>
    </xf>
    <xf numFmtId="3" fontId="9" fillId="7" borderId="36" xfId="3" applyNumberFormat="1" applyFont="1" applyFill="1" applyBorder="1" applyAlignment="1">
      <alignment horizontal="right"/>
    </xf>
    <xf numFmtId="3" fontId="9" fillId="7" borderId="0" xfId="3" applyNumberFormat="1" applyFont="1" applyFill="1"/>
    <xf numFmtId="41" fontId="9" fillId="7" borderId="0" xfId="3" applyNumberFormat="1" applyFont="1" applyFill="1"/>
    <xf numFmtId="0" fontId="9" fillId="3" borderId="34" xfId="3" applyFont="1" applyFill="1" applyBorder="1" applyAlignment="1">
      <alignment horizontal="left" vertical="center"/>
    </xf>
    <xf numFmtId="3" fontId="14" fillId="3" borderId="36" xfId="3" applyNumberFormat="1" applyFont="1" applyFill="1" applyBorder="1" applyAlignment="1">
      <alignment horizontal="left"/>
    </xf>
    <xf numFmtId="0" fontId="9" fillId="0" borderId="34" xfId="3" applyFont="1" applyBorder="1" applyAlignment="1">
      <alignment horizontal="left" vertical="center"/>
    </xf>
    <xf numFmtId="0" fontId="12" fillId="5" borderId="34" xfId="3" applyFont="1" applyFill="1" applyBorder="1" applyAlignment="1">
      <alignment horizontal="left" vertical="center"/>
    </xf>
    <xf numFmtId="0" fontId="12" fillId="0" borderId="34" xfId="3" applyFont="1" applyBorder="1" applyAlignment="1">
      <alignment horizontal="left" vertical="center"/>
    </xf>
    <xf numFmtId="0" fontId="12" fillId="0" borderId="48" xfId="3" applyFont="1" applyBorder="1" applyAlignment="1">
      <alignment horizontal="left" vertical="center"/>
    </xf>
    <xf numFmtId="14" fontId="9" fillId="0" borderId="42" xfId="3" applyNumberFormat="1" applyFont="1" applyBorder="1" applyAlignment="1">
      <alignment horizontal="center"/>
    </xf>
    <xf numFmtId="3" fontId="9" fillId="0" borderId="38" xfId="3" applyNumberFormat="1" applyFont="1" applyBorder="1" applyAlignment="1">
      <alignment horizontal="center"/>
    </xf>
    <xf numFmtId="0" fontId="12" fillId="0" borderId="37" xfId="3" applyFont="1" applyBorder="1" applyAlignment="1">
      <alignment horizontal="left" vertical="center"/>
    </xf>
    <xf numFmtId="0" fontId="12" fillId="5" borderId="37" xfId="3" applyFont="1" applyFill="1" applyBorder="1" applyAlignment="1">
      <alignment horizontal="left" vertical="center"/>
    </xf>
    <xf numFmtId="14" fontId="9" fillId="5" borderId="15" xfId="3" applyNumberFormat="1" applyFont="1" applyFill="1" applyBorder="1" applyAlignment="1">
      <alignment horizontal="center"/>
    </xf>
    <xf numFmtId="3" fontId="9" fillId="5" borderId="16" xfId="3" applyNumberFormat="1" applyFont="1" applyFill="1" applyBorder="1" applyAlignment="1">
      <alignment horizontal="right"/>
    </xf>
    <xf numFmtId="41" fontId="9" fillId="5" borderId="16" xfId="3" applyNumberFormat="1" applyFont="1" applyFill="1" applyBorder="1" applyAlignment="1">
      <alignment horizontal="right"/>
    </xf>
    <xf numFmtId="3" fontId="9" fillId="5" borderId="38" xfId="3" applyNumberFormat="1" applyFont="1" applyFill="1" applyBorder="1" applyAlignment="1">
      <alignment horizontal="center"/>
    </xf>
    <xf numFmtId="0" fontId="12" fillId="8" borderId="13" xfId="3" applyFont="1" applyFill="1" applyBorder="1" applyAlignment="1">
      <alignment horizontal="center" vertical="center"/>
    </xf>
    <xf numFmtId="0" fontId="12" fillId="8" borderId="56" xfId="3" applyFont="1" applyFill="1" applyBorder="1" applyAlignment="1">
      <alignment horizontal="left" vertical="center"/>
    </xf>
    <xf numFmtId="14" fontId="9" fillId="8" borderId="12" xfId="3" applyNumberFormat="1" applyFont="1" applyFill="1" applyBorder="1" applyAlignment="1">
      <alignment horizontal="center"/>
    </xf>
    <xf numFmtId="3" fontId="9" fillId="8" borderId="13" xfId="3" applyNumberFormat="1" applyFont="1" applyFill="1" applyBorder="1" applyAlignment="1">
      <alignment horizontal="right"/>
    </xf>
    <xf numFmtId="3" fontId="9" fillId="8" borderId="16" xfId="3" applyNumberFormat="1" applyFont="1" applyFill="1" applyBorder="1" applyAlignment="1">
      <alignment horizontal="right"/>
    </xf>
    <xf numFmtId="41" fontId="9" fillId="8" borderId="13" xfId="3" applyNumberFormat="1" applyFont="1" applyFill="1" applyBorder="1" applyAlignment="1">
      <alignment horizontal="right"/>
    </xf>
    <xf numFmtId="0" fontId="9" fillId="8" borderId="13" xfId="3" applyFont="1" applyFill="1" applyBorder="1" applyAlignment="1">
      <alignment horizontal="center"/>
    </xf>
    <xf numFmtId="41" fontId="9" fillId="8" borderId="16" xfId="3" applyNumberFormat="1" applyFont="1" applyFill="1" applyBorder="1" applyAlignment="1">
      <alignment horizontal="right"/>
    </xf>
    <xf numFmtId="3" fontId="9" fillId="8" borderId="13" xfId="3" applyNumberFormat="1" applyFont="1" applyFill="1" applyBorder="1" applyAlignment="1">
      <alignment horizontal="center"/>
    </xf>
    <xf numFmtId="3" fontId="9" fillId="8" borderId="36" xfId="3" applyNumberFormat="1" applyFont="1" applyFill="1" applyBorder="1" applyAlignment="1">
      <alignment horizontal="right"/>
    </xf>
    <xf numFmtId="3" fontId="9" fillId="8" borderId="0" xfId="3" applyNumberFormat="1" applyFont="1" applyFill="1"/>
    <xf numFmtId="41" fontId="9" fillId="8" borderId="0" xfId="3" applyNumberFormat="1" applyFont="1" applyFill="1"/>
    <xf numFmtId="0" fontId="9" fillId="8" borderId="0" xfId="3" applyFont="1" applyFill="1"/>
    <xf numFmtId="0" fontId="12" fillId="0" borderId="56" xfId="3" applyFont="1" applyBorder="1" applyAlignment="1">
      <alignment horizontal="left" vertical="center"/>
    </xf>
    <xf numFmtId="3" fontId="9" fillId="0" borderId="13" xfId="3" applyNumberFormat="1" applyFont="1" applyBorder="1" applyAlignment="1">
      <alignment horizontal="center"/>
    </xf>
    <xf numFmtId="0" fontId="12" fillId="0" borderId="57" xfId="3" applyFont="1" applyBorder="1" applyAlignment="1">
      <alignment horizontal="left" vertical="center"/>
    </xf>
    <xf numFmtId="3" fontId="9" fillId="8" borderId="35" xfId="3" applyNumberFormat="1" applyFont="1" applyFill="1" applyBorder="1" applyAlignment="1">
      <alignment horizontal="center"/>
    </xf>
    <xf numFmtId="3" fontId="9" fillId="0" borderId="16" xfId="3" applyNumberFormat="1" applyFont="1" applyBorder="1" applyAlignment="1">
      <alignment horizontal="center"/>
    </xf>
    <xf numFmtId="0" fontId="12" fillId="0" borderId="58" xfId="3" applyFont="1" applyBorder="1" applyAlignment="1">
      <alignment horizontal="left" vertical="center"/>
    </xf>
    <xf numFmtId="41" fontId="12" fillId="0" borderId="13" xfId="3" applyNumberFormat="1" applyFont="1" applyBorder="1" applyAlignment="1">
      <alignment vertical="center"/>
    </xf>
    <xf numFmtId="41" fontId="12" fillId="5" borderId="13" xfId="3" applyNumberFormat="1" applyFont="1" applyFill="1" applyBorder="1" applyAlignment="1">
      <alignment vertical="center"/>
    </xf>
    <xf numFmtId="41" fontId="9" fillId="5" borderId="13" xfId="3" applyNumberFormat="1" applyFont="1" applyFill="1" applyBorder="1" applyAlignment="1">
      <alignment horizontal="center" vertical="center"/>
    </xf>
    <xf numFmtId="41" fontId="9" fillId="0" borderId="35" xfId="3" applyNumberFormat="1" applyFont="1" applyBorder="1" applyAlignment="1">
      <alignment horizontal="center" vertical="center"/>
    </xf>
    <xf numFmtId="41" fontId="9" fillId="0" borderId="40" xfId="3" applyNumberFormat="1" applyFont="1" applyBorder="1" applyAlignment="1">
      <alignment horizontal="center" vertical="center"/>
    </xf>
    <xf numFmtId="0" fontId="6" fillId="0" borderId="34" xfId="3" applyFont="1" applyBorder="1" applyAlignment="1">
      <alignment horizontal="left" vertical="center"/>
    </xf>
    <xf numFmtId="41" fontId="6" fillId="0" borderId="13" xfId="3" applyNumberFormat="1" applyFont="1" applyBorder="1" applyAlignment="1">
      <alignment vertical="center"/>
    </xf>
    <xf numFmtId="41" fontId="6" fillId="0" borderId="13" xfId="3" applyNumberFormat="1" applyFont="1" applyBorder="1" applyAlignment="1">
      <alignment horizontal="center" vertical="center"/>
    </xf>
    <xf numFmtId="0" fontId="6" fillId="0" borderId="13" xfId="3" applyFont="1" applyBorder="1" applyAlignment="1">
      <alignment horizontal="center" vertical="center"/>
    </xf>
    <xf numFmtId="0" fontId="6" fillId="0" borderId="37" xfId="3" applyFont="1" applyBorder="1" applyAlignment="1">
      <alignment horizontal="left" vertical="center"/>
    </xf>
    <xf numFmtId="41" fontId="6" fillId="0" borderId="16" xfId="3" applyNumberFormat="1" applyFont="1" applyBorder="1" applyAlignment="1">
      <alignment vertical="center"/>
    </xf>
    <xf numFmtId="41" fontId="6" fillId="0" borderId="35" xfId="3" applyNumberFormat="1" applyFont="1" applyBorder="1" applyAlignment="1">
      <alignment horizontal="center" vertical="center"/>
    </xf>
    <xf numFmtId="0" fontId="6" fillId="0" borderId="35" xfId="3" applyFont="1" applyBorder="1" applyAlignment="1">
      <alignment horizontal="center" vertical="center"/>
    </xf>
    <xf numFmtId="0" fontId="15" fillId="0" borderId="34" xfId="3" applyFont="1" applyBorder="1" applyAlignment="1">
      <alignment horizontal="left" vertical="center"/>
    </xf>
    <xf numFmtId="41" fontId="9" fillId="0" borderId="13" xfId="3" applyNumberFormat="1" applyFont="1" applyBorder="1" applyAlignment="1">
      <alignment vertical="center"/>
    </xf>
    <xf numFmtId="3" fontId="9" fillId="0" borderId="36" xfId="3" applyNumberFormat="1" applyFont="1" applyBorder="1" applyAlignment="1">
      <alignment horizontal="left"/>
    </xf>
    <xf numFmtId="0" fontId="6" fillId="3" borderId="34" xfId="3" applyFont="1" applyFill="1" applyBorder="1" applyAlignment="1">
      <alignment horizontal="left" vertical="center"/>
    </xf>
    <xf numFmtId="41" fontId="6" fillId="3" borderId="35" xfId="3" applyNumberFormat="1" applyFont="1" applyFill="1" applyBorder="1" applyAlignment="1">
      <alignment horizontal="center" vertical="center"/>
    </xf>
    <xf numFmtId="3" fontId="9" fillId="3" borderId="36" xfId="3" applyNumberFormat="1" applyFont="1" applyFill="1" applyBorder="1" applyAlignment="1">
      <alignment horizontal="left"/>
    </xf>
    <xf numFmtId="0" fontId="6" fillId="9" borderId="34" xfId="3" applyFont="1" applyFill="1" applyBorder="1" applyAlignment="1">
      <alignment horizontal="left" vertical="center"/>
    </xf>
    <xf numFmtId="14" fontId="9" fillId="9" borderId="12" xfId="3" applyNumberFormat="1" applyFont="1" applyFill="1" applyBorder="1" applyAlignment="1">
      <alignment horizontal="center"/>
    </xf>
    <xf numFmtId="3" fontId="9" fillId="9" borderId="13" xfId="3" applyNumberFormat="1" applyFont="1" applyFill="1" applyBorder="1" applyAlignment="1">
      <alignment horizontal="right"/>
    </xf>
    <xf numFmtId="41" fontId="9" fillId="9" borderId="13" xfId="3" applyNumberFormat="1" applyFont="1" applyFill="1" applyBorder="1" applyAlignment="1">
      <alignment vertical="center"/>
    </xf>
    <xf numFmtId="41" fontId="9" fillId="9" borderId="13" xfId="3" applyNumberFormat="1" applyFont="1" applyFill="1" applyBorder="1" applyAlignment="1">
      <alignment horizontal="right"/>
    </xf>
    <xf numFmtId="0" fontId="9" fillId="9" borderId="13" xfId="3" applyFont="1" applyFill="1" applyBorder="1" applyAlignment="1">
      <alignment horizontal="center"/>
    </xf>
    <xf numFmtId="41" fontId="6" fillId="9" borderId="35" xfId="3" applyNumberFormat="1" applyFont="1" applyFill="1" applyBorder="1" applyAlignment="1">
      <alignment horizontal="center" vertical="center"/>
    </xf>
    <xf numFmtId="0" fontId="6" fillId="9" borderId="35" xfId="3" applyFont="1" applyFill="1" applyBorder="1" applyAlignment="1">
      <alignment horizontal="center" vertical="center"/>
    </xf>
    <xf numFmtId="3" fontId="9" fillId="9" borderId="36" xfId="3" applyNumberFormat="1" applyFont="1" applyFill="1" applyBorder="1" applyAlignment="1">
      <alignment horizontal="left"/>
    </xf>
    <xf numFmtId="0" fontId="6" fillId="3" borderId="34" xfId="3" applyFont="1" applyFill="1" applyBorder="1" applyAlignment="1">
      <alignment horizontal="left" vertical="center" wrapText="1"/>
    </xf>
    <xf numFmtId="41" fontId="6" fillId="3" borderId="13" xfId="3" applyNumberFormat="1" applyFont="1" applyFill="1" applyBorder="1" applyAlignment="1">
      <alignment vertical="center"/>
    </xf>
    <xf numFmtId="0" fontId="6" fillId="3" borderId="35" xfId="3" applyFont="1" applyFill="1" applyBorder="1" applyAlignment="1">
      <alignment horizontal="center" vertical="center"/>
    </xf>
    <xf numFmtId="41" fontId="6" fillId="0" borderId="38" xfId="3" applyNumberFormat="1" applyFont="1" applyBorder="1" applyAlignment="1">
      <alignment horizontal="center" vertical="center"/>
    </xf>
    <xf numFmtId="0" fontId="6" fillId="0" borderId="38" xfId="3" applyFont="1" applyBorder="1" applyAlignment="1">
      <alignment horizontal="center" vertical="center"/>
    </xf>
    <xf numFmtId="3" fontId="9" fillId="0" borderId="39" xfId="3" applyNumberFormat="1" applyFont="1" applyBorder="1" applyAlignment="1">
      <alignment horizontal="left"/>
    </xf>
    <xf numFmtId="0" fontId="6" fillId="3" borderId="37" xfId="3" applyFont="1" applyFill="1" applyBorder="1" applyAlignment="1">
      <alignment horizontal="left" vertical="center"/>
    </xf>
    <xf numFmtId="14" fontId="9" fillId="3" borderId="15" xfId="3" applyNumberFormat="1" applyFont="1" applyFill="1" applyBorder="1" applyAlignment="1">
      <alignment horizontal="center"/>
    </xf>
    <xf numFmtId="3" fontId="9" fillId="3" borderId="16" xfId="3" applyNumberFormat="1" applyFont="1" applyFill="1" applyBorder="1" applyAlignment="1">
      <alignment horizontal="right"/>
    </xf>
    <xf numFmtId="0" fontId="9" fillId="3" borderId="33" xfId="3" applyFont="1" applyFill="1" applyBorder="1" applyAlignment="1">
      <alignment horizontal="center"/>
    </xf>
    <xf numFmtId="0" fontId="9" fillId="3" borderId="46" xfId="3" applyFont="1" applyFill="1" applyBorder="1" applyAlignment="1">
      <alignment horizontal="center"/>
    </xf>
    <xf numFmtId="0" fontId="6" fillId="0" borderId="50" xfId="3" applyFont="1" applyBorder="1" applyAlignment="1">
      <alignment horizontal="left" vertical="center"/>
    </xf>
    <xf numFmtId="41" fontId="6" fillId="0" borderId="52" xfId="3" applyNumberFormat="1" applyFont="1" applyBorder="1" applyAlignment="1">
      <alignment vertical="center"/>
    </xf>
    <xf numFmtId="41" fontId="6" fillId="0" borderId="55" xfId="3" applyNumberFormat="1" applyFont="1" applyBorder="1" applyAlignment="1">
      <alignment horizontal="center" vertical="center"/>
    </xf>
    <xf numFmtId="0" fontId="6" fillId="0" borderId="55" xfId="3" applyFont="1" applyBorder="1" applyAlignment="1">
      <alignment horizontal="center" vertical="center"/>
    </xf>
    <xf numFmtId="0" fontId="9" fillId="0" borderId="44" xfId="3" applyFont="1" applyBorder="1" applyAlignment="1">
      <alignment horizontal="left"/>
    </xf>
    <xf numFmtId="41" fontId="9" fillId="3" borderId="0" xfId="3" applyNumberFormat="1" applyFont="1" applyFill="1"/>
    <xf numFmtId="0" fontId="12" fillId="0" borderId="60" xfId="3" applyFont="1" applyBorder="1" applyAlignment="1">
      <alignment horizontal="left"/>
    </xf>
    <xf numFmtId="0" fontId="9" fillId="10" borderId="26" xfId="3" applyFont="1" applyFill="1" applyBorder="1" applyAlignment="1">
      <alignment horizontal="center"/>
    </xf>
    <xf numFmtId="0" fontId="12" fillId="10" borderId="27" xfId="3" applyFont="1" applyFill="1" applyBorder="1" applyAlignment="1">
      <alignment horizontal="left"/>
    </xf>
    <xf numFmtId="14" fontId="9" fillId="10" borderId="28" xfId="3" applyNumberFormat="1" applyFont="1" applyFill="1" applyBorder="1" applyAlignment="1">
      <alignment horizontal="center"/>
    </xf>
    <xf numFmtId="3" fontId="9" fillId="10" borderId="29" xfId="3" applyNumberFormat="1" applyFont="1" applyFill="1" applyBorder="1" applyAlignment="1">
      <alignment horizontal="right"/>
    </xf>
    <xf numFmtId="41" fontId="9" fillId="10" borderId="29" xfId="3" applyNumberFormat="1" applyFont="1" applyFill="1" applyBorder="1" applyAlignment="1">
      <alignment horizontal="right"/>
    </xf>
    <xf numFmtId="0" fontId="9" fillId="10" borderId="29" xfId="3" applyFont="1" applyFill="1" applyBorder="1" applyAlignment="1">
      <alignment horizontal="center"/>
    </xf>
    <xf numFmtId="41" fontId="9" fillId="10" borderId="13" xfId="3" applyNumberFormat="1" applyFont="1" applyFill="1" applyBorder="1" applyAlignment="1">
      <alignment horizontal="right"/>
    </xf>
    <xf numFmtId="3" fontId="9" fillId="10" borderId="31" xfId="3" applyNumberFormat="1" applyFont="1" applyFill="1" applyBorder="1" applyAlignment="1">
      <alignment horizontal="center"/>
    </xf>
    <xf numFmtId="3" fontId="9" fillId="10" borderId="54" xfId="3" applyNumberFormat="1" applyFont="1" applyFill="1" applyBorder="1" applyAlignment="1">
      <alignment horizontal="right"/>
    </xf>
    <xf numFmtId="3" fontId="9" fillId="10" borderId="0" xfId="3" applyNumberFormat="1" applyFont="1" applyFill="1"/>
    <xf numFmtId="41" fontId="9" fillId="10" borderId="0" xfId="3" applyNumberFormat="1" applyFont="1" applyFill="1"/>
    <xf numFmtId="0" fontId="9" fillId="10" borderId="33" xfId="3" applyFont="1" applyFill="1" applyBorder="1" applyAlignment="1">
      <alignment horizontal="center"/>
    </xf>
    <xf numFmtId="0" fontId="12" fillId="10" borderId="34" xfId="3" applyFont="1" applyFill="1" applyBorder="1" applyAlignment="1">
      <alignment horizontal="left"/>
    </xf>
    <xf numFmtId="14" fontId="9" fillId="10" borderId="12" xfId="3" applyNumberFormat="1" applyFont="1" applyFill="1" applyBorder="1" applyAlignment="1">
      <alignment horizontal="center"/>
    </xf>
    <xf numFmtId="3" fontId="9" fillId="10" borderId="13" xfId="3" applyNumberFormat="1" applyFont="1" applyFill="1" applyBorder="1" applyAlignment="1">
      <alignment horizontal="right"/>
    </xf>
    <xf numFmtId="0" fontId="9" fillId="10" borderId="13" xfId="3" applyFont="1" applyFill="1" applyBorder="1" applyAlignment="1">
      <alignment horizontal="center"/>
    </xf>
    <xf numFmtId="3" fontId="9" fillId="10" borderId="35" xfId="3" applyNumberFormat="1" applyFont="1" applyFill="1" applyBorder="1" applyAlignment="1">
      <alignment horizontal="center"/>
    </xf>
    <xf numFmtId="3" fontId="9" fillId="10" borderId="36" xfId="3" applyNumberFormat="1" applyFont="1" applyFill="1" applyBorder="1" applyAlignment="1">
      <alignment horizontal="right"/>
    </xf>
    <xf numFmtId="3" fontId="12" fillId="10" borderId="36" xfId="3" applyNumberFormat="1" applyFont="1" applyFill="1" applyBorder="1" applyAlignment="1">
      <alignment horizontal="center"/>
    </xf>
    <xf numFmtId="0" fontId="13" fillId="0" borderId="36" xfId="3" applyFont="1" applyBorder="1"/>
    <xf numFmtId="0" fontId="13" fillId="10" borderId="36" xfId="3" applyFont="1" applyFill="1" applyBorder="1"/>
    <xf numFmtId="0" fontId="12" fillId="10" borderId="61" xfId="3" applyFont="1" applyFill="1" applyBorder="1" applyAlignment="1">
      <alignment horizontal="left"/>
    </xf>
    <xf numFmtId="14" fontId="9" fillId="10" borderId="8" xfId="3" applyNumberFormat="1" applyFont="1" applyFill="1" applyBorder="1" applyAlignment="1">
      <alignment horizontal="center"/>
    </xf>
    <xf numFmtId="3" fontId="9" fillId="10" borderId="9" xfId="3" applyNumberFormat="1" applyFont="1" applyFill="1" applyBorder="1"/>
    <xf numFmtId="3" fontId="9" fillId="10" borderId="9" xfId="3" applyNumberFormat="1" applyFont="1" applyFill="1" applyBorder="1" applyAlignment="1">
      <alignment horizontal="right"/>
    </xf>
    <xf numFmtId="41" fontId="9" fillId="10" borderId="9" xfId="3" applyNumberFormat="1" applyFont="1" applyFill="1" applyBorder="1" applyAlignment="1">
      <alignment horizontal="right"/>
    </xf>
    <xf numFmtId="0" fontId="9" fillId="10" borderId="9" xfId="3" applyFont="1" applyFill="1" applyBorder="1" applyAlignment="1">
      <alignment horizontal="center"/>
    </xf>
    <xf numFmtId="3" fontId="9" fillId="10" borderId="47" xfId="3" applyNumberFormat="1" applyFont="1" applyFill="1" applyBorder="1" applyAlignment="1">
      <alignment horizontal="center"/>
    </xf>
    <xf numFmtId="3" fontId="9" fillId="10" borderId="10" xfId="3" applyNumberFormat="1" applyFont="1" applyFill="1" applyBorder="1" applyAlignment="1">
      <alignment horizontal="right"/>
    </xf>
    <xf numFmtId="3" fontId="9" fillId="10" borderId="13" xfId="3" applyNumberFormat="1" applyFont="1" applyFill="1" applyBorder="1"/>
    <xf numFmtId="0" fontId="9" fillId="11" borderId="33" xfId="3" applyFont="1" applyFill="1" applyBorder="1" applyAlignment="1">
      <alignment horizontal="center"/>
    </xf>
    <xf numFmtId="0" fontId="12" fillId="11" borderId="34" xfId="3" applyFont="1" applyFill="1" applyBorder="1" applyAlignment="1">
      <alignment horizontal="left"/>
    </xf>
    <xf numFmtId="14" fontId="9" fillId="11" borderId="12" xfId="3" applyNumberFormat="1" applyFont="1" applyFill="1" applyBorder="1" applyAlignment="1">
      <alignment horizontal="center"/>
    </xf>
    <xf numFmtId="3" fontId="9" fillId="11" borderId="13" xfId="3" applyNumberFormat="1" applyFont="1" applyFill="1" applyBorder="1"/>
    <xf numFmtId="3" fontId="9" fillId="11" borderId="13" xfId="3" applyNumberFormat="1" applyFont="1" applyFill="1" applyBorder="1" applyAlignment="1">
      <alignment horizontal="right"/>
    </xf>
    <xf numFmtId="41" fontId="9" fillId="11" borderId="13" xfId="3" applyNumberFormat="1" applyFont="1" applyFill="1" applyBorder="1" applyAlignment="1">
      <alignment horizontal="right"/>
    </xf>
    <xf numFmtId="0" fontId="9" fillId="11" borderId="13" xfId="3" applyFont="1" applyFill="1" applyBorder="1" applyAlignment="1">
      <alignment horizontal="center"/>
    </xf>
    <xf numFmtId="3" fontId="9" fillId="11" borderId="35" xfId="3" applyNumberFormat="1" applyFont="1" applyFill="1" applyBorder="1" applyAlignment="1">
      <alignment horizontal="center"/>
    </xf>
    <xf numFmtId="3" fontId="9" fillId="11" borderId="36" xfId="3" applyNumberFormat="1" applyFont="1" applyFill="1" applyBorder="1" applyAlignment="1">
      <alignment horizontal="right"/>
    </xf>
    <xf numFmtId="3" fontId="9" fillId="11" borderId="0" xfId="3" applyNumberFormat="1" applyFont="1" applyFill="1"/>
    <xf numFmtId="41" fontId="9" fillId="11" borderId="0" xfId="3" applyNumberFormat="1" applyFont="1" applyFill="1"/>
    <xf numFmtId="0" fontId="9" fillId="9" borderId="33" xfId="3" applyFont="1" applyFill="1" applyBorder="1" applyAlignment="1">
      <alignment horizontal="center"/>
    </xf>
    <xf numFmtId="0" fontId="12" fillId="9" borderId="34" xfId="3" applyFont="1" applyFill="1" applyBorder="1" applyAlignment="1">
      <alignment horizontal="left"/>
    </xf>
    <xf numFmtId="3" fontId="9" fillId="9" borderId="13" xfId="3" applyNumberFormat="1" applyFont="1" applyFill="1" applyBorder="1"/>
    <xf numFmtId="3" fontId="9" fillId="9" borderId="35" xfId="3" applyNumberFormat="1" applyFont="1" applyFill="1" applyBorder="1" applyAlignment="1">
      <alignment horizontal="center"/>
    </xf>
    <xf numFmtId="0" fontId="13" fillId="9" borderId="36" xfId="3" applyFont="1" applyFill="1" applyBorder="1" applyAlignment="1">
      <alignment horizontal="center"/>
    </xf>
    <xf numFmtId="3" fontId="9" fillId="0" borderId="36" xfId="3" applyNumberFormat="1" applyFont="1" applyBorder="1"/>
    <xf numFmtId="0" fontId="9" fillId="11" borderId="36" xfId="3" applyFont="1" applyFill="1" applyBorder="1"/>
    <xf numFmtId="0" fontId="9" fillId="10" borderId="12" xfId="3" applyFont="1" applyFill="1" applyBorder="1" applyAlignment="1">
      <alignment horizontal="center"/>
    </xf>
    <xf numFmtId="3" fontId="13" fillId="10" borderId="36" xfId="3" applyNumberFormat="1" applyFont="1" applyFill="1" applyBorder="1" applyAlignment="1">
      <alignment horizontal="left"/>
    </xf>
    <xf numFmtId="0" fontId="9" fillId="11" borderId="12" xfId="3" applyFont="1" applyFill="1" applyBorder="1" applyAlignment="1">
      <alignment horizontal="center"/>
    </xf>
    <xf numFmtId="3" fontId="13" fillId="0" borderId="36" xfId="3" applyNumberFormat="1" applyFont="1" applyBorder="1" applyAlignment="1">
      <alignment horizontal="center"/>
    </xf>
    <xf numFmtId="0" fontId="9" fillId="12" borderId="33" xfId="3" applyFont="1" applyFill="1" applyBorder="1" applyAlignment="1">
      <alignment horizontal="center"/>
    </xf>
    <xf numFmtId="0" fontId="12" fillId="12" borderId="34" xfId="3" applyFont="1" applyFill="1" applyBorder="1" applyAlignment="1">
      <alignment horizontal="left"/>
    </xf>
    <xf numFmtId="0" fontId="9" fillId="12" borderId="12" xfId="3" applyFont="1" applyFill="1" applyBorder="1" applyAlignment="1">
      <alignment horizontal="center"/>
    </xf>
    <xf numFmtId="3" fontId="9" fillId="12" borderId="13" xfId="3" applyNumberFormat="1" applyFont="1" applyFill="1" applyBorder="1"/>
    <xf numFmtId="3" fontId="9" fillId="12" borderId="13" xfId="3" applyNumberFormat="1" applyFont="1" applyFill="1" applyBorder="1" applyAlignment="1">
      <alignment horizontal="right"/>
    </xf>
    <xf numFmtId="41" fontId="9" fillId="12" borderId="13" xfId="3" applyNumberFormat="1" applyFont="1" applyFill="1" applyBorder="1" applyAlignment="1">
      <alignment horizontal="right"/>
    </xf>
    <xf numFmtId="0" fontId="9" fillId="12" borderId="13" xfId="3" applyFont="1" applyFill="1" applyBorder="1" applyAlignment="1">
      <alignment horizontal="center"/>
    </xf>
    <xf numFmtId="3" fontId="9" fillId="12" borderId="35" xfId="3" applyNumberFormat="1" applyFont="1" applyFill="1" applyBorder="1" applyAlignment="1">
      <alignment horizontal="center"/>
    </xf>
    <xf numFmtId="3" fontId="9" fillId="12" borderId="36" xfId="3" applyNumberFormat="1" applyFont="1" applyFill="1" applyBorder="1" applyAlignment="1">
      <alignment horizontal="left"/>
    </xf>
    <xf numFmtId="3" fontId="13" fillId="10" borderId="36" xfId="3" applyNumberFormat="1" applyFont="1" applyFill="1" applyBorder="1" applyAlignment="1">
      <alignment horizontal="center"/>
    </xf>
    <xf numFmtId="0" fontId="9" fillId="9" borderId="12" xfId="3" applyFont="1" applyFill="1" applyBorder="1" applyAlignment="1">
      <alignment horizontal="center"/>
    </xf>
    <xf numFmtId="3" fontId="9" fillId="10" borderId="36" xfId="3" applyNumberFormat="1" applyFont="1" applyFill="1" applyBorder="1" applyAlignment="1">
      <alignment horizontal="center"/>
    </xf>
    <xf numFmtId="0" fontId="9" fillId="13" borderId="33" xfId="3" applyFont="1" applyFill="1" applyBorder="1" applyAlignment="1">
      <alignment horizontal="center"/>
    </xf>
    <xf numFmtId="0" fontId="12" fillId="13" borderId="34" xfId="3" applyFont="1" applyFill="1" applyBorder="1" applyAlignment="1">
      <alignment horizontal="left"/>
    </xf>
    <xf numFmtId="0" fontId="9" fillId="13" borderId="12" xfId="3" applyFont="1" applyFill="1" applyBorder="1" applyAlignment="1">
      <alignment horizontal="center"/>
    </xf>
    <xf numFmtId="3" fontId="9" fillId="13" borderId="13" xfId="3" applyNumberFormat="1" applyFont="1" applyFill="1" applyBorder="1"/>
    <xf numFmtId="3" fontId="9" fillId="13" borderId="13" xfId="3" applyNumberFormat="1" applyFont="1" applyFill="1" applyBorder="1" applyAlignment="1">
      <alignment horizontal="right"/>
    </xf>
    <xf numFmtId="41" fontId="9" fillId="13" borderId="13" xfId="3" applyNumberFormat="1" applyFont="1" applyFill="1" applyBorder="1" applyAlignment="1">
      <alignment horizontal="right"/>
    </xf>
    <xf numFmtId="0" fontId="9" fillId="13" borderId="13" xfId="3" applyFont="1" applyFill="1" applyBorder="1" applyAlignment="1">
      <alignment horizontal="center"/>
    </xf>
    <xf numFmtId="3" fontId="9" fillId="13" borderId="35" xfId="3" applyNumberFormat="1" applyFont="1" applyFill="1" applyBorder="1" applyAlignment="1">
      <alignment horizontal="center"/>
    </xf>
    <xf numFmtId="3" fontId="9" fillId="13" borderId="36" xfId="3" applyNumberFormat="1" applyFont="1" applyFill="1" applyBorder="1" applyAlignment="1">
      <alignment horizontal="center"/>
    </xf>
    <xf numFmtId="3" fontId="9" fillId="13" borderId="0" xfId="3" applyNumberFormat="1" applyFont="1" applyFill="1"/>
    <xf numFmtId="41" fontId="9" fillId="13" borderId="0" xfId="3" applyNumberFormat="1" applyFont="1" applyFill="1"/>
    <xf numFmtId="0" fontId="9" fillId="13" borderId="0" xfId="3" applyFont="1" applyFill="1"/>
    <xf numFmtId="0" fontId="12" fillId="3" borderId="34" xfId="3" applyFont="1" applyFill="1" applyBorder="1" applyAlignment="1">
      <alignment horizontal="left"/>
    </xf>
    <xf numFmtId="0" fontId="9" fillId="3" borderId="12" xfId="3" applyFont="1" applyFill="1" applyBorder="1" applyAlignment="1">
      <alignment horizontal="center"/>
    </xf>
    <xf numFmtId="3" fontId="9" fillId="3" borderId="13" xfId="3" applyNumberFormat="1" applyFont="1" applyFill="1" applyBorder="1"/>
    <xf numFmtId="3" fontId="9" fillId="3" borderId="36" xfId="3" applyNumberFormat="1" applyFont="1" applyFill="1" applyBorder="1" applyAlignment="1">
      <alignment horizontal="center"/>
    </xf>
    <xf numFmtId="0" fontId="12" fillId="10" borderId="37" xfId="3" applyFont="1" applyFill="1" applyBorder="1" applyAlignment="1">
      <alignment horizontal="left"/>
    </xf>
    <xf numFmtId="14" fontId="9" fillId="10" borderId="15" xfId="3" applyNumberFormat="1" applyFont="1" applyFill="1" applyBorder="1" applyAlignment="1">
      <alignment horizontal="center"/>
    </xf>
    <xf numFmtId="3" fontId="9" fillId="10" borderId="16" xfId="3" applyNumberFormat="1" applyFont="1" applyFill="1" applyBorder="1"/>
    <xf numFmtId="3" fontId="9" fillId="10" borderId="16" xfId="3" applyNumberFormat="1" applyFont="1" applyFill="1" applyBorder="1" applyAlignment="1">
      <alignment horizontal="right"/>
    </xf>
    <xf numFmtId="41" fontId="9" fillId="10" borderId="16" xfId="3" applyNumberFormat="1" applyFont="1" applyFill="1" applyBorder="1" applyAlignment="1">
      <alignment horizontal="right"/>
    </xf>
    <xf numFmtId="0" fontId="9" fillId="10" borderId="16" xfId="3" applyFont="1" applyFill="1" applyBorder="1" applyAlignment="1">
      <alignment horizontal="center"/>
    </xf>
    <xf numFmtId="3" fontId="9" fillId="10" borderId="38" xfId="3" applyNumberFormat="1" applyFont="1" applyFill="1" applyBorder="1" applyAlignment="1">
      <alignment horizontal="center"/>
    </xf>
    <xf numFmtId="3" fontId="9" fillId="10" borderId="39" xfId="3" applyNumberFormat="1" applyFont="1" applyFill="1" applyBorder="1" applyAlignment="1">
      <alignment horizontal="right"/>
    </xf>
    <xf numFmtId="14" fontId="9" fillId="0" borderId="62" xfId="3" applyNumberFormat="1" applyFont="1" applyBorder="1" applyAlignment="1">
      <alignment horizontal="center"/>
    </xf>
    <xf numFmtId="41" fontId="6" fillId="0" borderId="13" xfId="3" applyNumberFormat="1" applyFont="1" applyBorder="1"/>
    <xf numFmtId="0" fontId="6" fillId="0" borderId="13" xfId="3" applyFont="1" applyBorder="1" applyAlignment="1">
      <alignment horizontal="center"/>
    </xf>
    <xf numFmtId="3" fontId="9" fillId="0" borderId="16" xfId="3" applyNumberFormat="1" applyFont="1" applyBorder="1"/>
    <xf numFmtId="0" fontId="12" fillId="4" borderId="37" xfId="3" applyFont="1" applyFill="1" applyBorder="1" applyAlignment="1">
      <alignment horizontal="left"/>
    </xf>
    <xf numFmtId="14" fontId="9" fillId="4" borderId="15" xfId="3" applyNumberFormat="1" applyFont="1" applyFill="1" applyBorder="1" applyAlignment="1">
      <alignment horizontal="center"/>
    </xf>
    <xf numFmtId="3" fontId="9" fillId="4" borderId="16" xfId="3" applyNumberFormat="1" applyFont="1" applyFill="1" applyBorder="1"/>
    <xf numFmtId="3" fontId="9" fillId="4" borderId="16" xfId="3" applyNumberFormat="1" applyFont="1" applyFill="1" applyBorder="1" applyAlignment="1">
      <alignment horizontal="right"/>
    </xf>
    <xf numFmtId="41" fontId="9" fillId="4" borderId="16" xfId="3" applyNumberFormat="1" applyFont="1" applyFill="1" applyBorder="1" applyAlignment="1">
      <alignment horizontal="right"/>
    </xf>
    <xf numFmtId="3" fontId="9" fillId="4" borderId="38" xfId="3" applyNumberFormat="1" applyFont="1" applyFill="1" applyBorder="1" applyAlignment="1">
      <alignment horizontal="center"/>
    </xf>
    <xf numFmtId="3" fontId="9" fillId="4" borderId="39" xfId="3" applyNumberFormat="1" applyFont="1" applyFill="1" applyBorder="1" applyAlignment="1">
      <alignment horizontal="right"/>
    </xf>
    <xf numFmtId="3" fontId="9" fillId="4" borderId="0" xfId="3" applyNumberFormat="1" applyFont="1" applyFill="1"/>
    <xf numFmtId="41" fontId="9" fillId="4" borderId="0" xfId="3" applyNumberFormat="1" applyFont="1" applyFill="1"/>
    <xf numFmtId="0" fontId="12" fillId="0" borderId="48" xfId="3" applyFont="1" applyBorder="1" applyAlignment="1">
      <alignment horizontal="left"/>
    </xf>
    <xf numFmtId="3" fontId="9" fillId="0" borderId="17" xfId="3" applyNumberFormat="1" applyFont="1" applyBorder="1"/>
    <xf numFmtId="0" fontId="9" fillId="8" borderId="33" xfId="3" applyFont="1" applyFill="1" applyBorder="1" applyAlignment="1">
      <alignment horizontal="center"/>
    </xf>
    <xf numFmtId="0" fontId="12" fillId="8" borderId="34" xfId="3" applyFont="1" applyFill="1" applyBorder="1" applyAlignment="1">
      <alignment horizontal="left" vertical="center"/>
    </xf>
    <xf numFmtId="3" fontId="9" fillId="8" borderId="13" xfId="3" applyNumberFormat="1" applyFont="1" applyFill="1" applyBorder="1"/>
    <xf numFmtId="41" fontId="12" fillId="8" borderId="13" xfId="3" applyNumberFormat="1" applyFont="1" applyFill="1" applyBorder="1" applyAlignment="1">
      <alignment horizontal="right" vertical="center"/>
    </xf>
    <xf numFmtId="41" fontId="9" fillId="8" borderId="13" xfId="3" applyNumberFormat="1" applyFont="1" applyFill="1" applyBorder="1" applyAlignment="1">
      <alignment horizontal="center" vertical="center"/>
    </xf>
    <xf numFmtId="41" fontId="12" fillId="0" borderId="13" xfId="3" applyNumberFormat="1" applyFont="1" applyBorder="1" applyAlignment="1">
      <alignment horizontal="right" vertical="center"/>
    </xf>
    <xf numFmtId="0" fontId="9" fillId="14" borderId="33" xfId="3" applyFont="1" applyFill="1" applyBorder="1" applyAlignment="1">
      <alignment horizontal="center"/>
    </xf>
    <xf numFmtId="0" fontId="12" fillId="14" borderId="34" xfId="3" applyFont="1" applyFill="1" applyBorder="1" applyAlignment="1">
      <alignment horizontal="left"/>
    </xf>
    <xf numFmtId="14" fontId="9" fillId="14" borderId="12" xfId="3" applyNumberFormat="1" applyFont="1" applyFill="1" applyBorder="1" applyAlignment="1">
      <alignment horizontal="center"/>
    </xf>
    <xf numFmtId="3" fontId="9" fillId="14" borderId="13" xfId="3" applyNumberFormat="1" applyFont="1" applyFill="1" applyBorder="1"/>
    <xf numFmtId="3" fontId="9" fillId="14" borderId="13" xfId="3" applyNumberFormat="1" applyFont="1" applyFill="1" applyBorder="1" applyAlignment="1">
      <alignment horizontal="right"/>
    </xf>
    <xf numFmtId="41" fontId="9" fillId="14" borderId="13" xfId="3" applyNumberFormat="1" applyFont="1" applyFill="1" applyBorder="1" applyAlignment="1">
      <alignment horizontal="right"/>
    </xf>
    <xf numFmtId="0" fontId="9" fillId="14" borderId="13" xfId="3" applyFont="1" applyFill="1" applyBorder="1" applyAlignment="1">
      <alignment horizontal="center"/>
    </xf>
    <xf numFmtId="41" fontId="9" fillId="14" borderId="13" xfId="3" applyNumberFormat="1" applyFont="1" applyFill="1" applyBorder="1" applyAlignment="1">
      <alignment horizontal="center" vertical="center"/>
    </xf>
    <xf numFmtId="3" fontId="9" fillId="14" borderId="35" xfId="3" applyNumberFormat="1" applyFont="1" applyFill="1" applyBorder="1" applyAlignment="1">
      <alignment horizontal="center"/>
    </xf>
    <xf numFmtId="3" fontId="9" fillId="14" borderId="36" xfId="3" applyNumberFormat="1" applyFont="1" applyFill="1" applyBorder="1" applyAlignment="1">
      <alignment horizontal="right"/>
    </xf>
    <xf numFmtId="41" fontId="12" fillId="8" borderId="13" xfId="3" applyNumberFormat="1" applyFont="1" applyFill="1" applyBorder="1" applyAlignment="1">
      <alignment vertical="center"/>
    </xf>
    <xf numFmtId="41" fontId="9" fillId="8" borderId="35" xfId="3" applyNumberFormat="1" applyFont="1" applyFill="1" applyBorder="1" applyAlignment="1">
      <alignment horizontal="center" vertical="center"/>
    </xf>
    <xf numFmtId="0" fontId="9" fillId="19" borderId="33" xfId="3" applyFont="1" applyFill="1" applyBorder="1" applyAlignment="1">
      <alignment horizontal="center"/>
    </xf>
    <xf numFmtId="0" fontId="12" fillId="19" borderId="34" xfId="3" applyFont="1" applyFill="1" applyBorder="1" applyAlignment="1">
      <alignment horizontal="left"/>
    </xf>
    <xf numFmtId="14" fontId="9" fillId="19" borderId="12" xfId="3" applyNumberFormat="1" applyFont="1" applyFill="1" applyBorder="1" applyAlignment="1">
      <alignment horizontal="center"/>
    </xf>
    <xf numFmtId="3" fontId="9" fillId="19" borderId="13" xfId="3" applyNumberFormat="1" applyFont="1" applyFill="1" applyBorder="1"/>
    <xf numFmtId="3" fontId="9" fillId="19" borderId="13" xfId="3" applyNumberFormat="1" applyFont="1" applyFill="1" applyBorder="1" applyAlignment="1">
      <alignment horizontal="right"/>
    </xf>
    <xf numFmtId="41" fontId="9" fillId="19" borderId="13" xfId="3" applyNumberFormat="1" applyFont="1" applyFill="1" applyBorder="1" applyAlignment="1">
      <alignment horizontal="right"/>
    </xf>
    <xf numFmtId="0" fontId="9" fillId="19" borderId="13" xfId="3" applyFont="1" applyFill="1" applyBorder="1" applyAlignment="1">
      <alignment horizontal="center"/>
    </xf>
    <xf numFmtId="3" fontId="9" fillId="19" borderId="35" xfId="3" applyNumberFormat="1" applyFont="1" applyFill="1" applyBorder="1" applyAlignment="1">
      <alignment horizontal="center"/>
    </xf>
    <xf numFmtId="3" fontId="9" fillId="19" borderId="36" xfId="3" applyNumberFormat="1" applyFont="1" applyFill="1" applyBorder="1" applyAlignment="1">
      <alignment horizontal="right"/>
    </xf>
    <xf numFmtId="0" fontId="9" fillId="0" borderId="63" xfId="3" applyFont="1" applyBorder="1" applyAlignment="1">
      <alignment horizontal="left" vertical="center"/>
    </xf>
    <xf numFmtId="14" fontId="9" fillId="0" borderId="64" xfId="3" applyNumberFormat="1" applyFont="1" applyBorder="1" applyAlignment="1">
      <alignment horizontal="center"/>
    </xf>
    <xf numFmtId="41" fontId="6" fillId="0" borderId="65" xfId="3" applyNumberFormat="1" applyFont="1" applyBorder="1" applyAlignment="1">
      <alignment horizontal="right" vertical="center"/>
    </xf>
    <xf numFmtId="0" fontId="6" fillId="0" borderId="66" xfId="3" applyFont="1" applyBorder="1" applyAlignment="1">
      <alignment horizontal="center" vertical="center"/>
    </xf>
    <xf numFmtId="0" fontId="9" fillId="0" borderId="35" xfId="3" applyFont="1" applyBorder="1" applyAlignment="1">
      <alignment horizontal="left" vertical="center"/>
    </xf>
    <xf numFmtId="0" fontId="9" fillId="13" borderId="35" xfId="3" applyFont="1" applyFill="1" applyBorder="1" applyAlignment="1">
      <alignment horizontal="left" vertical="center"/>
    </xf>
    <xf numFmtId="14" fontId="9" fillId="13" borderId="62" xfId="3" applyNumberFormat="1" applyFont="1" applyFill="1" applyBorder="1" applyAlignment="1">
      <alignment horizontal="center"/>
    </xf>
    <xf numFmtId="41" fontId="6" fillId="13" borderId="13" xfId="3" applyNumberFormat="1" applyFont="1" applyFill="1" applyBorder="1" applyAlignment="1">
      <alignment horizontal="right" vertical="center"/>
    </xf>
    <xf numFmtId="41" fontId="9" fillId="13" borderId="13" xfId="3" applyNumberFormat="1" applyFont="1" applyFill="1" applyBorder="1" applyAlignment="1">
      <alignment horizontal="center" vertical="center"/>
    </xf>
    <xf numFmtId="0" fontId="6" fillId="13" borderId="66" xfId="3" applyFont="1" applyFill="1" applyBorder="1" applyAlignment="1">
      <alignment horizontal="center" vertical="center"/>
    </xf>
    <xf numFmtId="3" fontId="9" fillId="13" borderId="36" xfId="3" applyNumberFormat="1" applyFont="1" applyFill="1" applyBorder="1" applyAlignment="1">
      <alignment horizontal="right"/>
    </xf>
    <xf numFmtId="0" fontId="9" fillId="0" borderId="67" xfId="3" applyFont="1" applyBorder="1" applyAlignment="1">
      <alignment horizontal="left" vertical="center"/>
    </xf>
    <xf numFmtId="14" fontId="9" fillId="0" borderId="68" xfId="3" applyNumberFormat="1" applyFont="1" applyBorder="1" applyAlignment="1">
      <alignment horizontal="center"/>
    </xf>
    <xf numFmtId="3" fontId="9" fillId="0" borderId="9" xfId="3" applyNumberFormat="1" applyFont="1" applyBorder="1"/>
    <xf numFmtId="41" fontId="6" fillId="0" borderId="59" xfId="3" applyNumberFormat="1" applyFont="1" applyBorder="1" applyAlignment="1">
      <alignment horizontal="right" vertical="center"/>
    </xf>
    <xf numFmtId="3" fontId="9" fillId="0" borderId="9" xfId="3" applyNumberFormat="1" applyFont="1" applyBorder="1" applyAlignment="1">
      <alignment horizontal="right"/>
    </xf>
    <xf numFmtId="41" fontId="6" fillId="9" borderId="13" xfId="3" applyNumberFormat="1" applyFont="1" applyFill="1" applyBorder="1" applyAlignment="1">
      <alignment vertical="center"/>
    </xf>
    <xf numFmtId="0" fontId="6" fillId="3" borderId="48" xfId="3" applyFont="1" applyFill="1" applyBorder="1" applyAlignment="1">
      <alignment horizontal="left" vertical="center"/>
    </xf>
    <xf numFmtId="3" fontId="9" fillId="3" borderId="17" xfId="3" applyNumberFormat="1" applyFont="1" applyFill="1" applyBorder="1" applyAlignment="1">
      <alignment horizontal="right"/>
    </xf>
    <xf numFmtId="41" fontId="6" fillId="3" borderId="17" xfId="3" applyNumberFormat="1" applyFont="1" applyFill="1" applyBorder="1" applyAlignment="1">
      <alignment vertical="center"/>
    </xf>
    <xf numFmtId="41" fontId="9" fillId="3" borderId="17" xfId="3" applyNumberFormat="1" applyFont="1" applyFill="1" applyBorder="1" applyAlignment="1">
      <alignment horizontal="right"/>
    </xf>
    <xf numFmtId="0" fontId="9" fillId="3" borderId="17" xfId="3" applyFont="1" applyFill="1" applyBorder="1" applyAlignment="1">
      <alignment horizontal="center"/>
    </xf>
    <xf numFmtId="41" fontId="6" fillId="3" borderId="13" xfId="3" applyNumberFormat="1" applyFont="1" applyFill="1" applyBorder="1" applyAlignment="1">
      <alignment horizontal="center" vertical="center"/>
    </xf>
    <xf numFmtId="0" fontId="6" fillId="3" borderId="13" xfId="3" applyFont="1" applyFill="1" applyBorder="1" applyAlignment="1">
      <alignment horizontal="center" vertical="center"/>
    </xf>
    <xf numFmtId="14" fontId="9" fillId="3" borderId="62" xfId="3" applyNumberFormat="1" applyFont="1" applyFill="1" applyBorder="1" applyAlignment="1">
      <alignment horizontal="center"/>
    </xf>
    <xf numFmtId="41" fontId="6" fillId="3" borderId="16" xfId="3" applyNumberFormat="1" applyFont="1" applyFill="1" applyBorder="1" applyAlignment="1">
      <alignment vertical="center"/>
    </xf>
    <xf numFmtId="41" fontId="9" fillId="3" borderId="16" xfId="3" applyNumberFormat="1" applyFont="1" applyFill="1" applyBorder="1" applyAlignment="1">
      <alignment horizontal="right"/>
    </xf>
    <xf numFmtId="0" fontId="9" fillId="3" borderId="16" xfId="3" applyFont="1" applyFill="1" applyBorder="1" applyAlignment="1">
      <alignment horizontal="center"/>
    </xf>
    <xf numFmtId="41" fontId="6" fillId="3" borderId="38" xfId="3" applyNumberFormat="1" applyFont="1" applyFill="1" applyBorder="1" applyAlignment="1">
      <alignment horizontal="center" vertical="center"/>
    </xf>
    <xf numFmtId="0" fontId="6" fillId="3" borderId="38" xfId="3" applyFont="1" applyFill="1" applyBorder="1" applyAlignment="1">
      <alignment horizontal="center" vertical="center"/>
    </xf>
    <xf numFmtId="3" fontId="9" fillId="3" borderId="39" xfId="3" applyNumberFormat="1" applyFont="1" applyFill="1" applyBorder="1" applyAlignment="1">
      <alignment horizontal="left"/>
    </xf>
    <xf numFmtId="0" fontId="9" fillId="3" borderId="49" xfId="3" applyFont="1" applyFill="1" applyBorder="1" applyAlignment="1">
      <alignment horizontal="center"/>
    </xf>
    <xf numFmtId="0" fontId="6" fillId="3" borderId="50" xfId="3" applyFont="1" applyFill="1" applyBorder="1" applyAlignment="1">
      <alignment horizontal="left" vertical="center"/>
    </xf>
    <xf numFmtId="14" fontId="9" fillId="3" borderId="51" xfId="3" applyNumberFormat="1" applyFont="1" applyFill="1" applyBorder="1" applyAlignment="1">
      <alignment horizontal="center"/>
    </xf>
    <xf numFmtId="3" fontId="9" fillId="3" borderId="52" xfId="3" applyNumberFormat="1" applyFont="1" applyFill="1" applyBorder="1" applyAlignment="1">
      <alignment horizontal="right"/>
    </xf>
    <xf numFmtId="41" fontId="6" fillId="3" borderId="52" xfId="3" applyNumberFormat="1" applyFont="1" applyFill="1" applyBorder="1" applyAlignment="1">
      <alignment vertical="center"/>
    </xf>
    <xf numFmtId="41" fontId="9" fillId="3" borderId="52" xfId="3" applyNumberFormat="1" applyFont="1" applyFill="1" applyBorder="1" applyAlignment="1">
      <alignment horizontal="right"/>
    </xf>
    <xf numFmtId="0" fontId="9" fillId="3" borderId="52" xfId="3" applyFont="1" applyFill="1" applyBorder="1" applyAlignment="1">
      <alignment horizontal="center"/>
    </xf>
    <xf numFmtId="41" fontId="6" fillId="3" borderId="55" xfId="3" applyNumberFormat="1" applyFont="1" applyFill="1" applyBorder="1" applyAlignment="1">
      <alignment horizontal="center" vertical="center"/>
    </xf>
    <xf numFmtId="0" fontId="6" fillId="3" borderId="55" xfId="3" applyFont="1" applyFill="1" applyBorder="1" applyAlignment="1">
      <alignment horizontal="center" vertical="center"/>
    </xf>
    <xf numFmtId="3" fontId="9" fillId="3" borderId="53" xfId="3" applyNumberFormat="1" applyFont="1" applyFill="1" applyBorder="1" applyAlignment="1">
      <alignment horizontal="left"/>
    </xf>
    <xf numFmtId="0" fontId="12" fillId="0" borderId="44" xfId="3" applyFont="1" applyBorder="1" applyAlignment="1">
      <alignment horizontal="left"/>
    </xf>
    <xf numFmtId="3" fontId="9" fillId="0" borderId="21" xfId="3" applyNumberFormat="1" applyFont="1" applyBorder="1"/>
    <xf numFmtId="41" fontId="9" fillId="0" borderId="21" xfId="3" applyNumberFormat="1" applyFont="1" applyBorder="1"/>
    <xf numFmtId="3" fontId="9" fillId="3" borderId="21" xfId="3" applyNumberFormat="1" applyFont="1" applyFill="1" applyBorder="1"/>
    <xf numFmtId="3" fontId="9" fillId="0" borderId="45" xfId="3" applyNumberFormat="1" applyFont="1" applyBorder="1" applyAlignment="1">
      <alignment horizontal="center"/>
    </xf>
    <xf numFmtId="3" fontId="9" fillId="0" borderId="22" xfId="3" applyNumberFormat="1" applyFont="1" applyBorder="1"/>
    <xf numFmtId="0" fontId="6" fillId="0" borderId="0" xfId="3" applyFont="1" applyAlignment="1">
      <alignment horizontal="center"/>
    </xf>
    <xf numFmtId="0" fontId="12" fillId="0" borderId="0" xfId="3" applyFont="1" applyAlignment="1">
      <alignment horizontal="left"/>
    </xf>
    <xf numFmtId="0" fontId="9" fillId="0" borderId="69" xfId="3" applyFont="1" applyBorder="1" applyAlignment="1">
      <alignment horizontal="center"/>
    </xf>
    <xf numFmtId="0" fontId="9" fillId="0" borderId="56" xfId="3" applyFont="1" applyBorder="1" applyAlignment="1">
      <alignment horizontal="center"/>
    </xf>
    <xf numFmtId="41" fontId="9" fillId="0" borderId="13" xfId="3" applyNumberFormat="1" applyFont="1" applyBorder="1"/>
    <xf numFmtId="41" fontId="9" fillId="0" borderId="13" xfId="3" applyNumberFormat="1" applyFont="1" applyBorder="1" applyAlignment="1">
      <alignment horizontal="center"/>
    </xf>
    <xf numFmtId="0" fontId="9" fillId="0" borderId="36" xfId="3" applyFont="1" applyBorder="1"/>
    <xf numFmtId="178" fontId="9" fillId="0" borderId="13" xfId="3" applyNumberFormat="1" applyFont="1" applyBorder="1" applyAlignment="1">
      <alignment horizontal="center"/>
    </xf>
    <xf numFmtId="3" fontId="9" fillId="0" borderId="70" xfId="3" applyNumberFormat="1" applyFont="1" applyBorder="1"/>
    <xf numFmtId="0" fontId="9" fillId="10" borderId="56" xfId="3" applyFont="1" applyFill="1" applyBorder="1" applyAlignment="1">
      <alignment horizontal="center"/>
    </xf>
    <xf numFmtId="41" fontId="9" fillId="10" borderId="13" xfId="3" applyNumberFormat="1" applyFont="1" applyFill="1" applyBorder="1"/>
    <xf numFmtId="41" fontId="9" fillId="10" borderId="13" xfId="3" applyNumberFormat="1" applyFont="1" applyFill="1" applyBorder="1" applyAlignment="1">
      <alignment horizontal="center"/>
    </xf>
    <xf numFmtId="178" fontId="9" fillId="10" borderId="13" xfId="3" applyNumberFormat="1" applyFont="1" applyFill="1" applyBorder="1" applyAlignment="1">
      <alignment horizontal="center"/>
    </xf>
    <xf numFmtId="0" fontId="9" fillId="10" borderId="36" xfId="3" applyFont="1" applyFill="1" applyBorder="1"/>
    <xf numFmtId="3" fontId="9" fillId="10" borderId="70" xfId="3" applyNumberFormat="1" applyFont="1" applyFill="1" applyBorder="1"/>
    <xf numFmtId="0" fontId="9" fillId="13" borderId="46" xfId="3" applyFont="1" applyFill="1" applyBorder="1" applyAlignment="1">
      <alignment horizontal="center"/>
    </xf>
    <xf numFmtId="0" fontId="9" fillId="13" borderId="37" xfId="3" applyFont="1" applyFill="1" applyBorder="1" applyAlignment="1">
      <alignment horizontal="center"/>
    </xf>
    <xf numFmtId="14" fontId="9" fillId="13" borderId="15" xfId="3" applyNumberFormat="1" applyFont="1" applyFill="1" applyBorder="1" applyAlignment="1">
      <alignment horizontal="center"/>
    </xf>
    <xf numFmtId="41" fontId="9" fillId="13" borderId="16" xfId="3" applyNumberFormat="1" applyFont="1" applyFill="1" applyBorder="1"/>
    <xf numFmtId="41" fontId="9" fillId="13" borderId="16" xfId="3" applyNumberFormat="1" applyFont="1" applyFill="1" applyBorder="1" applyAlignment="1">
      <alignment horizontal="right"/>
    </xf>
    <xf numFmtId="41" fontId="9" fillId="13" borderId="16" xfId="3" applyNumberFormat="1" applyFont="1" applyFill="1" applyBorder="1" applyAlignment="1">
      <alignment horizontal="center"/>
    </xf>
    <xf numFmtId="178" fontId="9" fillId="13" borderId="16" xfId="3" applyNumberFormat="1" applyFont="1" applyFill="1" applyBorder="1" applyAlignment="1">
      <alignment horizontal="center"/>
    </xf>
    <xf numFmtId="3" fontId="9" fillId="13" borderId="38" xfId="3" applyNumberFormat="1" applyFont="1" applyFill="1" applyBorder="1" applyAlignment="1">
      <alignment horizontal="center"/>
    </xf>
    <xf numFmtId="0" fontId="9" fillId="13" borderId="39" xfId="3" applyFont="1" applyFill="1" applyBorder="1"/>
    <xf numFmtId="3" fontId="9" fillId="13" borderId="70" xfId="3" applyNumberFormat="1" applyFont="1" applyFill="1" applyBorder="1"/>
    <xf numFmtId="3" fontId="9" fillId="13" borderId="16" xfId="3" applyNumberFormat="1" applyFont="1" applyFill="1" applyBorder="1" applyAlignment="1">
      <alignment horizontal="center"/>
    </xf>
    <xf numFmtId="41" fontId="9" fillId="0" borderId="16" xfId="3" applyNumberFormat="1" applyFont="1" applyBorder="1"/>
    <xf numFmtId="41" fontId="9" fillId="0" borderId="16" xfId="3" applyNumberFormat="1" applyFont="1" applyBorder="1" applyAlignment="1">
      <alignment horizontal="center"/>
    </xf>
    <xf numFmtId="178" fontId="9" fillId="0" borderId="16" xfId="3" applyNumberFormat="1" applyFont="1" applyBorder="1" applyAlignment="1">
      <alignment horizontal="center"/>
    </xf>
    <xf numFmtId="0" fontId="9" fillId="0" borderId="39" xfId="3" applyFont="1" applyBorder="1"/>
    <xf numFmtId="41" fontId="9" fillId="3" borderId="21" xfId="3" applyNumberFormat="1" applyFont="1" applyFill="1" applyBorder="1"/>
    <xf numFmtId="0" fontId="9" fillId="0" borderId="22" xfId="3" applyFont="1" applyBorder="1"/>
    <xf numFmtId="0" fontId="9" fillId="0" borderId="71" xfId="3" applyFont="1" applyBorder="1" applyAlignment="1">
      <alignment horizontal="center"/>
    </xf>
    <xf numFmtId="0" fontId="9" fillId="0" borderId="72" xfId="3" applyFont="1" applyBorder="1" applyAlignment="1">
      <alignment horizontal="center"/>
    </xf>
    <xf numFmtId="3" fontId="9" fillId="0" borderId="45" xfId="3" applyNumberFormat="1" applyFont="1" applyBorder="1"/>
    <xf numFmtId="3" fontId="10" fillId="0" borderId="0" xfId="3" applyNumberFormat="1" applyFont="1"/>
    <xf numFmtId="3" fontId="9" fillId="0" borderId="5" xfId="3" applyNumberFormat="1" applyFont="1" applyBorder="1" applyAlignment="1">
      <alignment horizontal="center"/>
    </xf>
    <xf numFmtId="0" fontId="9" fillId="0" borderId="36" xfId="3" applyFont="1" applyBorder="1" applyAlignment="1">
      <alignment horizontal="left"/>
    </xf>
    <xf numFmtId="3" fontId="9" fillId="0" borderId="47" xfId="3" applyNumberFormat="1" applyFont="1" applyBorder="1" applyAlignment="1">
      <alignment horizontal="center"/>
    </xf>
    <xf numFmtId="0" fontId="9" fillId="0" borderId="73" xfId="3" applyFont="1" applyBorder="1"/>
    <xf numFmtId="3" fontId="14" fillId="0" borderId="35" xfId="3" applyNumberFormat="1" applyFont="1" applyBorder="1" applyAlignment="1">
      <alignment horizontal="center"/>
    </xf>
    <xf numFmtId="0" fontId="9" fillId="5" borderId="36" xfId="3" applyFont="1" applyFill="1" applyBorder="1" applyAlignment="1">
      <alignment horizontal="left"/>
    </xf>
    <xf numFmtId="3" fontId="9" fillId="5" borderId="13" xfId="3" applyNumberFormat="1" applyFont="1" applyFill="1" applyBorder="1"/>
    <xf numFmtId="41" fontId="9" fillId="5" borderId="13" xfId="3" applyNumberFormat="1" applyFont="1" applyFill="1" applyBorder="1"/>
    <xf numFmtId="0" fontId="9" fillId="5" borderId="36" xfId="3" applyFont="1" applyFill="1" applyBorder="1"/>
    <xf numFmtId="0" fontId="24" fillId="0" borderId="36" xfId="3" applyFont="1" applyBorder="1"/>
    <xf numFmtId="0" fontId="12" fillId="5" borderId="36" xfId="3" applyFont="1" applyFill="1" applyBorder="1" applyAlignment="1">
      <alignment horizontal="left"/>
    </xf>
    <xf numFmtId="3" fontId="25" fillId="0" borderId="35" xfId="3" applyNumberFormat="1" applyFont="1" applyBorder="1" applyAlignment="1">
      <alignment horizontal="center"/>
    </xf>
    <xf numFmtId="0" fontId="14" fillId="0" borderId="36" xfId="3" applyFont="1" applyBorder="1"/>
    <xf numFmtId="0" fontId="25" fillId="0" borderId="34" xfId="3" applyFont="1" applyBorder="1" applyAlignment="1">
      <alignment horizontal="left"/>
    </xf>
    <xf numFmtId="41" fontId="9" fillId="3" borderId="13" xfId="3" applyNumberFormat="1" applyFont="1" applyFill="1" applyBorder="1"/>
    <xf numFmtId="0" fontId="9" fillId="3" borderId="36" xfId="3" applyFont="1" applyFill="1" applyBorder="1"/>
    <xf numFmtId="0" fontId="12" fillId="5" borderId="34" xfId="3" applyFont="1" applyFill="1" applyBorder="1" applyAlignment="1">
      <alignment horizontal="left"/>
    </xf>
    <xf numFmtId="3" fontId="12" fillId="5" borderId="35" xfId="3" applyNumberFormat="1" applyFont="1" applyFill="1" applyBorder="1" applyAlignment="1">
      <alignment horizontal="center"/>
    </xf>
    <xf numFmtId="41" fontId="9" fillId="0" borderId="17" xfId="3" applyNumberFormat="1" applyFont="1" applyBorder="1"/>
    <xf numFmtId="0" fontId="9" fillId="0" borderId="66" xfId="3" applyFont="1" applyBorder="1" applyAlignment="1">
      <alignment horizontal="left" vertical="center"/>
    </xf>
    <xf numFmtId="0" fontId="9" fillId="0" borderId="13" xfId="3" applyFont="1" applyBorder="1" applyAlignment="1">
      <alignment horizontal="center" vertical="center"/>
    </xf>
    <xf numFmtId="0" fontId="12" fillId="3" borderId="34" xfId="3" applyFont="1" applyFill="1" applyBorder="1" applyAlignment="1">
      <alignment horizontal="left" wrapText="1"/>
    </xf>
    <xf numFmtId="3" fontId="9" fillId="3" borderId="16" xfId="3" applyNumberFormat="1" applyFont="1" applyFill="1" applyBorder="1" applyAlignment="1">
      <alignment horizontal="center"/>
    </xf>
    <xf numFmtId="3" fontId="9" fillId="3" borderId="13" xfId="3" applyNumberFormat="1" applyFont="1" applyFill="1" applyBorder="1" applyAlignment="1">
      <alignment horizontal="center"/>
    </xf>
    <xf numFmtId="0" fontId="12" fillId="0" borderId="34" xfId="3" applyFont="1" applyBorder="1" applyAlignment="1">
      <alignment horizontal="left" wrapText="1"/>
    </xf>
    <xf numFmtId="0" fontId="12" fillId="0" borderId="48" xfId="3" applyFont="1" applyBorder="1" applyAlignment="1">
      <alignment horizontal="left" wrapText="1"/>
    </xf>
    <xf numFmtId="3" fontId="9" fillId="3" borderId="17" xfId="3" applyNumberFormat="1" applyFont="1" applyFill="1" applyBorder="1" applyAlignment="1">
      <alignment horizontal="center"/>
    </xf>
    <xf numFmtId="3" fontId="9" fillId="0" borderId="17" xfId="3" applyNumberFormat="1" applyFont="1" applyBorder="1" applyAlignment="1">
      <alignment horizontal="center"/>
    </xf>
    <xf numFmtId="0" fontId="9" fillId="0" borderId="18" xfId="3" applyFont="1" applyBorder="1"/>
    <xf numFmtId="0" fontId="12" fillId="0" borderId="35" xfId="3" applyFont="1" applyBorder="1" applyAlignment="1">
      <alignment horizontal="left" wrapText="1"/>
    </xf>
    <xf numFmtId="0" fontId="12" fillId="0" borderId="13" xfId="3" applyFont="1" applyBorder="1" applyAlignment="1">
      <alignment horizontal="left" wrapText="1"/>
    </xf>
    <xf numFmtId="14" fontId="9" fillId="0" borderId="13" xfId="3" applyNumberFormat="1" applyFont="1" applyBorder="1" applyAlignment="1">
      <alignment horizontal="center"/>
    </xf>
    <xf numFmtId="0" fontId="12" fillId="0" borderId="16" xfId="3" applyFont="1" applyBorder="1" applyAlignment="1">
      <alignment horizontal="left" wrapText="1"/>
    </xf>
    <xf numFmtId="14" fontId="9" fillId="0" borderId="16" xfId="3" applyNumberFormat="1" applyFont="1" applyBorder="1" applyAlignment="1">
      <alignment horizontal="center"/>
    </xf>
    <xf numFmtId="0" fontId="12" fillId="0" borderId="16" xfId="3" applyFont="1" applyBorder="1" applyAlignment="1">
      <alignment horizontal="left"/>
    </xf>
    <xf numFmtId="0" fontId="12" fillId="3" borderId="16" xfId="3" applyFont="1" applyFill="1" applyBorder="1" applyAlignment="1">
      <alignment horizontal="left"/>
    </xf>
    <xf numFmtId="14" fontId="9" fillId="3" borderId="16" xfId="3" applyNumberFormat="1" applyFont="1" applyFill="1" applyBorder="1" applyAlignment="1">
      <alignment horizontal="center"/>
    </xf>
    <xf numFmtId="0" fontId="12" fillId="11" borderId="16" xfId="3" applyFont="1" applyFill="1" applyBorder="1" applyAlignment="1">
      <alignment horizontal="left"/>
    </xf>
    <xf numFmtId="14" fontId="9" fillId="11" borderId="16" xfId="3" applyNumberFormat="1" applyFont="1" applyFill="1" applyBorder="1" applyAlignment="1">
      <alignment horizontal="center"/>
    </xf>
    <xf numFmtId="41" fontId="9" fillId="11" borderId="16" xfId="3" applyNumberFormat="1" applyFont="1" applyFill="1" applyBorder="1"/>
    <xf numFmtId="3" fontId="9" fillId="11" borderId="16" xfId="3" applyNumberFormat="1" applyFont="1" applyFill="1" applyBorder="1" applyAlignment="1">
      <alignment horizontal="right"/>
    </xf>
    <xf numFmtId="3" fontId="9" fillId="11" borderId="16" xfId="3" applyNumberFormat="1" applyFont="1" applyFill="1" applyBorder="1" applyAlignment="1">
      <alignment horizontal="center"/>
    </xf>
    <xf numFmtId="3" fontId="9" fillId="11" borderId="13" xfId="3" applyNumberFormat="1" applyFont="1" applyFill="1" applyBorder="1" applyAlignment="1">
      <alignment horizontal="center"/>
    </xf>
    <xf numFmtId="0" fontId="9" fillId="11" borderId="39" xfId="3" applyFont="1" applyFill="1" applyBorder="1"/>
    <xf numFmtId="0" fontId="9" fillId="11" borderId="0" xfId="3" applyFont="1" applyFill="1"/>
    <xf numFmtId="41" fontId="9" fillId="3" borderId="16" xfId="3" applyNumberFormat="1" applyFont="1" applyFill="1" applyBorder="1"/>
    <xf numFmtId="0" fontId="9" fillId="3" borderId="39" xfId="3" applyFont="1" applyFill="1" applyBorder="1"/>
    <xf numFmtId="0" fontId="12" fillId="0" borderId="52" xfId="3" applyFont="1" applyBorder="1" applyAlignment="1">
      <alignment horizontal="left"/>
    </xf>
    <xf numFmtId="14" fontId="9" fillId="0" borderId="52" xfId="3" applyNumberFormat="1" applyFont="1" applyBorder="1" applyAlignment="1">
      <alignment horizontal="center"/>
    </xf>
    <xf numFmtId="3" fontId="9" fillId="0" borderId="52" xfId="3" applyNumberFormat="1" applyFont="1" applyBorder="1"/>
    <xf numFmtId="41" fontId="9" fillId="0" borderId="52" xfId="3" applyNumberFormat="1" applyFont="1" applyBorder="1"/>
    <xf numFmtId="3" fontId="9" fillId="0" borderId="52" xfId="3" applyNumberFormat="1" applyFont="1" applyBorder="1" applyAlignment="1">
      <alignment horizontal="center"/>
    </xf>
    <xf numFmtId="0" fontId="9" fillId="0" borderId="53" xfId="3" applyFont="1" applyBorder="1"/>
    <xf numFmtId="0" fontId="9" fillId="0" borderId="74" xfId="3" applyFont="1" applyBorder="1"/>
    <xf numFmtId="3" fontId="9" fillId="0" borderId="21" xfId="3" applyNumberFormat="1" applyFont="1" applyBorder="1" applyAlignment="1">
      <alignment horizontal="center"/>
    </xf>
    <xf numFmtId="0" fontId="9" fillId="0" borderId="60" xfId="3" applyFont="1" applyBorder="1"/>
    <xf numFmtId="0" fontId="9" fillId="0" borderId="75" xfId="3" applyFont="1" applyBorder="1" applyAlignment="1">
      <alignment horizontal="center"/>
    </xf>
    <xf numFmtId="0" fontId="9" fillId="0" borderId="47" xfId="3" applyFont="1" applyBorder="1" applyAlignment="1">
      <alignment horizontal="center"/>
    </xf>
    <xf numFmtId="14" fontId="9" fillId="0" borderId="76" xfId="3" applyNumberFormat="1" applyFont="1" applyBorder="1" applyAlignment="1">
      <alignment horizontal="center"/>
    </xf>
    <xf numFmtId="41" fontId="9" fillId="0" borderId="9" xfId="3" applyNumberFormat="1" applyFont="1" applyBorder="1"/>
    <xf numFmtId="3" fontId="9" fillId="0" borderId="47" xfId="3" applyNumberFormat="1" applyFont="1" applyBorder="1" applyAlignment="1">
      <alignment horizontal="right"/>
    </xf>
    <xf numFmtId="0" fontId="9" fillId="0" borderId="35" xfId="3" applyFont="1" applyBorder="1" applyAlignment="1">
      <alignment horizontal="center"/>
    </xf>
    <xf numFmtId="0" fontId="9" fillId="0" borderId="9" xfId="3" applyFont="1" applyBorder="1" applyAlignment="1">
      <alignment horizontal="center"/>
    </xf>
    <xf numFmtId="3" fontId="9" fillId="0" borderId="10" xfId="3" applyNumberFormat="1" applyFont="1" applyBorder="1" applyAlignment="1">
      <alignment horizontal="right"/>
    </xf>
    <xf numFmtId="0" fontId="9" fillId="10" borderId="34" xfId="3" applyFont="1" applyFill="1" applyBorder="1" applyAlignment="1">
      <alignment horizontal="center"/>
    </xf>
    <xf numFmtId="0" fontId="25" fillId="0" borderId="34" xfId="3" applyFont="1" applyBorder="1" applyAlignment="1">
      <alignment horizontal="center"/>
    </xf>
    <xf numFmtId="0" fontId="9" fillId="3" borderId="34" xfId="3" applyFont="1" applyFill="1" applyBorder="1" applyAlignment="1">
      <alignment horizontal="center"/>
    </xf>
    <xf numFmtId="3" fontId="12" fillId="3" borderId="35" xfId="3" applyNumberFormat="1" applyFont="1" applyFill="1" applyBorder="1" applyAlignment="1">
      <alignment horizontal="center"/>
    </xf>
    <xf numFmtId="3" fontId="9" fillId="6" borderId="0" xfId="3" applyNumberFormat="1" applyFont="1" applyFill="1"/>
    <xf numFmtId="0" fontId="9" fillId="6" borderId="0" xfId="3" applyFont="1" applyFill="1"/>
    <xf numFmtId="3" fontId="14" fillId="0" borderId="38" xfId="3" applyNumberFormat="1" applyFont="1" applyBorder="1" applyAlignment="1">
      <alignment horizontal="center"/>
    </xf>
    <xf numFmtId="3" fontId="14" fillId="0" borderId="13" xfId="3" applyNumberFormat="1" applyFont="1" applyBorder="1" applyAlignment="1">
      <alignment horizontal="center"/>
    </xf>
    <xf numFmtId="0" fontId="6" fillId="0" borderId="34" xfId="3" applyFont="1" applyBorder="1" applyAlignment="1">
      <alignment horizontal="center" vertical="center"/>
    </xf>
    <xf numFmtId="0" fontId="9" fillId="0" borderId="35" xfId="3" applyFont="1" applyBorder="1" applyAlignment="1">
      <alignment horizontal="left"/>
    </xf>
    <xf numFmtId="0" fontId="9" fillId="0" borderId="20" xfId="3" applyFont="1" applyBorder="1"/>
    <xf numFmtId="0" fontId="9" fillId="0" borderId="77" xfId="3" applyFont="1" applyBorder="1" applyAlignment="1">
      <alignment horizontal="center"/>
    </xf>
    <xf numFmtId="0" fontId="9" fillId="0" borderId="78" xfId="3" applyFont="1" applyBorder="1" applyAlignment="1">
      <alignment horizontal="center"/>
    </xf>
    <xf numFmtId="0" fontId="9" fillId="0" borderId="61" xfId="3" applyFont="1" applyBorder="1" applyAlignment="1">
      <alignment horizontal="left"/>
    </xf>
    <xf numFmtId="14" fontId="9" fillId="0" borderId="8" xfId="3" applyNumberFormat="1" applyFont="1" applyBorder="1" applyAlignment="1">
      <alignment horizontal="center"/>
    </xf>
    <xf numFmtId="0" fontId="9" fillId="0" borderId="79" xfId="3" applyFont="1" applyBorder="1" applyAlignment="1">
      <alignment horizontal="center"/>
    </xf>
    <xf numFmtId="0" fontId="9" fillId="7" borderId="79" xfId="3" applyFont="1" applyFill="1" applyBorder="1" applyAlignment="1">
      <alignment horizontal="center"/>
    </xf>
    <xf numFmtId="0" fontId="9" fillId="7" borderId="34" xfId="3" applyFont="1" applyFill="1" applyBorder="1" applyAlignment="1">
      <alignment horizontal="left"/>
    </xf>
    <xf numFmtId="3" fontId="9" fillId="7" borderId="13" xfId="3" applyNumberFormat="1" applyFont="1" applyFill="1" applyBorder="1"/>
    <xf numFmtId="3" fontId="9" fillId="7" borderId="35" xfId="3" applyNumberFormat="1" applyFont="1" applyFill="1" applyBorder="1" applyAlignment="1">
      <alignment horizontal="right"/>
    </xf>
    <xf numFmtId="0" fontId="9" fillId="7" borderId="36" xfId="3" applyFont="1" applyFill="1" applyBorder="1"/>
    <xf numFmtId="0" fontId="9" fillId="4" borderId="79" xfId="3" applyFont="1" applyFill="1" applyBorder="1" applyAlignment="1">
      <alignment horizontal="center"/>
    </xf>
    <xf numFmtId="0" fontId="9" fillId="4" borderId="34" xfId="3" applyFont="1" applyFill="1" applyBorder="1" applyAlignment="1">
      <alignment horizontal="left"/>
    </xf>
    <xf numFmtId="14" fontId="9" fillId="4" borderId="12" xfId="3" applyNumberFormat="1" applyFont="1" applyFill="1" applyBorder="1" applyAlignment="1">
      <alignment horizontal="center"/>
    </xf>
    <xf numFmtId="3" fontId="9" fillId="4" borderId="13" xfId="3" applyNumberFormat="1" applyFont="1" applyFill="1" applyBorder="1"/>
    <xf numFmtId="0" fontId="26" fillId="4" borderId="36" xfId="3" applyFont="1" applyFill="1" applyBorder="1"/>
    <xf numFmtId="3" fontId="26" fillId="0" borderId="0" xfId="3" applyNumberFormat="1" applyFont="1"/>
    <xf numFmtId="0" fontId="26" fillId="0" borderId="0" xfId="3" applyFont="1"/>
    <xf numFmtId="3" fontId="9" fillId="4" borderId="35" xfId="3" applyNumberFormat="1" applyFont="1" applyFill="1" applyBorder="1"/>
    <xf numFmtId="0" fontId="9" fillId="4" borderId="36" xfId="3" applyFont="1" applyFill="1" applyBorder="1"/>
    <xf numFmtId="0" fontId="9" fillId="0" borderId="13" xfId="3" applyFont="1" applyBorder="1"/>
    <xf numFmtId="0" fontId="9" fillId="0" borderId="35" xfId="3" applyFont="1" applyBorder="1"/>
    <xf numFmtId="3" fontId="9" fillId="0" borderId="35" xfId="3" applyNumberFormat="1" applyFont="1" applyBorder="1"/>
    <xf numFmtId="0" fontId="9" fillId="4" borderId="35" xfId="3" applyFont="1" applyFill="1" applyBorder="1" applyAlignment="1">
      <alignment horizontal="center"/>
    </xf>
    <xf numFmtId="0" fontId="9" fillId="0" borderId="36" xfId="3" applyFont="1" applyBorder="1" applyAlignment="1">
      <alignment horizontal="center"/>
    </xf>
    <xf numFmtId="0" fontId="25" fillId="0" borderId="13" xfId="3" applyFont="1" applyBorder="1" applyAlignment="1">
      <alignment horizontal="center"/>
    </xf>
    <xf numFmtId="0" fontId="12" fillId="0" borderId="13" xfId="3" applyFont="1" applyBorder="1" applyAlignment="1">
      <alignment horizontal="center"/>
    </xf>
    <xf numFmtId="0" fontId="9" fillId="15" borderId="79" xfId="3" applyFont="1" applyFill="1" applyBorder="1" applyAlignment="1">
      <alignment horizontal="center"/>
    </xf>
    <xf numFmtId="0" fontId="9" fillId="15" borderId="34" xfId="3" applyFont="1" applyFill="1" applyBorder="1" applyAlignment="1">
      <alignment horizontal="left"/>
    </xf>
    <xf numFmtId="14" fontId="9" fillId="15" borderId="12" xfId="3" applyNumberFormat="1" applyFont="1" applyFill="1" applyBorder="1" applyAlignment="1">
      <alignment horizontal="center"/>
    </xf>
    <xf numFmtId="3" fontId="9" fillId="15" borderId="13" xfId="3" applyNumberFormat="1" applyFont="1" applyFill="1" applyBorder="1"/>
    <xf numFmtId="3" fontId="9" fillId="15" borderId="13" xfId="3" applyNumberFormat="1" applyFont="1" applyFill="1" applyBorder="1" applyAlignment="1">
      <alignment horizontal="right"/>
    </xf>
    <xf numFmtId="0" fontId="9" fillId="15" borderId="13" xfId="3" applyFont="1" applyFill="1" applyBorder="1" applyAlignment="1">
      <alignment horizontal="center"/>
    </xf>
    <xf numFmtId="41" fontId="9" fillId="15" borderId="13" xfId="3" applyNumberFormat="1" applyFont="1" applyFill="1" applyBorder="1" applyAlignment="1">
      <alignment horizontal="right"/>
    </xf>
    <xf numFmtId="0" fontId="12" fillId="15" borderId="13" xfId="3" applyFont="1" applyFill="1" applyBorder="1" applyAlignment="1">
      <alignment horizontal="center"/>
    </xf>
    <xf numFmtId="0" fontId="9" fillId="15" borderId="35" xfId="3" applyFont="1" applyFill="1" applyBorder="1" applyAlignment="1">
      <alignment horizontal="center"/>
    </xf>
    <xf numFmtId="0" fontId="9" fillId="15" borderId="36" xfId="3" applyFont="1" applyFill="1" applyBorder="1" applyAlignment="1">
      <alignment horizontal="center"/>
    </xf>
    <xf numFmtId="3" fontId="9" fillId="4" borderId="36" xfId="3" applyNumberFormat="1" applyFont="1" applyFill="1" applyBorder="1" applyAlignment="1">
      <alignment horizontal="center"/>
    </xf>
    <xf numFmtId="3" fontId="12" fillId="4" borderId="36" xfId="3" applyNumberFormat="1" applyFont="1" applyFill="1" applyBorder="1" applyAlignment="1">
      <alignment horizontal="left"/>
    </xf>
    <xf numFmtId="0" fontId="9" fillId="5" borderId="12" xfId="3" applyFont="1" applyFill="1" applyBorder="1" applyAlignment="1">
      <alignment horizontal="center"/>
    </xf>
    <xf numFmtId="3" fontId="9" fillId="5" borderId="36" xfId="3" applyNumberFormat="1" applyFont="1" applyFill="1" applyBorder="1" applyAlignment="1">
      <alignment horizontal="center"/>
    </xf>
    <xf numFmtId="3" fontId="14" fillId="4" borderId="36" xfId="3" applyNumberFormat="1" applyFont="1" applyFill="1" applyBorder="1" applyAlignment="1">
      <alignment horizontal="center"/>
    </xf>
    <xf numFmtId="3" fontId="12" fillId="0" borderId="36" xfId="3" applyNumberFormat="1" applyFont="1" applyBorder="1" applyAlignment="1">
      <alignment horizontal="left"/>
    </xf>
    <xf numFmtId="0" fontId="9" fillId="7" borderId="33" xfId="3" applyFont="1" applyFill="1" applyBorder="1" applyAlignment="1">
      <alignment horizontal="center"/>
    </xf>
    <xf numFmtId="0" fontId="9" fillId="7" borderId="35" xfId="3" applyFont="1" applyFill="1" applyBorder="1" applyAlignment="1">
      <alignment horizontal="center"/>
    </xf>
    <xf numFmtId="0" fontId="9" fillId="7" borderId="36" xfId="3" applyFont="1" applyFill="1" applyBorder="1" applyAlignment="1">
      <alignment horizontal="center"/>
    </xf>
    <xf numFmtId="0" fontId="9" fillId="3" borderId="35" xfId="3" applyFont="1" applyFill="1" applyBorder="1" applyAlignment="1">
      <alignment horizontal="center"/>
    </xf>
    <xf numFmtId="0" fontId="9" fillId="3" borderId="36" xfId="3" applyFont="1" applyFill="1" applyBorder="1" applyAlignment="1">
      <alignment horizontal="center"/>
    </xf>
    <xf numFmtId="0" fontId="9" fillId="0" borderId="37" xfId="3" applyFont="1" applyBorder="1" applyAlignment="1">
      <alignment horizontal="left"/>
    </xf>
    <xf numFmtId="0" fontId="9" fillId="0" borderId="38" xfId="3" applyFont="1" applyBorder="1" applyAlignment="1">
      <alignment horizontal="center"/>
    </xf>
    <xf numFmtId="0" fontId="9" fillId="0" borderId="39" xfId="3" applyFont="1" applyBorder="1" applyAlignment="1">
      <alignment horizontal="center"/>
    </xf>
    <xf numFmtId="0" fontId="9" fillId="0" borderId="48" xfId="3" applyFont="1" applyBorder="1" applyAlignment="1">
      <alignment horizontal="left"/>
    </xf>
    <xf numFmtId="0" fontId="9" fillId="0" borderId="40" xfId="3" applyFont="1" applyBorder="1" applyAlignment="1">
      <alignment horizontal="center"/>
    </xf>
    <xf numFmtId="0" fontId="9" fillId="0" borderId="18" xfId="3" applyFont="1" applyBorder="1" applyAlignment="1">
      <alignment horizontal="center"/>
    </xf>
    <xf numFmtId="0" fontId="13" fillId="0" borderId="36" xfId="3" applyFont="1" applyBorder="1" applyAlignment="1">
      <alignment horizontal="left"/>
    </xf>
    <xf numFmtId="0" fontId="9" fillId="0" borderId="10" xfId="3" applyFont="1" applyBorder="1" applyAlignment="1">
      <alignment horizontal="left"/>
    </xf>
    <xf numFmtId="0" fontId="9" fillId="0" borderId="13" xfId="3" applyFont="1" applyBorder="1" applyAlignment="1">
      <alignment horizontal="left"/>
    </xf>
    <xf numFmtId="0" fontId="9" fillId="0" borderId="39" xfId="3" applyFont="1" applyBorder="1" applyAlignment="1">
      <alignment horizontal="left"/>
    </xf>
    <xf numFmtId="0" fontId="9" fillId="0" borderId="53" xfId="3" applyFont="1" applyBorder="1" applyAlignment="1">
      <alignment horizontal="center"/>
    </xf>
    <xf numFmtId="0" fontId="9" fillId="0" borderId="45" xfId="3" applyFont="1" applyBorder="1" applyAlignment="1">
      <alignment horizontal="center"/>
    </xf>
    <xf numFmtId="0" fontId="6" fillId="0" borderId="0" xfId="3" applyFont="1" applyAlignment="1">
      <alignment horizontal="left"/>
    </xf>
    <xf numFmtId="41" fontId="9" fillId="0" borderId="5" xfId="3" applyNumberFormat="1" applyFont="1" applyBorder="1"/>
    <xf numFmtId="0" fontId="9" fillId="10" borderId="80" xfId="3" applyFont="1" applyFill="1" applyBorder="1" applyAlignment="1">
      <alignment horizontal="center"/>
    </xf>
    <xf numFmtId="0" fontId="9" fillId="10" borderId="27" xfId="3" applyFont="1" applyFill="1" applyBorder="1" applyAlignment="1">
      <alignment horizontal="center"/>
    </xf>
    <xf numFmtId="3" fontId="9" fillId="10" borderId="29" xfId="3" applyNumberFormat="1" applyFont="1" applyFill="1" applyBorder="1"/>
    <xf numFmtId="41" fontId="9" fillId="10" borderId="29" xfId="3" applyNumberFormat="1" applyFont="1" applyFill="1" applyBorder="1"/>
    <xf numFmtId="0" fontId="9" fillId="10" borderId="54" xfId="3" applyFont="1" applyFill="1" applyBorder="1"/>
    <xf numFmtId="0" fontId="9" fillId="0" borderId="61" xfId="3" applyFont="1" applyBorder="1" applyAlignment="1">
      <alignment horizontal="center"/>
    </xf>
    <xf numFmtId="0" fontId="9" fillId="10" borderId="79" xfId="3" applyFont="1" applyFill="1" applyBorder="1" applyAlignment="1">
      <alignment horizontal="center"/>
    </xf>
    <xf numFmtId="3" fontId="9" fillId="10" borderId="36" xfId="3" applyNumberFormat="1" applyFont="1" applyFill="1" applyBorder="1"/>
    <xf numFmtId="3" fontId="9" fillId="3" borderId="36" xfId="3" applyNumberFormat="1" applyFont="1" applyFill="1" applyBorder="1"/>
    <xf numFmtId="179" fontId="9" fillId="0" borderId="12" xfId="3" applyNumberFormat="1" applyFont="1" applyBorder="1" applyAlignment="1">
      <alignment horizontal="center" vertical="center"/>
    </xf>
    <xf numFmtId="3" fontId="6" fillId="0" borderId="35" xfId="3" applyNumberFormat="1" applyFont="1" applyBorder="1" applyAlignment="1">
      <alignment horizontal="center" vertical="center"/>
    </xf>
    <xf numFmtId="14" fontId="9" fillId="0" borderId="12" xfId="3" applyNumberFormat="1" applyFont="1" applyBorder="1" applyAlignment="1">
      <alignment horizontal="center" vertical="center"/>
    </xf>
    <xf numFmtId="0" fontId="9" fillId="10" borderId="34" xfId="3" applyFont="1" applyFill="1" applyBorder="1" applyAlignment="1">
      <alignment horizontal="center" vertical="center"/>
    </xf>
    <xf numFmtId="14" fontId="9" fillId="10" borderId="12" xfId="3" applyNumberFormat="1" applyFont="1" applyFill="1" applyBorder="1" applyAlignment="1">
      <alignment horizontal="center" vertical="center"/>
    </xf>
    <xf numFmtId="41" fontId="9" fillId="10" borderId="13" xfId="3" applyNumberFormat="1" applyFont="1" applyFill="1" applyBorder="1" applyAlignment="1">
      <alignment vertical="center"/>
    </xf>
    <xf numFmtId="41" fontId="9" fillId="10" borderId="13" xfId="3" applyNumberFormat="1" applyFont="1" applyFill="1" applyBorder="1" applyAlignment="1">
      <alignment horizontal="center" vertical="center"/>
    </xf>
    <xf numFmtId="3" fontId="6" fillId="10" borderId="35" xfId="3" applyNumberFormat="1" applyFont="1" applyFill="1" applyBorder="1" applyAlignment="1">
      <alignment horizontal="center" vertical="center"/>
    </xf>
    <xf numFmtId="41" fontId="27" fillId="0" borderId="13" xfId="3" applyNumberFormat="1" applyFont="1" applyBorder="1" applyAlignment="1">
      <alignment horizontal="center" vertical="center"/>
    </xf>
    <xf numFmtId="14" fontId="9" fillId="0" borderId="15" xfId="3" applyNumberFormat="1" applyFont="1" applyBorder="1" applyAlignment="1">
      <alignment horizontal="center" vertical="center"/>
    </xf>
    <xf numFmtId="41" fontId="9" fillId="0" borderId="16" xfId="3" applyNumberFormat="1" applyFont="1" applyBorder="1" applyAlignment="1">
      <alignment vertical="center"/>
    </xf>
    <xf numFmtId="41" fontId="9" fillId="0" borderId="38" xfId="3" applyNumberFormat="1" applyFont="1" applyBorder="1" applyAlignment="1">
      <alignment horizontal="center" vertical="center"/>
    </xf>
    <xf numFmtId="3" fontId="6" fillId="0" borderId="38" xfId="3" applyNumberFormat="1" applyFont="1" applyBorder="1" applyAlignment="1">
      <alignment horizontal="center" vertical="center"/>
    </xf>
    <xf numFmtId="3" fontId="9" fillId="0" borderId="39" xfId="3" applyNumberFormat="1" applyFont="1" applyBorder="1"/>
    <xf numFmtId="0" fontId="9" fillId="0" borderId="48" xfId="3" applyFont="1" applyBorder="1" applyAlignment="1">
      <alignment horizontal="center" vertical="center"/>
    </xf>
    <xf numFmtId="14" fontId="9" fillId="0" borderId="42" xfId="3" applyNumberFormat="1" applyFont="1" applyBorder="1" applyAlignment="1">
      <alignment horizontal="center" vertical="center"/>
    </xf>
    <xf numFmtId="41" fontId="9" fillId="0" borderId="17" xfId="3" applyNumberFormat="1" applyFont="1" applyBorder="1" applyAlignment="1">
      <alignment vertical="center"/>
    </xf>
    <xf numFmtId="3" fontId="6" fillId="0" borderId="40" xfId="3" applyNumberFormat="1" applyFont="1" applyBorder="1" applyAlignment="1">
      <alignment horizontal="center" vertical="center"/>
    </xf>
    <xf numFmtId="3" fontId="9" fillId="0" borderId="18" xfId="3" applyNumberFormat="1" applyFont="1" applyBorder="1"/>
    <xf numFmtId="0" fontId="9" fillId="0" borderId="17" xfId="3" applyFont="1" applyBorder="1" applyAlignment="1">
      <alignment horizontal="center" vertical="center"/>
    </xf>
    <xf numFmtId="0" fontId="9" fillId="10" borderId="13" xfId="3" applyFont="1" applyFill="1" applyBorder="1" applyAlignment="1">
      <alignment horizontal="center" vertical="center"/>
    </xf>
    <xf numFmtId="0" fontId="9" fillId="0" borderId="16" xfId="3" applyFont="1" applyBorder="1" applyAlignment="1">
      <alignment horizontal="center" vertical="center"/>
    </xf>
    <xf numFmtId="0" fontId="9" fillId="0" borderId="38" xfId="3" applyFont="1" applyBorder="1" applyAlignment="1">
      <alignment horizontal="left"/>
    </xf>
    <xf numFmtId="14" fontId="9" fillId="0" borderId="64" xfId="3" applyNumberFormat="1" applyFont="1" applyBorder="1" applyAlignment="1">
      <alignment horizontal="center" vertical="center"/>
    </xf>
    <xf numFmtId="14" fontId="9" fillId="0" borderId="62" xfId="3" applyNumberFormat="1" applyFont="1" applyBorder="1" applyAlignment="1">
      <alignment horizontal="center" vertical="center"/>
    </xf>
    <xf numFmtId="0" fontId="9" fillId="0" borderId="37" xfId="3" applyFont="1" applyBorder="1" applyAlignment="1">
      <alignment horizontal="left" vertical="center"/>
    </xf>
    <xf numFmtId="179" fontId="9" fillId="0" borderId="51" xfId="3" applyNumberFormat="1" applyFont="1" applyBorder="1" applyAlignment="1">
      <alignment horizontal="center" vertical="center"/>
    </xf>
    <xf numFmtId="41" fontId="9" fillId="0" borderId="52" xfId="3" applyNumberFormat="1" applyFont="1" applyBorder="1" applyAlignment="1">
      <alignment vertical="center"/>
    </xf>
    <xf numFmtId="3" fontId="6" fillId="0" borderId="52" xfId="3" applyNumberFormat="1" applyFont="1" applyBorder="1" applyAlignment="1">
      <alignment horizontal="center" vertical="center"/>
    </xf>
    <xf numFmtId="3" fontId="9" fillId="0" borderId="53" xfId="3" applyNumberFormat="1" applyFont="1" applyBorder="1"/>
    <xf numFmtId="0" fontId="9" fillId="0" borderId="81" xfId="3" applyFont="1" applyBorder="1" applyAlignment="1">
      <alignment horizontal="center"/>
    </xf>
    <xf numFmtId="180" fontId="10" fillId="0" borderId="0" xfId="3" applyNumberFormat="1" applyFont="1"/>
    <xf numFmtId="41" fontId="9" fillId="0" borderId="0" xfId="3" applyNumberFormat="1" applyFont="1" applyAlignment="1">
      <alignment horizontal="left"/>
    </xf>
    <xf numFmtId="180" fontId="9" fillId="0" borderId="0" xfId="3" applyNumberFormat="1" applyFont="1"/>
    <xf numFmtId="0" fontId="9" fillId="0" borderId="69" xfId="3" applyFont="1" applyBorder="1" applyAlignment="1">
      <alignment horizontal="left"/>
    </xf>
    <xf numFmtId="180" fontId="9" fillId="0" borderId="5" xfId="3" applyNumberFormat="1" applyFont="1" applyBorder="1"/>
    <xf numFmtId="0" fontId="9" fillId="0" borderId="56" xfId="3" applyFont="1" applyBorder="1" applyAlignment="1">
      <alignment horizontal="left"/>
    </xf>
    <xf numFmtId="180" fontId="9" fillId="0" borderId="13" xfId="3" applyNumberFormat="1" applyFont="1" applyBorder="1"/>
    <xf numFmtId="0" fontId="9" fillId="0" borderId="57" xfId="3" applyFont="1" applyBorder="1" applyAlignment="1">
      <alignment horizontal="left"/>
    </xf>
    <xf numFmtId="180" fontId="9" fillId="0" borderId="16" xfId="3" applyNumberFormat="1" applyFont="1" applyBorder="1"/>
    <xf numFmtId="0" fontId="9" fillId="0" borderId="71" xfId="3" applyFont="1" applyBorder="1" applyAlignment="1">
      <alignment horizontal="left"/>
    </xf>
    <xf numFmtId="0" fontId="9" fillId="0" borderId="82" xfId="3" applyFont="1" applyBorder="1" applyAlignment="1">
      <alignment horizontal="center"/>
    </xf>
    <xf numFmtId="0" fontId="9" fillId="0" borderId="83" xfId="3" applyFont="1" applyBorder="1" applyAlignment="1">
      <alignment horizontal="center"/>
    </xf>
    <xf numFmtId="177" fontId="10" fillId="0" borderId="0" xfId="3" applyNumberFormat="1" applyFont="1"/>
    <xf numFmtId="177" fontId="9" fillId="0" borderId="0" xfId="3" applyNumberFormat="1" applyFont="1"/>
    <xf numFmtId="41" fontId="9" fillId="9" borderId="0" xfId="3" applyNumberFormat="1" applyFont="1" applyFill="1"/>
    <xf numFmtId="49" fontId="28" fillId="0" borderId="0" xfId="3" applyNumberFormat="1" applyFont="1" applyAlignment="1">
      <alignment horizontal="center" vertical="center"/>
    </xf>
    <xf numFmtId="49" fontId="9" fillId="0" borderId="0" xfId="3" applyNumberFormat="1" applyFont="1" applyAlignment="1">
      <alignment horizontal="center"/>
    </xf>
    <xf numFmtId="41" fontId="30" fillId="0" borderId="0" xfId="3" applyNumberFormat="1" applyFont="1"/>
    <xf numFmtId="41" fontId="31" fillId="0" borderId="0" xfId="3" applyNumberFormat="1" applyFont="1" applyAlignment="1">
      <alignment horizontal="center" vertical="center"/>
    </xf>
    <xf numFmtId="41" fontId="30" fillId="0" borderId="0" xfId="3" applyNumberFormat="1" applyFont="1" applyAlignment="1">
      <alignment horizontal="center"/>
    </xf>
    <xf numFmtId="41" fontId="9" fillId="16" borderId="1" xfId="3" applyNumberFormat="1" applyFont="1" applyFill="1" applyBorder="1"/>
    <xf numFmtId="41" fontId="9" fillId="16" borderId="0" xfId="3" applyNumberFormat="1" applyFont="1" applyFill="1"/>
    <xf numFmtId="0" fontId="9" fillId="20" borderId="46" xfId="3" applyFont="1" applyFill="1" applyBorder="1" applyAlignment="1">
      <alignment horizontal="center"/>
    </xf>
    <xf numFmtId="0" fontId="9" fillId="20" borderId="37" xfId="3" applyFont="1" applyFill="1" applyBorder="1" applyAlignment="1">
      <alignment horizontal="center"/>
    </xf>
    <xf numFmtId="14" fontId="9" fillId="20" borderId="15" xfId="3" applyNumberFormat="1" applyFont="1" applyFill="1" applyBorder="1" applyAlignment="1">
      <alignment horizontal="center"/>
    </xf>
    <xf numFmtId="41" fontId="9" fillId="20" borderId="16" xfId="3" applyNumberFormat="1" applyFont="1" applyFill="1" applyBorder="1"/>
    <xf numFmtId="41" fontId="9" fillId="20" borderId="16" xfId="3" applyNumberFormat="1" applyFont="1" applyFill="1" applyBorder="1" applyAlignment="1">
      <alignment horizontal="right"/>
    </xf>
    <xf numFmtId="41" fontId="9" fillId="20" borderId="16" xfId="3" applyNumberFormat="1" applyFont="1" applyFill="1" applyBorder="1" applyAlignment="1">
      <alignment horizontal="center"/>
    </xf>
    <xf numFmtId="178" fontId="9" fillId="20" borderId="16" xfId="3" applyNumberFormat="1" applyFont="1" applyFill="1" applyBorder="1" applyAlignment="1">
      <alignment horizontal="center"/>
    </xf>
    <xf numFmtId="3" fontId="9" fillId="20" borderId="38" xfId="3" applyNumberFormat="1" applyFont="1" applyFill="1" applyBorder="1" applyAlignment="1">
      <alignment horizontal="center"/>
    </xf>
    <xf numFmtId="0" fontId="9" fillId="20" borderId="39" xfId="3" applyFont="1" applyFill="1" applyBorder="1"/>
    <xf numFmtId="0" fontId="9" fillId="21" borderId="33" xfId="3" applyFont="1" applyFill="1" applyBorder="1" applyAlignment="1">
      <alignment horizontal="center"/>
    </xf>
    <xf numFmtId="0" fontId="9" fillId="21" borderId="34" xfId="3" applyFont="1" applyFill="1" applyBorder="1" applyAlignment="1">
      <alignment horizontal="left"/>
    </xf>
    <xf numFmtId="14" fontId="9" fillId="21" borderId="12" xfId="3" applyNumberFormat="1" applyFont="1" applyFill="1" applyBorder="1" applyAlignment="1">
      <alignment horizontal="center"/>
    </xf>
    <xf numFmtId="3" fontId="9" fillId="21" borderId="13" xfId="3" applyNumberFormat="1" applyFont="1" applyFill="1" applyBorder="1" applyAlignment="1">
      <alignment horizontal="right"/>
    </xf>
    <xf numFmtId="41" fontId="9" fillId="21" borderId="13" xfId="3" applyNumberFormat="1" applyFont="1" applyFill="1" applyBorder="1" applyAlignment="1">
      <alignment horizontal="right"/>
    </xf>
    <xf numFmtId="0" fontId="9" fillId="21" borderId="13" xfId="3" applyFont="1" applyFill="1" applyBorder="1" applyAlignment="1">
      <alignment horizontal="center"/>
    </xf>
    <xf numFmtId="3" fontId="9" fillId="21" borderId="35" xfId="3" applyNumberFormat="1" applyFont="1" applyFill="1" applyBorder="1" applyAlignment="1">
      <alignment horizontal="center"/>
    </xf>
    <xf numFmtId="3" fontId="9" fillId="21" borderId="36" xfId="3" applyNumberFormat="1" applyFont="1" applyFill="1" applyBorder="1" applyAlignment="1">
      <alignment horizontal="right"/>
    </xf>
    <xf numFmtId="0" fontId="9" fillId="21" borderId="46" xfId="3" applyFont="1" applyFill="1" applyBorder="1" applyAlignment="1">
      <alignment horizontal="center"/>
    </xf>
    <xf numFmtId="0" fontId="9" fillId="21" borderId="48" xfId="3" applyFont="1" applyFill="1" applyBorder="1" applyAlignment="1">
      <alignment horizontal="left"/>
    </xf>
    <xf numFmtId="14" fontId="9" fillId="21" borderId="42" xfId="3" applyNumberFormat="1" applyFont="1" applyFill="1" applyBorder="1" applyAlignment="1">
      <alignment horizontal="center"/>
    </xf>
    <xf numFmtId="3" fontId="9" fillId="21" borderId="17" xfId="3" applyNumberFormat="1" applyFont="1" applyFill="1" applyBorder="1"/>
    <xf numFmtId="3" fontId="9" fillId="21" borderId="17" xfId="3" applyNumberFormat="1" applyFont="1" applyFill="1" applyBorder="1" applyAlignment="1">
      <alignment horizontal="right"/>
    </xf>
    <xf numFmtId="0" fontId="9" fillId="21" borderId="17" xfId="3" applyFont="1" applyFill="1" applyBorder="1" applyAlignment="1">
      <alignment horizontal="center"/>
    </xf>
    <xf numFmtId="41" fontId="9" fillId="21" borderId="17" xfId="3" applyNumberFormat="1" applyFont="1" applyFill="1" applyBorder="1" applyAlignment="1">
      <alignment horizontal="right"/>
    </xf>
    <xf numFmtId="0" fontId="9" fillId="21" borderId="16" xfId="3" applyFont="1" applyFill="1" applyBorder="1" applyAlignment="1">
      <alignment horizontal="center"/>
    </xf>
    <xf numFmtId="0" fontId="9" fillId="21" borderId="40" xfId="3" applyFont="1" applyFill="1" applyBorder="1" applyAlignment="1">
      <alignment horizontal="center"/>
    </xf>
    <xf numFmtId="0" fontId="9" fillId="21" borderId="18" xfId="3" applyFont="1" applyFill="1" applyBorder="1" applyAlignment="1">
      <alignment horizontal="center"/>
    </xf>
    <xf numFmtId="3" fontId="9" fillId="21" borderId="13" xfId="3" applyNumberFormat="1" applyFont="1" applyFill="1" applyBorder="1"/>
    <xf numFmtId="0" fontId="9" fillId="21" borderId="35" xfId="3" applyFont="1" applyFill="1" applyBorder="1" applyAlignment="1">
      <alignment horizontal="center"/>
    </xf>
    <xf numFmtId="0" fontId="9" fillId="21" borderId="36" xfId="3" applyFont="1" applyFill="1" applyBorder="1" applyAlignment="1">
      <alignment horizontal="center"/>
    </xf>
    <xf numFmtId="0" fontId="9" fillId="0" borderId="50" xfId="3" applyFont="1" applyBorder="1" applyAlignment="1">
      <alignment horizontal="left"/>
    </xf>
    <xf numFmtId="0" fontId="9" fillId="20" borderId="79" xfId="3" applyFont="1" applyFill="1" applyBorder="1" applyAlignment="1">
      <alignment horizontal="center"/>
    </xf>
    <xf numFmtId="0" fontId="9" fillId="20" borderId="34" xfId="3" applyFont="1" applyFill="1" applyBorder="1" applyAlignment="1">
      <alignment horizontal="left"/>
    </xf>
    <xf numFmtId="14" fontId="9" fillId="20" borderId="12" xfId="3" applyNumberFormat="1" applyFont="1" applyFill="1" applyBorder="1" applyAlignment="1">
      <alignment horizontal="center"/>
    </xf>
    <xf numFmtId="3" fontId="9" fillId="20" borderId="13" xfId="3" applyNumberFormat="1" applyFont="1" applyFill="1" applyBorder="1"/>
    <xf numFmtId="3" fontId="9" fillId="20" borderId="13" xfId="3" applyNumberFormat="1" applyFont="1" applyFill="1" applyBorder="1" applyAlignment="1">
      <alignment horizontal="right"/>
    </xf>
    <xf numFmtId="0" fontId="9" fillId="20" borderId="13" xfId="3" applyFont="1" applyFill="1" applyBorder="1" applyAlignment="1">
      <alignment horizontal="center"/>
    </xf>
    <xf numFmtId="41" fontId="9" fillId="20" borderId="13" xfId="3" applyNumberFormat="1" applyFont="1" applyFill="1" applyBorder="1" applyAlignment="1">
      <alignment horizontal="right"/>
    </xf>
    <xf numFmtId="0" fontId="9" fillId="20" borderId="35" xfId="3" applyFont="1" applyFill="1" applyBorder="1" applyAlignment="1">
      <alignment horizontal="center"/>
    </xf>
    <xf numFmtId="0" fontId="9" fillId="20" borderId="36" xfId="3" applyFont="1" applyFill="1" applyBorder="1" applyAlignment="1">
      <alignment horizontal="center"/>
    </xf>
    <xf numFmtId="3" fontId="9" fillId="20" borderId="35" xfId="3" applyNumberFormat="1" applyFont="1" applyFill="1" applyBorder="1" applyAlignment="1">
      <alignment horizontal="right"/>
    </xf>
    <xf numFmtId="0" fontId="9" fillId="20" borderId="36" xfId="3" applyFont="1" applyFill="1" applyBorder="1"/>
    <xf numFmtId="0" fontId="9" fillId="20" borderId="33" xfId="3" applyFont="1" applyFill="1" applyBorder="1" applyAlignment="1">
      <alignment horizontal="center"/>
    </xf>
    <xf numFmtId="0" fontId="9" fillId="20" borderId="12" xfId="3" applyFont="1" applyFill="1" applyBorder="1" applyAlignment="1">
      <alignment horizontal="center"/>
    </xf>
    <xf numFmtId="3" fontId="9" fillId="20" borderId="35" xfId="3" applyNumberFormat="1" applyFont="1" applyFill="1" applyBorder="1" applyAlignment="1">
      <alignment horizontal="center"/>
    </xf>
    <xf numFmtId="3" fontId="9" fillId="20" borderId="36" xfId="3" applyNumberFormat="1" applyFont="1" applyFill="1" applyBorder="1" applyAlignment="1">
      <alignment horizontal="right"/>
    </xf>
    <xf numFmtId="0" fontId="9" fillId="20" borderId="34" xfId="3" applyFont="1" applyFill="1" applyBorder="1" applyAlignment="1">
      <alignment horizontal="left" vertical="center"/>
    </xf>
    <xf numFmtId="41" fontId="9" fillId="20" borderId="13" xfId="3" applyNumberFormat="1" applyFont="1" applyFill="1" applyBorder="1" applyAlignment="1">
      <alignment vertical="center"/>
    </xf>
    <xf numFmtId="41" fontId="9" fillId="20" borderId="13" xfId="3" applyNumberFormat="1" applyFont="1" applyFill="1" applyBorder="1" applyAlignment="1">
      <alignment horizontal="center" vertical="center"/>
    </xf>
    <xf numFmtId="0" fontId="9" fillId="20" borderId="13" xfId="3" applyFont="1" applyFill="1" applyBorder="1" applyAlignment="1">
      <alignment horizontal="center" vertical="center"/>
    </xf>
    <xf numFmtId="0" fontId="9" fillId="22" borderId="33" xfId="3" applyFont="1" applyFill="1" applyBorder="1" applyAlignment="1">
      <alignment horizontal="center"/>
    </xf>
    <xf numFmtId="0" fontId="9" fillId="22" borderId="34" xfId="3" applyFont="1" applyFill="1" applyBorder="1" applyAlignment="1">
      <alignment horizontal="left"/>
    </xf>
    <xf numFmtId="14" fontId="9" fillId="22" borderId="12" xfId="3" applyNumberFormat="1" applyFont="1" applyFill="1" applyBorder="1" applyAlignment="1">
      <alignment horizontal="center"/>
    </xf>
    <xf numFmtId="3" fontId="9" fillId="22" borderId="13" xfId="3" applyNumberFormat="1" applyFont="1" applyFill="1" applyBorder="1" applyAlignment="1">
      <alignment horizontal="right"/>
    </xf>
    <xf numFmtId="41" fontId="9" fillId="22" borderId="13" xfId="3" applyNumberFormat="1" applyFont="1" applyFill="1" applyBorder="1" applyAlignment="1">
      <alignment horizontal="right"/>
    </xf>
    <xf numFmtId="0" fontId="9" fillId="22" borderId="13" xfId="3" applyFont="1" applyFill="1" applyBorder="1" applyAlignment="1">
      <alignment horizontal="center"/>
    </xf>
    <xf numFmtId="3" fontId="9" fillId="22" borderId="35" xfId="3" applyNumberFormat="1" applyFont="1" applyFill="1" applyBorder="1" applyAlignment="1">
      <alignment horizontal="center"/>
    </xf>
    <xf numFmtId="3" fontId="13" fillId="22" borderId="36" xfId="3" applyNumberFormat="1" applyFont="1" applyFill="1" applyBorder="1" applyAlignment="1">
      <alignment horizontal="right"/>
    </xf>
    <xf numFmtId="0" fontId="12" fillId="22" borderId="34" xfId="3" applyFont="1" applyFill="1" applyBorder="1" applyAlignment="1">
      <alignment horizontal="left"/>
    </xf>
    <xf numFmtId="3" fontId="9" fillId="22" borderId="13" xfId="3" applyNumberFormat="1" applyFont="1" applyFill="1" applyBorder="1"/>
    <xf numFmtId="3" fontId="9" fillId="22" borderId="36" xfId="3" applyNumberFormat="1" applyFont="1" applyFill="1" applyBorder="1" applyAlignment="1">
      <alignment horizontal="right"/>
    </xf>
    <xf numFmtId="0" fontId="9" fillId="22" borderId="12" xfId="3" applyFont="1" applyFill="1" applyBorder="1" applyAlignment="1">
      <alignment horizontal="center"/>
    </xf>
    <xf numFmtId="0" fontId="9" fillId="23" borderId="33" xfId="3" applyFont="1" applyFill="1" applyBorder="1" applyAlignment="1">
      <alignment horizontal="center"/>
    </xf>
    <xf numFmtId="0" fontId="12" fillId="23" borderId="34" xfId="3" applyFont="1" applyFill="1" applyBorder="1" applyAlignment="1">
      <alignment horizontal="left" vertical="center"/>
    </xf>
    <xf numFmtId="14" fontId="9" fillId="23" borderId="12" xfId="3" applyNumberFormat="1" applyFont="1" applyFill="1" applyBorder="1" applyAlignment="1">
      <alignment horizontal="center"/>
    </xf>
    <xf numFmtId="3" fontId="9" fillId="23" borderId="13" xfId="3" applyNumberFormat="1" applyFont="1" applyFill="1" applyBorder="1" applyAlignment="1">
      <alignment horizontal="right"/>
    </xf>
    <xf numFmtId="41" fontId="9" fillId="23" borderId="13" xfId="3" applyNumberFormat="1" applyFont="1" applyFill="1" applyBorder="1" applyAlignment="1">
      <alignment horizontal="right"/>
    </xf>
    <xf numFmtId="0" fontId="9" fillId="23" borderId="13" xfId="3" applyFont="1" applyFill="1" applyBorder="1" applyAlignment="1">
      <alignment horizontal="center"/>
    </xf>
    <xf numFmtId="3" fontId="9" fillId="23" borderId="35" xfId="3" applyNumberFormat="1" applyFont="1" applyFill="1" applyBorder="1" applyAlignment="1">
      <alignment horizontal="center"/>
    </xf>
    <xf numFmtId="0" fontId="12" fillId="23" borderId="37" xfId="3" applyFont="1" applyFill="1" applyBorder="1" applyAlignment="1">
      <alignment horizontal="left" vertical="center"/>
    </xf>
    <xf numFmtId="14" fontId="9" fillId="23" borderId="15" xfId="3" applyNumberFormat="1" applyFont="1" applyFill="1" applyBorder="1" applyAlignment="1">
      <alignment horizontal="center"/>
    </xf>
    <xf numFmtId="3" fontId="9" fillId="23" borderId="16" xfId="3" applyNumberFormat="1" applyFont="1" applyFill="1" applyBorder="1" applyAlignment="1">
      <alignment horizontal="right"/>
    </xf>
    <xf numFmtId="41" fontId="9" fillId="23" borderId="16" xfId="3" applyNumberFormat="1" applyFont="1" applyFill="1" applyBorder="1" applyAlignment="1">
      <alignment horizontal="right"/>
    </xf>
    <xf numFmtId="0" fontId="9" fillId="23" borderId="16" xfId="3" applyFont="1" applyFill="1" applyBorder="1" applyAlignment="1">
      <alignment horizontal="center"/>
    </xf>
    <xf numFmtId="3" fontId="9" fillId="23" borderId="38" xfId="3" applyNumberFormat="1" applyFont="1" applyFill="1" applyBorder="1" applyAlignment="1">
      <alignment horizontal="center"/>
    </xf>
    <xf numFmtId="0" fontId="12" fillId="23" borderId="34" xfId="3" applyFont="1" applyFill="1" applyBorder="1" applyAlignment="1">
      <alignment horizontal="left"/>
    </xf>
    <xf numFmtId="0" fontId="9" fillId="23" borderId="12" xfId="3" applyFont="1" applyFill="1" applyBorder="1" applyAlignment="1">
      <alignment horizontal="center"/>
    </xf>
    <xf numFmtId="3" fontId="9" fillId="23" borderId="13" xfId="3" applyNumberFormat="1" applyFont="1" applyFill="1" applyBorder="1"/>
    <xf numFmtId="41" fontId="9" fillId="23" borderId="13" xfId="3" applyNumberFormat="1" applyFont="1" applyFill="1" applyBorder="1"/>
    <xf numFmtId="0" fontId="9" fillId="23" borderId="36" xfId="3" applyFont="1" applyFill="1" applyBorder="1"/>
    <xf numFmtId="0" fontId="9" fillId="23" borderId="36" xfId="3" applyFont="1" applyFill="1" applyBorder="1" applyAlignment="1">
      <alignment horizontal="left"/>
    </xf>
    <xf numFmtId="0" fontId="9" fillId="23" borderId="34" xfId="3" applyFont="1" applyFill="1" applyBorder="1" applyAlignment="1">
      <alignment horizontal="left" vertical="center"/>
    </xf>
    <xf numFmtId="181" fontId="9" fillId="0" borderId="12" xfId="3" applyNumberFormat="1" applyFont="1" applyBorder="1" applyAlignment="1">
      <alignment horizontal="center"/>
    </xf>
    <xf numFmtId="0" fontId="9" fillId="24" borderId="33" xfId="3" applyFont="1" applyFill="1" applyBorder="1" applyAlignment="1">
      <alignment horizontal="center"/>
    </xf>
    <xf numFmtId="0" fontId="6" fillId="24" borderId="34" xfId="3" applyFont="1" applyFill="1" applyBorder="1" applyAlignment="1">
      <alignment horizontal="left" vertical="center"/>
    </xf>
    <xf numFmtId="14" fontId="9" fillId="24" borderId="12" xfId="3" applyNumberFormat="1" applyFont="1" applyFill="1" applyBorder="1" applyAlignment="1">
      <alignment horizontal="center"/>
    </xf>
    <xf numFmtId="3" fontId="9" fillId="24" borderId="13" xfId="3" applyNumberFormat="1" applyFont="1" applyFill="1" applyBorder="1" applyAlignment="1">
      <alignment horizontal="right"/>
    </xf>
    <xf numFmtId="41" fontId="6" fillId="24" borderId="13" xfId="3" applyNumberFormat="1" applyFont="1" applyFill="1" applyBorder="1" applyAlignment="1">
      <alignment vertical="center"/>
    </xf>
    <xf numFmtId="41" fontId="9" fillId="24" borderId="13" xfId="3" applyNumberFormat="1" applyFont="1" applyFill="1" applyBorder="1" applyAlignment="1">
      <alignment horizontal="right"/>
    </xf>
    <xf numFmtId="0" fontId="9" fillId="24" borderId="13" xfId="3" applyFont="1" applyFill="1" applyBorder="1" applyAlignment="1">
      <alignment horizontal="center"/>
    </xf>
    <xf numFmtId="41" fontId="6" fillId="24" borderId="35" xfId="3" applyNumberFormat="1" applyFont="1" applyFill="1" applyBorder="1" applyAlignment="1">
      <alignment horizontal="center" vertical="center"/>
    </xf>
    <xf numFmtId="0" fontId="6" fillId="24" borderId="35" xfId="3" applyFont="1" applyFill="1" applyBorder="1" applyAlignment="1">
      <alignment horizontal="center" vertical="center"/>
    </xf>
    <xf numFmtId="3" fontId="9" fillId="24" borderId="36" xfId="3" applyNumberFormat="1" applyFont="1" applyFill="1" applyBorder="1" applyAlignment="1">
      <alignment horizontal="left"/>
    </xf>
    <xf numFmtId="0" fontId="9" fillId="25" borderId="33" xfId="3" applyFont="1" applyFill="1" applyBorder="1" applyAlignment="1">
      <alignment horizontal="center"/>
    </xf>
    <xf numFmtId="0" fontId="9" fillId="25" borderId="34" xfId="3" applyFont="1" applyFill="1" applyBorder="1" applyAlignment="1">
      <alignment horizontal="left" vertical="center"/>
    </xf>
    <xf numFmtId="14" fontId="9" fillId="25" borderId="12" xfId="3" applyNumberFormat="1" applyFont="1" applyFill="1" applyBorder="1" applyAlignment="1">
      <alignment horizontal="center"/>
    </xf>
    <xf numFmtId="3" fontId="9" fillId="25" borderId="13" xfId="3" applyNumberFormat="1" applyFont="1" applyFill="1" applyBorder="1"/>
    <xf numFmtId="41" fontId="9" fillId="25" borderId="13" xfId="3" applyNumberFormat="1" applyFont="1" applyFill="1" applyBorder="1" applyAlignment="1">
      <alignment vertical="center"/>
    </xf>
    <xf numFmtId="3" fontId="9" fillId="25" borderId="13" xfId="3" applyNumberFormat="1" applyFont="1" applyFill="1" applyBorder="1" applyAlignment="1">
      <alignment horizontal="right"/>
    </xf>
    <xf numFmtId="0" fontId="9" fillId="25" borderId="13" xfId="3" applyFont="1" applyFill="1" applyBorder="1" applyAlignment="1">
      <alignment horizontal="center"/>
    </xf>
    <xf numFmtId="41" fontId="9" fillId="25" borderId="13" xfId="3" applyNumberFormat="1" applyFont="1" applyFill="1" applyBorder="1" applyAlignment="1">
      <alignment horizontal="right"/>
    </xf>
    <xf numFmtId="41" fontId="9" fillId="25" borderId="13" xfId="3" applyNumberFormat="1" applyFont="1" applyFill="1" applyBorder="1" applyAlignment="1">
      <alignment horizontal="center" vertical="center"/>
    </xf>
    <xf numFmtId="0" fontId="9" fillId="25" borderId="36" xfId="3" applyFont="1" applyFill="1" applyBorder="1" applyAlignment="1">
      <alignment horizontal="center"/>
    </xf>
    <xf numFmtId="0" fontId="9" fillId="25" borderId="13" xfId="3" applyFont="1" applyFill="1" applyBorder="1" applyAlignment="1">
      <alignment horizontal="center" vertical="center"/>
    </xf>
    <xf numFmtId="0" fontId="9" fillId="25" borderId="0" xfId="3" applyFont="1" applyFill="1"/>
    <xf numFmtId="0" fontId="9" fillId="26" borderId="46" xfId="3" applyFont="1" applyFill="1" applyBorder="1" applyAlignment="1">
      <alignment horizontal="center"/>
    </xf>
    <xf numFmtId="0" fontId="9" fillId="26" borderId="37" xfId="3" applyFont="1" applyFill="1" applyBorder="1" applyAlignment="1">
      <alignment horizontal="center"/>
    </xf>
    <xf numFmtId="0" fontId="9" fillId="26" borderId="15" xfId="3" applyFont="1" applyFill="1" applyBorder="1" applyAlignment="1">
      <alignment horizontal="center"/>
    </xf>
    <xf numFmtId="3" fontId="9" fillId="26" borderId="16" xfId="3" applyNumberFormat="1" applyFont="1" applyFill="1" applyBorder="1" applyAlignment="1">
      <alignment horizontal="right"/>
    </xf>
    <xf numFmtId="0" fontId="9" fillId="26" borderId="16" xfId="3" applyFont="1" applyFill="1" applyBorder="1" applyAlignment="1">
      <alignment horizontal="center"/>
    </xf>
    <xf numFmtId="41" fontId="9" fillId="26" borderId="9" xfId="3" applyNumberFormat="1" applyFont="1" applyFill="1" applyBorder="1" applyAlignment="1">
      <alignment horizontal="right"/>
    </xf>
    <xf numFmtId="3" fontId="9" fillId="26" borderId="38" xfId="3" applyNumberFormat="1" applyFont="1" applyFill="1" applyBorder="1" applyAlignment="1">
      <alignment horizontal="right"/>
    </xf>
    <xf numFmtId="3" fontId="9" fillId="26" borderId="39" xfId="3" applyNumberFormat="1" applyFont="1" applyFill="1" applyBorder="1" applyAlignment="1">
      <alignment horizontal="right"/>
    </xf>
    <xf numFmtId="0" fontId="9" fillId="0" borderId="82" xfId="3" applyFont="1" applyBorder="1" applyAlignment="1">
      <alignment horizontal="left"/>
    </xf>
    <xf numFmtId="0" fontId="9" fillId="4" borderId="61" xfId="3" applyFont="1" applyFill="1" applyBorder="1" applyAlignment="1">
      <alignment horizontal="left"/>
    </xf>
    <xf numFmtId="41" fontId="9" fillId="0" borderId="0" xfId="1" applyFont="1" applyFill="1" applyAlignment="1"/>
    <xf numFmtId="41" fontId="10" fillId="0" borderId="0" xfId="1" applyFont="1" applyFill="1" applyAlignment="1"/>
    <xf numFmtId="41" fontId="1" fillId="0" borderId="38" xfId="3" applyNumberFormat="1" applyFont="1" applyBorder="1" applyAlignment="1">
      <alignment horizontal="center" vertical="center"/>
    </xf>
    <xf numFmtId="0" fontId="6" fillId="27" borderId="34" xfId="3" applyFont="1" applyFill="1" applyBorder="1" applyAlignment="1">
      <alignment horizontal="left" vertical="center"/>
    </xf>
    <xf numFmtId="14" fontId="9" fillId="27" borderId="12" xfId="3" applyNumberFormat="1" applyFont="1" applyFill="1" applyBorder="1" applyAlignment="1">
      <alignment horizontal="center"/>
    </xf>
    <xf numFmtId="3" fontId="9" fillId="27" borderId="13" xfId="3" applyNumberFormat="1" applyFont="1" applyFill="1" applyBorder="1" applyAlignment="1">
      <alignment horizontal="right"/>
    </xf>
    <xf numFmtId="41" fontId="9" fillId="27" borderId="13" xfId="3" applyNumberFormat="1" applyFont="1" applyFill="1" applyBorder="1" applyAlignment="1">
      <alignment vertical="center"/>
    </xf>
    <xf numFmtId="41" fontId="9" fillId="27" borderId="13" xfId="3" applyNumberFormat="1" applyFont="1" applyFill="1" applyBorder="1" applyAlignment="1">
      <alignment horizontal="right"/>
    </xf>
    <xf numFmtId="0" fontId="9" fillId="27" borderId="13" xfId="3" applyFont="1" applyFill="1" applyBorder="1" applyAlignment="1">
      <alignment horizontal="center"/>
    </xf>
    <xf numFmtId="41" fontId="6" fillId="27" borderId="35" xfId="3" applyNumberFormat="1" applyFont="1" applyFill="1" applyBorder="1" applyAlignment="1">
      <alignment horizontal="center" vertical="center"/>
    </xf>
    <xf numFmtId="0" fontId="6" fillId="27" borderId="59" xfId="3" applyFont="1" applyFill="1" applyBorder="1" applyAlignment="1">
      <alignment horizontal="center" vertical="center"/>
    </xf>
    <xf numFmtId="3" fontId="9" fillId="27" borderId="36" xfId="3" applyNumberFormat="1" applyFont="1" applyFill="1" applyBorder="1" applyAlignment="1">
      <alignment horizontal="left"/>
    </xf>
    <xf numFmtId="0" fontId="6" fillId="27" borderId="35" xfId="3" applyFont="1" applyFill="1" applyBorder="1" applyAlignment="1">
      <alignment horizontal="center" vertical="center"/>
    </xf>
    <xf numFmtId="0" fontId="9" fillId="28" borderId="12" xfId="3" applyFont="1" applyFill="1" applyBorder="1" applyAlignment="1">
      <alignment horizontal="center"/>
    </xf>
    <xf numFmtId="3" fontId="9" fillId="28" borderId="13" xfId="3" applyNumberFormat="1" applyFont="1" applyFill="1" applyBorder="1"/>
    <xf numFmtId="3" fontId="9" fillId="28" borderId="13" xfId="3" applyNumberFormat="1" applyFont="1" applyFill="1" applyBorder="1" applyAlignment="1">
      <alignment horizontal="right"/>
    </xf>
    <xf numFmtId="0" fontId="9" fillId="28" borderId="13" xfId="3" applyFont="1" applyFill="1" applyBorder="1" applyAlignment="1">
      <alignment horizontal="center"/>
    </xf>
    <xf numFmtId="41" fontId="9" fillId="28" borderId="13" xfId="3" applyNumberFormat="1" applyFont="1" applyFill="1" applyBorder="1" applyAlignment="1">
      <alignment horizontal="right"/>
    </xf>
    <xf numFmtId="41" fontId="9" fillId="28" borderId="13" xfId="3" applyNumberFormat="1" applyFont="1" applyFill="1" applyBorder="1"/>
    <xf numFmtId="3" fontId="9" fillId="28" borderId="35" xfId="3" applyNumberFormat="1" applyFont="1" applyFill="1" applyBorder="1" applyAlignment="1">
      <alignment horizontal="center"/>
    </xf>
    <xf numFmtId="14" fontId="9" fillId="28" borderId="12" xfId="3" applyNumberFormat="1" applyFont="1" applyFill="1" applyBorder="1" applyAlignment="1">
      <alignment horizontal="center" vertical="center"/>
    </xf>
    <xf numFmtId="41" fontId="9" fillId="28" borderId="13" xfId="3" applyNumberFormat="1" applyFont="1" applyFill="1" applyBorder="1" applyAlignment="1">
      <alignment vertical="center"/>
    </xf>
    <xf numFmtId="41" fontId="9" fillId="28" borderId="35" xfId="3" applyNumberFormat="1" applyFont="1" applyFill="1" applyBorder="1" applyAlignment="1">
      <alignment horizontal="center" vertical="center"/>
    </xf>
    <xf numFmtId="0" fontId="9" fillId="28" borderId="13" xfId="3" applyFont="1" applyFill="1" applyBorder="1" applyAlignment="1">
      <alignment horizontal="center" vertical="center"/>
    </xf>
    <xf numFmtId="0" fontId="9" fillId="28" borderId="33" xfId="3" applyFont="1" applyFill="1" applyBorder="1" applyAlignment="1">
      <alignment horizontal="center"/>
    </xf>
    <xf numFmtId="0" fontId="9" fillId="28" borderId="34" xfId="3" applyFont="1" applyFill="1" applyBorder="1" applyAlignment="1">
      <alignment horizontal="center"/>
    </xf>
    <xf numFmtId="3" fontId="9" fillId="28" borderId="36" xfId="3" applyNumberFormat="1" applyFont="1" applyFill="1" applyBorder="1"/>
    <xf numFmtId="0" fontId="9" fillId="28" borderId="34" xfId="3" applyFont="1" applyFill="1" applyBorder="1" applyAlignment="1">
      <alignment horizontal="center" vertical="center"/>
    </xf>
    <xf numFmtId="0" fontId="6" fillId="25" borderId="37" xfId="3" applyFont="1" applyFill="1" applyBorder="1" applyAlignment="1">
      <alignment horizontal="left" vertical="center"/>
    </xf>
    <xf numFmtId="14" fontId="9" fillId="25" borderId="15" xfId="3" applyNumberFormat="1" applyFont="1" applyFill="1" applyBorder="1" applyAlignment="1">
      <alignment horizontal="center"/>
    </xf>
    <xf numFmtId="3" fontId="9" fillId="25" borderId="16" xfId="3" applyNumberFormat="1" applyFont="1" applyFill="1" applyBorder="1" applyAlignment="1">
      <alignment horizontal="right"/>
    </xf>
    <xf numFmtId="41" fontId="6" fillId="25" borderId="16" xfId="3" applyNumberFormat="1" applyFont="1" applyFill="1" applyBorder="1" applyAlignment="1">
      <alignment vertical="center"/>
    </xf>
    <xf numFmtId="41" fontId="9" fillId="25" borderId="16" xfId="3" applyNumberFormat="1" applyFont="1" applyFill="1" applyBorder="1" applyAlignment="1">
      <alignment horizontal="right"/>
    </xf>
    <xf numFmtId="0" fontId="9" fillId="25" borderId="16" xfId="3" applyFont="1" applyFill="1" applyBorder="1" applyAlignment="1">
      <alignment horizontal="center"/>
    </xf>
    <xf numFmtId="41" fontId="6" fillId="25" borderId="13" xfId="3" applyNumberFormat="1" applyFont="1" applyFill="1" applyBorder="1" applyAlignment="1">
      <alignment horizontal="center" vertical="center"/>
    </xf>
    <xf numFmtId="0" fontId="6" fillId="25" borderId="13" xfId="3" applyFont="1" applyFill="1" applyBorder="1" applyAlignment="1">
      <alignment horizontal="center" vertical="center"/>
    </xf>
    <xf numFmtId="3" fontId="9" fillId="25" borderId="36" xfId="3" applyNumberFormat="1" applyFont="1" applyFill="1" applyBorder="1" applyAlignment="1">
      <alignment horizontal="right"/>
    </xf>
    <xf numFmtId="0" fontId="1" fillId="0" borderId="0" xfId="3" applyFont="1"/>
    <xf numFmtId="41" fontId="3" fillId="4" borderId="0" xfId="3" applyNumberFormat="1" applyFont="1" applyFill="1" applyAlignment="1">
      <alignment horizontal="center"/>
    </xf>
    <xf numFmtId="0" fontId="8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41" fontId="9" fillId="0" borderId="0" xfId="3" applyNumberFormat="1" applyFont="1" applyAlignment="1">
      <alignment horizontal="center"/>
    </xf>
    <xf numFmtId="41" fontId="29" fillId="17" borderId="0" xfId="3" applyNumberFormat="1" applyFont="1" applyFill="1" applyAlignment="1">
      <alignment horizontal="center"/>
    </xf>
    <xf numFmtId="41" fontId="29" fillId="18" borderId="0" xfId="3" applyNumberFormat="1" applyFont="1" applyFill="1" applyAlignment="1">
      <alignment horizontal="center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showGridLines="0" workbookViewId="0">
      <selection activeCell="H18" sqref="H18"/>
    </sheetView>
  </sheetViews>
  <sheetFormatPr defaultRowHeight="13.5" x14ac:dyDescent="0.15"/>
  <cols>
    <col min="1" max="1" width="12" style="1" customWidth="1"/>
    <col min="2" max="2" width="19.7109375" style="1" customWidth="1"/>
    <col min="3" max="3" width="14.5703125" style="1" customWidth="1"/>
    <col min="4" max="4" width="9.140625" style="1"/>
    <col min="5" max="5" width="14.140625" style="1" customWidth="1"/>
    <col min="6" max="6" width="18.85546875" style="1" bestFit="1" customWidth="1"/>
    <col min="7" max="8" width="17.7109375" style="1" customWidth="1"/>
    <col min="9" max="16384" width="9.140625" style="1"/>
  </cols>
  <sheetData>
    <row r="1" spans="1:6" ht="17.25" x14ac:dyDescent="0.3">
      <c r="A1" s="845" t="s">
        <v>3102</v>
      </c>
      <c r="B1" s="845"/>
      <c r="C1" s="845"/>
      <c r="D1" s="845"/>
      <c r="E1" s="845"/>
      <c r="F1" s="845"/>
    </row>
    <row r="2" spans="1:6" ht="15" x14ac:dyDescent="0.25">
      <c r="A2" s="2" t="s">
        <v>0</v>
      </c>
      <c r="B2" s="2" t="s">
        <v>1</v>
      </c>
      <c r="C2" s="2">
        <f>'건물(DM)'!L8+'건물(DM)'!L9+'건물(DM)'!L10+'건물(DM)'!L12+'차량운반(D&amp;M)'!L18+'비품(D&amp;M)'!L539+'차량운반(반도체)'!L8-C38-C20</f>
        <v>3728256</v>
      </c>
      <c r="D2" s="2" t="s">
        <v>2</v>
      </c>
      <c r="E2" s="2" t="s">
        <v>3</v>
      </c>
      <c r="F2" s="2">
        <f>'건물(DM)'!L14-F38-F20</f>
        <v>21418862</v>
      </c>
    </row>
    <row r="3" spans="1:6" ht="15" x14ac:dyDescent="0.25">
      <c r="A3" s="2" t="s">
        <v>4</v>
      </c>
      <c r="B3" s="2" t="s">
        <v>5</v>
      </c>
      <c r="C3" s="2">
        <f>'건물(DM)'!L5+'건물(DM)'!L6+'건물(DM)'!L7+'건물(DM)'!L11+'구축물(DM)'!L15+'기계설비(D&amp;M)'!L240+'공구와기구(D&amp;M)'!L447+'비품(D&amp;M)'!L540-C39-C21</f>
        <v>162133861</v>
      </c>
      <c r="D3" s="2"/>
      <c r="E3" s="2" t="s">
        <v>6</v>
      </c>
      <c r="F3" s="2">
        <f>'구축물(DM)'!L15-F39-F21</f>
        <v>867644</v>
      </c>
    </row>
    <row r="4" spans="1:6" ht="15" x14ac:dyDescent="0.25">
      <c r="A4" s="2" t="s">
        <v>4</v>
      </c>
      <c r="B4" s="2" t="s">
        <v>7</v>
      </c>
      <c r="C4" s="2">
        <f>F16-F13</f>
        <v>229436917</v>
      </c>
      <c r="D4" s="2"/>
      <c r="E4" s="2" t="s">
        <v>8</v>
      </c>
      <c r="F4" s="2">
        <f>'기계설비(D&amp;M)'!L240-F40-F22</f>
        <v>97724856</v>
      </c>
    </row>
    <row r="5" spans="1:6" ht="15" x14ac:dyDescent="0.25">
      <c r="A5" s="2"/>
      <c r="B5" s="2"/>
      <c r="C5" s="2"/>
      <c r="D5" s="2"/>
      <c r="E5" s="2" t="s">
        <v>9</v>
      </c>
      <c r="F5" s="2">
        <f>'차량운반(D&amp;M)'!L18-F41-F23</f>
        <v>0</v>
      </c>
    </row>
    <row r="6" spans="1:6" ht="15" x14ac:dyDescent="0.25">
      <c r="A6" s="2"/>
      <c r="B6" s="2"/>
      <c r="C6" s="2"/>
      <c r="D6" s="2"/>
      <c r="E6" s="2" t="s">
        <v>10</v>
      </c>
      <c r="F6" s="2">
        <f>'공구와기구(D&amp;M)'!L447-F42-F24</f>
        <v>42341272</v>
      </c>
    </row>
    <row r="7" spans="1:6" ht="15" x14ac:dyDescent="0.25">
      <c r="A7" s="2"/>
      <c r="B7" s="2"/>
      <c r="C7" s="2"/>
      <c r="D7" s="2"/>
      <c r="E7" s="2" t="s">
        <v>11</v>
      </c>
      <c r="F7" s="2">
        <f>'비품(D&amp;M)'!L537-F43-F25</f>
        <v>3509483</v>
      </c>
    </row>
    <row r="8" spans="1:6" ht="15" x14ac:dyDescent="0.25">
      <c r="A8" s="2"/>
      <c r="B8" s="2"/>
      <c r="C8" s="2"/>
      <c r="D8" s="2"/>
      <c r="E8" s="2"/>
      <c r="F8" s="3">
        <f>SUM(F2:F7)</f>
        <v>165862117</v>
      </c>
    </row>
    <row r="9" spans="1:6" ht="15" x14ac:dyDescent="0.25">
      <c r="A9" s="2"/>
      <c r="B9" s="2"/>
      <c r="C9" s="2"/>
      <c r="D9" s="2"/>
      <c r="E9" s="2"/>
      <c r="F9" s="2"/>
    </row>
    <row r="10" spans="1:6" ht="15" x14ac:dyDescent="0.25">
      <c r="A10" s="2"/>
      <c r="B10" s="2"/>
      <c r="C10" s="2"/>
      <c r="D10" s="2" t="s">
        <v>12</v>
      </c>
      <c r="E10" s="2" t="s">
        <v>13</v>
      </c>
      <c r="F10" s="2">
        <f>'건물(반도체)'!L6-F46-F28</f>
        <v>23092535</v>
      </c>
    </row>
    <row r="11" spans="1:6" ht="15" x14ac:dyDescent="0.25">
      <c r="A11" s="2"/>
      <c r="B11" s="2"/>
      <c r="C11" s="2"/>
      <c r="D11" s="2"/>
      <c r="E11" s="2" t="s">
        <v>14</v>
      </c>
      <c r="F11" s="2">
        <f>'구축물(반도체)'!L9-F47-F29</f>
        <v>1204525</v>
      </c>
    </row>
    <row r="12" spans="1:6" ht="15" x14ac:dyDescent="0.25">
      <c r="A12" s="2"/>
      <c r="B12" s="2"/>
      <c r="C12" s="2"/>
      <c r="D12" s="2"/>
      <c r="E12" s="2" t="s">
        <v>15</v>
      </c>
      <c r="F12" s="2">
        <f>'기계설비(반도체)'!L378-F48-F30</f>
        <v>195685087</v>
      </c>
    </row>
    <row r="13" spans="1:6" ht="15" x14ac:dyDescent="0.25">
      <c r="A13" s="2"/>
      <c r="B13" s="2"/>
      <c r="C13" s="2"/>
      <c r="D13" s="2"/>
      <c r="E13" s="2" t="s">
        <v>16</v>
      </c>
      <c r="F13" s="2">
        <f>'차량운반(반도체)'!L10-F49-F31</f>
        <v>0</v>
      </c>
    </row>
    <row r="14" spans="1:6" ht="15" x14ac:dyDescent="0.25">
      <c r="A14" s="2"/>
      <c r="B14" s="2"/>
      <c r="C14" s="2"/>
      <c r="D14" s="2"/>
      <c r="E14" s="2" t="s">
        <v>10</v>
      </c>
      <c r="F14" s="2">
        <f>'공구와기구(반도체)'!L201-F50-F32</f>
        <v>8599000</v>
      </c>
    </row>
    <row r="15" spans="1:6" ht="15" x14ac:dyDescent="0.25">
      <c r="A15" s="2"/>
      <c r="B15" s="2"/>
      <c r="C15" s="2"/>
      <c r="D15" s="2"/>
      <c r="E15" s="2" t="s">
        <v>17</v>
      </c>
      <c r="F15" s="2">
        <f>'비품(반도체)'!L466-F51-F33</f>
        <v>855770</v>
      </c>
    </row>
    <row r="16" spans="1:6" ht="15" x14ac:dyDescent="0.25">
      <c r="A16" s="4"/>
      <c r="B16" s="4"/>
      <c r="C16" s="4"/>
      <c r="D16" s="4"/>
      <c r="E16" s="2"/>
      <c r="F16" s="3">
        <f>SUM(F10:F15)</f>
        <v>229436917</v>
      </c>
    </row>
    <row r="17" spans="1:9" ht="15" x14ac:dyDescent="0.25">
      <c r="A17" s="4"/>
      <c r="B17" s="5"/>
      <c r="C17" s="6">
        <f>SUM(C2:C4)</f>
        <v>395299034</v>
      </c>
      <c r="D17" s="4"/>
      <c r="E17" s="5"/>
      <c r="F17" s="6">
        <f>F8+F16</f>
        <v>395299034</v>
      </c>
      <c r="G17" s="7"/>
      <c r="H17" s="7"/>
      <c r="I17" s="7"/>
    </row>
    <row r="18" spans="1:9" ht="15" x14ac:dyDescent="0.25">
      <c r="A18" s="4"/>
      <c r="B18" s="4"/>
      <c r="C18" s="2"/>
      <c r="D18" s="4"/>
      <c r="E18" s="4"/>
      <c r="F18" s="2"/>
      <c r="G18" s="7"/>
      <c r="H18" s="7"/>
      <c r="I18" s="7"/>
    </row>
    <row r="19" spans="1:9" ht="17.25" hidden="1" x14ac:dyDescent="0.3">
      <c r="A19" s="845" t="s">
        <v>3022</v>
      </c>
      <c r="B19" s="845"/>
      <c r="C19" s="845"/>
      <c r="D19" s="845"/>
      <c r="E19" s="845"/>
      <c r="F19" s="845"/>
      <c r="G19" s="7"/>
      <c r="H19" s="7"/>
      <c r="I19" s="7"/>
    </row>
    <row r="20" spans="1:9" ht="15" hidden="1" x14ac:dyDescent="0.25">
      <c r="A20" s="2" t="s">
        <v>3039</v>
      </c>
      <c r="B20" s="2" t="s">
        <v>2879</v>
      </c>
      <c r="C20" s="2">
        <v>3728256</v>
      </c>
      <c r="D20" s="2" t="s">
        <v>2</v>
      </c>
      <c r="E20" s="2" t="s">
        <v>2880</v>
      </c>
      <c r="F20" s="2">
        <v>21418861</v>
      </c>
      <c r="G20" s="7"/>
      <c r="H20" s="7"/>
      <c r="I20" s="7"/>
    </row>
    <row r="21" spans="1:9" ht="15" hidden="1" x14ac:dyDescent="0.25">
      <c r="A21" s="2" t="s">
        <v>3040</v>
      </c>
      <c r="B21" s="2" t="s">
        <v>2881</v>
      </c>
      <c r="C21" s="2">
        <v>157118156</v>
      </c>
      <c r="D21" s="2"/>
      <c r="E21" s="2" t="s">
        <v>2882</v>
      </c>
      <c r="F21" s="2">
        <v>867646</v>
      </c>
      <c r="G21" s="7"/>
      <c r="H21" s="7"/>
      <c r="I21" s="7"/>
    </row>
    <row r="22" spans="1:9" ht="15" hidden="1" x14ac:dyDescent="0.25">
      <c r="A22" s="2" t="s">
        <v>3040</v>
      </c>
      <c r="B22" s="2" t="s">
        <v>2883</v>
      </c>
      <c r="C22" s="2">
        <v>256115552</v>
      </c>
      <c r="D22" s="2"/>
      <c r="E22" s="2" t="s">
        <v>2884</v>
      </c>
      <c r="F22" s="2">
        <v>91831457</v>
      </c>
      <c r="G22" s="7"/>
      <c r="H22" s="7"/>
      <c r="I22" s="7"/>
    </row>
    <row r="23" spans="1:9" ht="15" hidden="1" x14ac:dyDescent="0.25">
      <c r="A23" s="2"/>
      <c r="B23" s="2"/>
      <c r="C23" s="2"/>
      <c r="D23" s="2"/>
      <c r="E23" s="2" t="s">
        <v>2885</v>
      </c>
      <c r="F23" s="2">
        <v>0</v>
      </c>
      <c r="G23" s="7"/>
      <c r="H23" s="7"/>
      <c r="I23" s="7"/>
    </row>
    <row r="24" spans="1:9" ht="15" hidden="1" x14ac:dyDescent="0.25">
      <c r="A24" s="2"/>
      <c r="B24" s="2"/>
      <c r="C24" s="2"/>
      <c r="D24" s="2"/>
      <c r="E24" s="2" t="s">
        <v>2886</v>
      </c>
      <c r="F24" s="2">
        <v>43243631</v>
      </c>
      <c r="G24" s="7"/>
      <c r="H24" s="7"/>
      <c r="I24" s="7"/>
    </row>
    <row r="25" spans="1:9" ht="15" hidden="1" x14ac:dyDescent="0.25">
      <c r="A25" s="2"/>
      <c r="B25" s="2"/>
      <c r="C25" s="2"/>
      <c r="D25" s="2"/>
      <c r="E25" s="2" t="s">
        <v>2887</v>
      </c>
      <c r="F25" s="2">
        <v>3484817</v>
      </c>
      <c r="G25" s="7"/>
      <c r="H25" s="7"/>
      <c r="I25" s="7"/>
    </row>
    <row r="26" spans="1:9" ht="15" hidden="1" x14ac:dyDescent="0.25">
      <c r="A26" s="2"/>
      <c r="B26" s="2"/>
      <c r="C26" s="2"/>
      <c r="D26" s="2"/>
      <c r="E26" s="2"/>
      <c r="F26" s="3">
        <v>160846412</v>
      </c>
      <c r="G26" s="7"/>
      <c r="H26" s="7"/>
      <c r="I26" s="7"/>
    </row>
    <row r="27" spans="1:9" ht="15" hidden="1" x14ac:dyDescent="0.25">
      <c r="A27" s="2"/>
      <c r="B27" s="2"/>
      <c r="C27" s="2"/>
      <c r="D27" s="2"/>
      <c r="E27" s="2"/>
      <c r="F27" s="2"/>
      <c r="G27" s="7"/>
      <c r="H27" s="7"/>
      <c r="I27" s="7"/>
    </row>
    <row r="28" spans="1:9" ht="15" hidden="1" x14ac:dyDescent="0.25">
      <c r="A28" s="2"/>
      <c r="B28" s="2"/>
      <c r="C28" s="2"/>
      <c r="D28" s="2" t="s">
        <v>2888</v>
      </c>
      <c r="E28" s="2" t="s">
        <v>2880</v>
      </c>
      <c r="F28" s="2">
        <v>23092536</v>
      </c>
      <c r="G28" s="7"/>
      <c r="H28" s="7"/>
      <c r="I28" s="7"/>
    </row>
    <row r="29" spans="1:9" ht="15" hidden="1" x14ac:dyDescent="0.25">
      <c r="A29" s="2"/>
      <c r="B29" s="2"/>
      <c r="C29" s="2"/>
      <c r="D29" s="2"/>
      <c r="E29" s="2" t="s">
        <v>2882</v>
      </c>
      <c r="F29" s="2">
        <v>1204525</v>
      </c>
      <c r="G29" s="7"/>
      <c r="H29" s="7"/>
      <c r="I29" s="7"/>
    </row>
    <row r="30" spans="1:9" ht="15" hidden="1" x14ac:dyDescent="0.25">
      <c r="A30" s="2"/>
      <c r="B30" s="2"/>
      <c r="C30" s="2"/>
      <c r="D30" s="2"/>
      <c r="E30" s="2" t="s">
        <v>2884</v>
      </c>
      <c r="F30" s="2">
        <v>222780756</v>
      </c>
      <c r="G30" s="7"/>
      <c r="H30" s="7"/>
      <c r="I30" s="7"/>
    </row>
    <row r="31" spans="1:9" ht="15" hidden="1" x14ac:dyDescent="0.25">
      <c r="A31" s="2"/>
      <c r="B31" s="2"/>
      <c r="C31" s="2"/>
      <c r="D31" s="2"/>
      <c r="E31" s="2" t="s">
        <v>2885</v>
      </c>
      <c r="F31" s="2">
        <v>0</v>
      </c>
      <c r="G31" s="7"/>
      <c r="H31" s="7"/>
      <c r="I31" s="7"/>
    </row>
    <row r="32" spans="1:9" ht="15" hidden="1" x14ac:dyDescent="0.25">
      <c r="A32" s="2"/>
      <c r="B32" s="2"/>
      <c r="C32" s="2"/>
      <c r="D32" s="2"/>
      <c r="E32" s="2" t="s">
        <v>2886</v>
      </c>
      <c r="F32" s="2">
        <v>8599000</v>
      </c>
      <c r="G32" s="7"/>
      <c r="H32" s="7"/>
      <c r="I32" s="7"/>
    </row>
    <row r="33" spans="1:9" ht="15" hidden="1" x14ac:dyDescent="0.25">
      <c r="A33" s="2"/>
      <c r="B33" s="2"/>
      <c r="C33" s="2"/>
      <c r="D33" s="2"/>
      <c r="E33" s="2" t="s">
        <v>2887</v>
      </c>
      <c r="F33" s="2">
        <v>438735</v>
      </c>
      <c r="G33" s="7"/>
      <c r="H33" s="7"/>
      <c r="I33" s="7"/>
    </row>
    <row r="34" spans="1:9" ht="15" hidden="1" x14ac:dyDescent="0.25">
      <c r="A34" s="4"/>
      <c r="B34" s="4"/>
      <c r="C34" s="4"/>
      <c r="D34" s="4"/>
      <c r="E34" s="2"/>
      <c r="F34" s="3">
        <v>256115552</v>
      </c>
      <c r="G34" s="7"/>
      <c r="H34" s="7"/>
      <c r="I34" s="7"/>
    </row>
    <row r="35" spans="1:9" ht="15" hidden="1" x14ac:dyDescent="0.25">
      <c r="A35" s="4"/>
      <c r="B35" s="5"/>
      <c r="C35" s="6">
        <v>416961964</v>
      </c>
      <c r="D35" s="4"/>
      <c r="E35" s="4"/>
      <c r="F35" s="2">
        <v>416961964</v>
      </c>
      <c r="G35" s="7"/>
      <c r="H35" s="7"/>
      <c r="I35" s="7"/>
    </row>
    <row r="36" spans="1:9" hidden="1" x14ac:dyDescent="0.15">
      <c r="E36" s="8"/>
      <c r="F36" s="8"/>
      <c r="G36" s="7"/>
      <c r="H36" s="7"/>
      <c r="I36" s="7"/>
    </row>
    <row r="37" spans="1:9" ht="17.25" hidden="1" x14ac:dyDescent="0.3">
      <c r="A37" s="845" t="s">
        <v>3021</v>
      </c>
      <c r="B37" s="845"/>
      <c r="C37" s="845"/>
      <c r="D37" s="845"/>
      <c r="E37" s="845"/>
      <c r="F37" s="845"/>
      <c r="G37" s="7"/>
      <c r="H37" s="7"/>
      <c r="I37" s="7"/>
    </row>
    <row r="38" spans="1:9" ht="15" hidden="1" x14ac:dyDescent="0.25">
      <c r="A38" s="2" t="s">
        <v>0</v>
      </c>
      <c r="B38" s="2" t="s">
        <v>18</v>
      </c>
      <c r="C38" s="2">
        <v>7486646</v>
      </c>
      <c r="D38" s="2" t="s">
        <v>2</v>
      </c>
      <c r="E38" s="2" t="s">
        <v>2880</v>
      </c>
      <c r="F38" s="2">
        <v>42837723</v>
      </c>
      <c r="G38" s="7"/>
      <c r="H38" s="7"/>
      <c r="I38" s="7"/>
    </row>
    <row r="39" spans="1:9" ht="15" hidden="1" x14ac:dyDescent="0.25">
      <c r="A39" s="2" t="s">
        <v>19</v>
      </c>
      <c r="B39" s="2" t="s">
        <v>5</v>
      </c>
      <c r="C39" s="2">
        <v>299227268</v>
      </c>
      <c r="D39" s="2"/>
      <c r="E39" s="2" t="s">
        <v>2882</v>
      </c>
      <c r="F39" s="2">
        <v>1735289</v>
      </c>
      <c r="G39" s="7"/>
      <c r="H39" s="7"/>
      <c r="I39" s="7"/>
    </row>
    <row r="40" spans="1:9" ht="15" hidden="1" x14ac:dyDescent="0.25">
      <c r="A40" s="2" t="s">
        <v>20</v>
      </c>
      <c r="B40" s="2" t="s">
        <v>21</v>
      </c>
      <c r="C40" s="2">
        <v>495066022</v>
      </c>
      <c r="D40" s="2"/>
      <c r="E40" s="2" t="s">
        <v>2884</v>
      </c>
      <c r="F40" s="2">
        <v>170068580</v>
      </c>
      <c r="G40" s="7"/>
      <c r="H40" s="7"/>
      <c r="I40" s="7"/>
    </row>
    <row r="41" spans="1:9" ht="15" hidden="1" x14ac:dyDescent="0.25">
      <c r="A41" s="2"/>
      <c r="B41" s="2"/>
      <c r="C41" s="2"/>
      <c r="D41" s="2"/>
      <c r="E41" s="2" t="s">
        <v>2885</v>
      </c>
      <c r="F41" s="2">
        <v>0</v>
      </c>
      <c r="G41" s="7"/>
      <c r="H41" s="7"/>
      <c r="I41" s="7"/>
    </row>
    <row r="42" spans="1:9" ht="15" hidden="1" x14ac:dyDescent="0.25">
      <c r="A42" s="2"/>
      <c r="B42" s="2"/>
      <c r="C42" s="2"/>
      <c r="D42" s="2"/>
      <c r="E42" s="2" t="s">
        <v>2886</v>
      </c>
      <c r="F42" s="2">
        <v>84082090</v>
      </c>
      <c r="G42" s="7"/>
      <c r="H42" s="7"/>
      <c r="I42" s="7"/>
    </row>
    <row r="43" spans="1:9" ht="15" hidden="1" x14ac:dyDescent="0.25">
      <c r="A43" s="2"/>
      <c r="B43" s="2"/>
      <c r="C43" s="2"/>
      <c r="D43" s="2"/>
      <c r="E43" s="2" t="s">
        <v>2887</v>
      </c>
      <c r="F43" s="2">
        <v>7990232</v>
      </c>
      <c r="G43" s="7"/>
      <c r="H43" s="7"/>
      <c r="I43" s="7"/>
    </row>
    <row r="44" spans="1:9" ht="15" hidden="1" x14ac:dyDescent="0.25">
      <c r="A44" s="2"/>
      <c r="B44" s="2"/>
      <c r="C44" s="2"/>
      <c r="D44" s="2"/>
      <c r="E44" s="2"/>
      <c r="F44" s="3">
        <v>306713914</v>
      </c>
      <c r="G44" s="7"/>
      <c r="H44" s="7"/>
      <c r="I44" s="7"/>
    </row>
    <row r="45" spans="1:9" ht="15" hidden="1" x14ac:dyDescent="0.25">
      <c r="A45" s="2"/>
      <c r="B45" s="2"/>
      <c r="C45" s="2"/>
      <c r="D45" s="2"/>
      <c r="E45" s="2"/>
      <c r="F45" s="2"/>
      <c r="G45" s="7"/>
      <c r="H45" s="7"/>
      <c r="I45" s="7"/>
    </row>
    <row r="46" spans="1:9" ht="15" hidden="1" x14ac:dyDescent="0.25">
      <c r="A46" s="2"/>
      <c r="B46" s="2"/>
      <c r="C46" s="2"/>
      <c r="D46" s="2" t="s">
        <v>2888</v>
      </c>
      <c r="E46" s="2" t="s">
        <v>2880</v>
      </c>
      <c r="F46" s="2">
        <v>46185071</v>
      </c>
      <c r="G46" s="7"/>
      <c r="H46" s="7"/>
      <c r="I46" s="7"/>
    </row>
    <row r="47" spans="1:9" ht="15" hidden="1" x14ac:dyDescent="0.25">
      <c r="A47" s="2"/>
      <c r="B47" s="2"/>
      <c r="C47" s="2"/>
      <c r="D47" s="2"/>
      <c r="E47" s="2" t="s">
        <v>2882</v>
      </c>
      <c r="F47" s="2">
        <v>2409050</v>
      </c>
      <c r="G47" s="7"/>
      <c r="H47" s="7"/>
      <c r="I47" s="7"/>
    </row>
    <row r="48" spans="1:9" ht="15" hidden="1" x14ac:dyDescent="0.25">
      <c r="A48" s="2"/>
      <c r="B48" s="2"/>
      <c r="C48" s="2"/>
      <c r="D48" s="2"/>
      <c r="E48" s="2" t="s">
        <v>2884</v>
      </c>
      <c r="F48" s="2">
        <v>425565518</v>
      </c>
      <c r="G48" s="7"/>
      <c r="H48" s="7"/>
      <c r="I48" s="7"/>
    </row>
    <row r="49" spans="1:9" ht="15" hidden="1" x14ac:dyDescent="0.25">
      <c r="A49" s="2"/>
      <c r="B49" s="2"/>
      <c r="C49" s="2"/>
      <c r="D49" s="2"/>
      <c r="E49" s="2" t="s">
        <v>2885</v>
      </c>
      <c r="F49" s="2">
        <v>0</v>
      </c>
      <c r="G49" s="7"/>
      <c r="H49" s="7"/>
      <c r="I49" s="7"/>
    </row>
    <row r="50" spans="1:9" ht="15" hidden="1" x14ac:dyDescent="0.25">
      <c r="A50" s="2"/>
      <c r="B50" s="2"/>
      <c r="C50" s="2"/>
      <c r="D50" s="2"/>
      <c r="E50" s="2" t="s">
        <v>2886</v>
      </c>
      <c r="F50" s="2">
        <v>17198000</v>
      </c>
      <c r="G50" s="7"/>
      <c r="H50" s="7"/>
      <c r="I50" s="7"/>
    </row>
    <row r="51" spans="1:9" ht="15" hidden="1" x14ac:dyDescent="0.25">
      <c r="A51" s="2"/>
      <c r="B51" s="2"/>
      <c r="C51" s="2"/>
      <c r="D51" s="2"/>
      <c r="E51" s="2" t="s">
        <v>2887</v>
      </c>
      <c r="F51" s="2">
        <v>3708383</v>
      </c>
      <c r="G51" s="7"/>
      <c r="H51" s="7"/>
      <c r="I51" s="7"/>
    </row>
    <row r="52" spans="1:9" ht="15" hidden="1" x14ac:dyDescent="0.25">
      <c r="A52" s="4"/>
      <c r="B52" s="4"/>
      <c r="C52" s="4"/>
      <c r="D52" s="4"/>
      <c r="E52" s="2"/>
      <c r="F52" s="3">
        <v>495066022</v>
      </c>
      <c r="G52" s="7"/>
      <c r="H52" s="7"/>
      <c r="I52" s="7"/>
    </row>
    <row r="53" spans="1:9" ht="15" hidden="1" x14ac:dyDescent="0.25">
      <c r="A53" s="4"/>
      <c r="B53" s="5"/>
      <c r="C53" s="6">
        <v>857190421</v>
      </c>
      <c r="D53" s="4"/>
      <c r="E53" s="4"/>
      <c r="F53" s="2">
        <v>801779936</v>
      </c>
      <c r="G53" s="7"/>
      <c r="H53" s="7"/>
      <c r="I53" s="7"/>
    </row>
    <row r="54" spans="1:9" hidden="1" x14ac:dyDescent="0.15">
      <c r="E54" s="8"/>
      <c r="F54" s="8"/>
    </row>
    <row r="55" spans="1:9" ht="17.25" hidden="1" x14ac:dyDescent="0.3">
      <c r="A55" s="845" t="s">
        <v>3020</v>
      </c>
      <c r="B55" s="845"/>
      <c r="C55" s="845"/>
      <c r="D55" s="845"/>
      <c r="E55" s="845"/>
      <c r="F55" s="845"/>
    </row>
    <row r="56" spans="1:9" ht="15" hidden="1" x14ac:dyDescent="0.25">
      <c r="A56" s="2" t="s">
        <v>3039</v>
      </c>
      <c r="B56" s="2" t="s">
        <v>2879</v>
      </c>
      <c r="C56" s="2">
        <v>3727257</v>
      </c>
      <c r="D56" s="2" t="s">
        <v>2</v>
      </c>
      <c r="E56" s="2" t="s">
        <v>2880</v>
      </c>
      <c r="F56" s="2">
        <v>22265340</v>
      </c>
    </row>
    <row r="57" spans="1:9" ht="15" hidden="1" x14ac:dyDescent="0.25">
      <c r="A57" s="2" t="s">
        <v>3040</v>
      </c>
      <c r="B57" s="2" t="s">
        <v>2881</v>
      </c>
      <c r="C57" s="2">
        <v>152075665</v>
      </c>
      <c r="D57" s="2"/>
      <c r="E57" s="2" t="s">
        <v>2882</v>
      </c>
      <c r="F57" s="2">
        <v>867643</v>
      </c>
    </row>
    <row r="58" spans="1:9" ht="15" hidden="1" x14ac:dyDescent="0.25">
      <c r="A58" s="2" t="s">
        <v>3040</v>
      </c>
      <c r="B58" s="2" t="s">
        <v>2883</v>
      </c>
      <c r="C58" s="2">
        <v>256489523</v>
      </c>
      <c r="D58" s="2"/>
      <c r="E58" s="2" t="s">
        <v>2884</v>
      </c>
      <c r="F58" s="2">
        <v>87760990</v>
      </c>
    </row>
    <row r="59" spans="1:9" ht="15" hidden="1" x14ac:dyDescent="0.25">
      <c r="A59" s="2"/>
      <c r="B59" s="2"/>
      <c r="C59" s="2"/>
      <c r="D59" s="2"/>
      <c r="E59" s="2" t="s">
        <v>2885</v>
      </c>
      <c r="F59" s="2">
        <v>0</v>
      </c>
    </row>
    <row r="60" spans="1:9" ht="15" hidden="1" x14ac:dyDescent="0.25">
      <c r="A60" s="2"/>
      <c r="B60" s="2"/>
      <c r="C60" s="2"/>
      <c r="D60" s="2"/>
      <c r="E60" s="2" t="s">
        <v>2886</v>
      </c>
      <c r="F60" s="2">
        <v>41415066</v>
      </c>
    </row>
    <row r="61" spans="1:9" ht="15" hidden="1" x14ac:dyDescent="0.25">
      <c r="A61" s="2"/>
      <c r="B61" s="2"/>
      <c r="C61" s="2"/>
      <c r="D61" s="2"/>
      <c r="E61" s="2" t="s">
        <v>2887</v>
      </c>
      <c r="F61" s="2">
        <v>3493883</v>
      </c>
    </row>
    <row r="62" spans="1:9" ht="15" hidden="1" x14ac:dyDescent="0.25">
      <c r="A62" s="2"/>
      <c r="B62" s="2"/>
      <c r="C62" s="2"/>
      <c r="D62" s="2"/>
      <c r="E62" s="2"/>
      <c r="F62" s="3">
        <v>155802922</v>
      </c>
    </row>
    <row r="63" spans="1:9" ht="15" hidden="1" x14ac:dyDescent="0.25">
      <c r="A63" s="2"/>
      <c r="B63" s="2"/>
      <c r="C63" s="2"/>
      <c r="D63" s="2"/>
      <c r="E63" s="2"/>
      <c r="F63" s="2"/>
    </row>
    <row r="64" spans="1:9" ht="15" hidden="1" x14ac:dyDescent="0.25">
      <c r="A64" s="2"/>
      <c r="B64" s="2"/>
      <c r="C64" s="2"/>
      <c r="D64" s="2" t="s">
        <v>2888</v>
      </c>
      <c r="E64" s="2" t="s">
        <v>2880</v>
      </c>
      <c r="F64" s="2">
        <v>23092535</v>
      </c>
    </row>
    <row r="65" spans="1:6" ht="15" hidden="1" x14ac:dyDescent="0.25">
      <c r="A65" s="2"/>
      <c r="B65" s="2"/>
      <c r="C65" s="2"/>
      <c r="D65" s="2"/>
      <c r="E65" s="2" t="s">
        <v>2882</v>
      </c>
      <c r="F65" s="2">
        <v>1204525</v>
      </c>
    </row>
    <row r="66" spans="1:6" ht="15" hidden="1" x14ac:dyDescent="0.25">
      <c r="A66" s="2"/>
      <c r="B66" s="2"/>
      <c r="C66" s="2"/>
      <c r="D66" s="2"/>
      <c r="E66" s="2" t="s">
        <v>2884</v>
      </c>
      <c r="F66" s="2">
        <v>222782760</v>
      </c>
    </row>
    <row r="67" spans="1:6" ht="15" hidden="1" x14ac:dyDescent="0.25">
      <c r="A67" s="2"/>
      <c r="B67" s="2"/>
      <c r="C67" s="2"/>
      <c r="D67" s="2"/>
      <c r="E67" s="2" t="s">
        <v>2885</v>
      </c>
      <c r="F67" s="2">
        <v>0</v>
      </c>
    </row>
    <row r="68" spans="1:6" ht="15" hidden="1" x14ac:dyDescent="0.25">
      <c r="A68" s="2"/>
      <c r="B68" s="2"/>
      <c r="C68" s="2"/>
      <c r="D68" s="2"/>
      <c r="E68" s="2" t="s">
        <v>2886</v>
      </c>
      <c r="F68" s="2">
        <v>8599000</v>
      </c>
    </row>
    <row r="69" spans="1:6" ht="15" hidden="1" x14ac:dyDescent="0.25">
      <c r="A69" s="2"/>
      <c r="B69" s="2"/>
      <c r="C69" s="2"/>
      <c r="D69" s="2"/>
      <c r="E69" s="2" t="s">
        <v>2887</v>
      </c>
      <c r="F69" s="2">
        <v>810703</v>
      </c>
    </row>
    <row r="70" spans="1:6" ht="15" hidden="1" x14ac:dyDescent="0.25">
      <c r="A70" s="4"/>
      <c r="B70" s="4"/>
      <c r="C70" s="4"/>
      <c r="D70" s="4"/>
      <c r="E70" s="2"/>
      <c r="F70" s="3">
        <v>256489523</v>
      </c>
    </row>
    <row r="71" spans="1:6" ht="15" hidden="1" x14ac:dyDescent="0.25">
      <c r="A71" s="4"/>
      <c r="B71" s="5"/>
      <c r="C71" s="6">
        <v>412292445</v>
      </c>
      <c r="D71" s="4"/>
      <c r="E71" s="4"/>
      <c r="F71" s="2">
        <v>412292445</v>
      </c>
    </row>
    <row r="72" spans="1:6" hidden="1" x14ac:dyDescent="0.15">
      <c r="E72" s="8"/>
      <c r="F72" s="8"/>
    </row>
    <row r="73" spans="1:6" ht="17.25" hidden="1" x14ac:dyDescent="0.3">
      <c r="A73" s="845" t="s">
        <v>3019</v>
      </c>
      <c r="B73" s="845"/>
      <c r="C73" s="845"/>
      <c r="D73" s="845"/>
      <c r="E73" s="845"/>
      <c r="F73" s="845"/>
    </row>
    <row r="74" spans="1:6" ht="15" hidden="1" x14ac:dyDescent="0.25">
      <c r="A74" s="2" t="s">
        <v>3039</v>
      </c>
      <c r="B74" s="2" t="s">
        <v>2879</v>
      </c>
      <c r="C74" s="2">
        <v>3759389</v>
      </c>
      <c r="D74" s="2" t="s">
        <v>2</v>
      </c>
      <c r="E74" s="2" t="s">
        <v>2880</v>
      </c>
      <c r="F74" s="2">
        <v>20572383</v>
      </c>
    </row>
    <row r="75" spans="1:6" ht="15" hidden="1" x14ac:dyDescent="0.25">
      <c r="A75" s="2" t="s">
        <v>3040</v>
      </c>
      <c r="B75" s="2" t="s">
        <v>2881</v>
      </c>
      <c r="C75" s="2">
        <v>147151603</v>
      </c>
      <c r="D75" s="2"/>
      <c r="E75" s="2" t="s">
        <v>2882</v>
      </c>
      <c r="F75" s="2">
        <v>867646</v>
      </c>
    </row>
    <row r="76" spans="1:6" ht="15" hidden="1" x14ac:dyDescent="0.25">
      <c r="A76" s="2" t="s">
        <v>3040</v>
      </c>
      <c r="B76" s="2" t="s">
        <v>2883</v>
      </c>
      <c r="C76" s="2">
        <v>238576499</v>
      </c>
      <c r="D76" s="2"/>
      <c r="E76" s="2" t="s">
        <v>2884</v>
      </c>
      <c r="F76" s="2">
        <v>82307590</v>
      </c>
    </row>
    <row r="77" spans="1:6" ht="15" hidden="1" x14ac:dyDescent="0.25">
      <c r="A77" s="2"/>
      <c r="B77" s="2"/>
      <c r="C77" s="2"/>
      <c r="D77" s="2"/>
      <c r="E77" s="2" t="s">
        <v>2885</v>
      </c>
      <c r="F77" s="2">
        <v>0</v>
      </c>
    </row>
    <row r="78" spans="1:6" ht="15" hidden="1" x14ac:dyDescent="0.25">
      <c r="A78" s="2"/>
      <c r="B78" s="2"/>
      <c r="C78" s="2"/>
      <c r="D78" s="2"/>
      <c r="E78" s="2" t="s">
        <v>2886</v>
      </c>
      <c r="F78" s="2">
        <v>42667024</v>
      </c>
    </row>
    <row r="79" spans="1:6" ht="15" hidden="1" x14ac:dyDescent="0.25">
      <c r="A79" s="2"/>
      <c r="B79" s="2"/>
      <c r="C79" s="2"/>
      <c r="D79" s="2"/>
      <c r="E79" s="2" t="s">
        <v>2887</v>
      </c>
      <c r="F79" s="2">
        <v>4496349</v>
      </c>
    </row>
    <row r="80" spans="1:6" ht="15" hidden="1" x14ac:dyDescent="0.25">
      <c r="A80" s="2"/>
      <c r="B80" s="2"/>
      <c r="C80" s="2"/>
      <c r="D80" s="2"/>
      <c r="E80" s="2"/>
      <c r="F80" s="3">
        <v>150910992</v>
      </c>
    </row>
    <row r="81" spans="1:6" ht="15" hidden="1" x14ac:dyDescent="0.25">
      <c r="A81" s="2"/>
      <c r="B81" s="2"/>
      <c r="C81" s="2"/>
      <c r="D81" s="2"/>
      <c r="E81" s="2"/>
      <c r="F81" s="2"/>
    </row>
    <row r="82" spans="1:6" ht="15" hidden="1" x14ac:dyDescent="0.25">
      <c r="A82" s="2"/>
      <c r="B82" s="2"/>
      <c r="C82" s="2"/>
      <c r="D82" s="2" t="s">
        <v>2888</v>
      </c>
      <c r="E82" s="2" t="s">
        <v>2880</v>
      </c>
      <c r="F82" s="2">
        <v>23092536</v>
      </c>
    </row>
    <row r="83" spans="1:6" ht="15" hidden="1" x14ac:dyDescent="0.25">
      <c r="A83" s="2"/>
      <c r="B83" s="2"/>
      <c r="C83" s="2"/>
      <c r="D83" s="2"/>
      <c r="E83" s="2" t="s">
        <v>2882</v>
      </c>
      <c r="F83" s="2">
        <v>1204525</v>
      </c>
    </row>
    <row r="84" spans="1:6" ht="15" hidden="1" x14ac:dyDescent="0.25">
      <c r="A84" s="2"/>
      <c r="B84" s="2"/>
      <c r="C84" s="2"/>
      <c r="D84" s="2"/>
      <c r="E84" s="2" t="s">
        <v>2884</v>
      </c>
      <c r="F84" s="2">
        <v>202782758</v>
      </c>
    </row>
    <row r="85" spans="1:6" ht="15" hidden="1" x14ac:dyDescent="0.25">
      <c r="A85" s="2"/>
      <c r="B85" s="2"/>
      <c r="C85" s="2"/>
      <c r="D85" s="2"/>
      <c r="E85" s="2" t="s">
        <v>2885</v>
      </c>
      <c r="F85" s="2">
        <v>0</v>
      </c>
    </row>
    <row r="86" spans="1:6" ht="15" hidden="1" x14ac:dyDescent="0.25">
      <c r="A86" s="2"/>
      <c r="B86" s="2"/>
      <c r="C86" s="2"/>
      <c r="D86" s="2"/>
      <c r="E86" s="2" t="s">
        <v>2886</v>
      </c>
      <c r="F86" s="2">
        <v>8599000</v>
      </c>
    </row>
    <row r="87" spans="1:6" ht="15" hidden="1" x14ac:dyDescent="0.25">
      <c r="A87" s="2"/>
      <c r="B87" s="2"/>
      <c r="C87" s="2"/>
      <c r="D87" s="2"/>
      <c r="E87" s="2" t="s">
        <v>2887</v>
      </c>
      <c r="F87" s="2">
        <v>2897680</v>
      </c>
    </row>
    <row r="88" spans="1:6" ht="15" hidden="1" x14ac:dyDescent="0.25">
      <c r="A88" s="4"/>
      <c r="B88" s="4"/>
      <c r="C88" s="4"/>
      <c r="D88" s="4"/>
      <c r="E88" s="2"/>
      <c r="F88" s="3">
        <v>238576499</v>
      </c>
    </row>
    <row r="89" spans="1:6" ht="15" hidden="1" x14ac:dyDescent="0.25">
      <c r="A89" s="4"/>
      <c r="B89" s="5"/>
      <c r="C89" s="6">
        <v>389487491</v>
      </c>
      <c r="D89" s="4"/>
      <c r="E89" s="5"/>
      <c r="F89" s="6">
        <v>389487491</v>
      </c>
    </row>
    <row r="90" spans="1:6" hidden="1" x14ac:dyDescent="0.15"/>
  </sheetData>
  <mergeCells count="5">
    <mergeCell ref="A1:F1"/>
    <mergeCell ref="A19:F19"/>
    <mergeCell ref="A37:F37"/>
    <mergeCell ref="A55:F55"/>
    <mergeCell ref="A73:F73"/>
  </mergeCells>
  <phoneticPr fontId="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zoomScaleNormal="100" workbookViewId="0">
      <pane xSplit="3" ySplit="4" topLeftCell="D5" activePane="bottomRight" state="frozenSplit"/>
      <selection activeCell="H18" sqref="H18"/>
      <selection pane="topRight" activeCell="H18" sqref="H18"/>
      <selection pane="bottomLeft" activeCell="H18" sqref="H18"/>
      <selection pane="bottomRight" activeCell="H18" sqref="H18"/>
    </sheetView>
  </sheetViews>
  <sheetFormatPr defaultRowHeight="16.5" x14ac:dyDescent="0.3"/>
  <cols>
    <col min="1" max="1" width="6.140625" style="48" customWidth="1"/>
    <col min="2" max="2" width="26.42578125" style="44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124" customWidth="1"/>
    <col min="8" max="8" width="15.140625" style="44" customWidth="1"/>
    <col min="9" max="9" width="5.28515625" style="44" customWidth="1"/>
    <col min="10" max="10" width="7.42578125" style="44" customWidth="1"/>
    <col min="11" max="11" width="5.140625" style="44" customWidth="1"/>
    <col min="12" max="12" width="14.85546875" style="142" customWidth="1"/>
    <col min="13" max="13" width="16.42578125" style="44" customWidth="1"/>
    <col min="14" max="14" width="16.42578125" style="142" customWidth="1"/>
    <col min="15" max="15" width="13.85546875" style="9" customWidth="1"/>
    <col min="16" max="16" width="7.42578125" style="9" customWidth="1"/>
    <col min="17" max="17" width="10" style="44" customWidth="1"/>
    <col min="18" max="20" width="11.42578125" style="44" hidden="1" customWidth="1"/>
    <col min="21" max="21" width="13" style="44" hidden="1" customWidth="1"/>
    <col min="22" max="22" width="11.42578125" style="142" hidden="1" customWidth="1"/>
    <col min="23" max="23" width="12" style="142" hidden="1" customWidth="1"/>
    <col min="24" max="24" width="11.42578125" style="44" hidden="1" customWidth="1"/>
    <col min="25" max="16384" width="9.140625" style="44"/>
  </cols>
  <sheetData>
    <row r="1" spans="1:24" ht="31.5" x14ac:dyDescent="0.55000000000000004">
      <c r="B1" s="847" t="s">
        <v>3097</v>
      </c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</row>
    <row r="3" spans="1:24" s="9" customFormat="1" ht="13.5" customHeight="1" thickBot="1" x14ac:dyDescent="0.25">
      <c r="A3" s="9" t="s">
        <v>1096</v>
      </c>
      <c r="B3" s="45"/>
      <c r="C3" s="45"/>
      <c r="D3" s="45"/>
      <c r="E3" s="45"/>
      <c r="F3" s="45"/>
      <c r="G3" s="103"/>
      <c r="H3" s="45"/>
      <c r="I3" s="45"/>
      <c r="J3" s="45"/>
      <c r="K3" s="45"/>
      <c r="L3" s="125"/>
      <c r="M3" s="45"/>
      <c r="N3" s="125"/>
      <c r="O3" s="45"/>
      <c r="P3" s="45"/>
      <c r="Q3" s="49" t="s">
        <v>82</v>
      </c>
      <c r="S3" s="848"/>
      <c r="T3" s="848"/>
      <c r="V3" s="10"/>
      <c r="W3" s="10"/>
    </row>
    <row r="4" spans="1:24" s="9" customFormat="1" ht="13.5" customHeight="1" thickBot="1" x14ac:dyDescent="0.25">
      <c r="A4" s="50" t="s">
        <v>44</v>
      </c>
      <c r="B4" s="460" t="s">
        <v>83</v>
      </c>
      <c r="C4" s="52" t="s">
        <v>84</v>
      </c>
      <c r="D4" s="53" t="s">
        <v>85</v>
      </c>
      <c r="E4" s="53" t="s">
        <v>86</v>
      </c>
      <c r="F4" s="53" t="s">
        <v>87</v>
      </c>
      <c r="G4" s="104" t="s">
        <v>28</v>
      </c>
      <c r="H4" s="53" t="s">
        <v>88</v>
      </c>
      <c r="I4" s="53" t="s">
        <v>51</v>
      </c>
      <c r="J4" s="53" t="s">
        <v>89</v>
      </c>
      <c r="K4" s="53" t="s">
        <v>90</v>
      </c>
      <c r="L4" s="135" t="s">
        <v>91</v>
      </c>
      <c r="M4" s="53" t="s">
        <v>92</v>
      </c>
      <c r="N4" s="135" t="s">
        <v>93</v>
      </c>
      <c r="O4" s="54" t="s">
        <v>94</v>
      </c>
      <c r="P4" s="54" t="s">
        <v>95</v>
      </c>
      <c r="Q4" s="55" t="s">
        <v>1097</v>
      </c>
      <c r="R4" s="9" t="s">
        <v>96</v>
      </c>
      <c r="S4" s="45" t="s">
        <v>199</v>
      </c>
      <c r="T4" s="45" t="s">
        <v>200</v>
      </c>
      <c r="U4" s="9" t="s">
        <v>99</v>
      </c>
      <c r="V4" s="10" t="s">
        <v>100</v>
      </c>
      <c r="W4" s="10" t="s">
        <v>1098</v>
      </c>
      <c r="X4" s="9" t="s">
        <v>102</v>
      </c>
    </row>
    <row r="5" spans="1:24" s="9" customFormat="1" ht="13.5" customHeight="1" thickTop="1" x14ac:dyDescent="0.2">
      <c r="A5" s="64">
        <v>1</v>
      </c>
      <c r="B5" s="461" t="s">
        <v>1099</v>
      </c>
      <c r="C5" s="163">
        <v>37711</v>
      </c>
      <c r="D5" s="462"/>
      <c r="E5" s="462"/>
      <c r="F5" s="110"/>
      <c r="G5" s="110"/>
      <c r="H5" s="110"/>
      <c r="I5" s="463">
        <v>5</v>
      </c>
      <c r="J5" s="463"/>
      <c r="K5" s="463"/>
      <c r="L5" s="110"/>
      <c r="M5" s="110"/>
      <c r="N5" s="110"/>
      <c r="O5" s="111" t="s">
        <v>1100</v>
      </c>
      <c r="P5" s="111">
        <v>1</v>
      </c>
      <c r="Q5" s="464"/>
      <c r="R5" s="23">
        <f>+N5*J5</f>
        <v>0</v>
      </c>
      <c r="S5" s="23">
        <f>D5*0.05</f>
        <v>0</v>
      </c>
      <c r="T5" s="23">
        <f>N5-S5</f>
        <v>0</v>
      </c>
      <c r="U5" s="10"/>
      <c r="V5" s="10">
        <f t="shared" ref="V5:V16" si="0">F5/I5</f>
        <v>0</v>
      </c>
      <c r="W5" s="10">
        <f>ROUND(IF(H5&lt;=1000,0,V5/12*3),0)</f>
        <v>0</v>
      </c>
      <c r="X5" s="10">
        <f t="shared" ref="X5:X16" si="1">L5-W5</f>
        <v>0</v>
      </c>
    </row>
    <row r="6" spans="1:24" s="9" customFormat="1" ht="13.5" customHeight="1" x14ac:dyDescent="0.2">
      <c r="A6" s="64">
        <f t="shared" ref="A6:A14" si="2">A5+1</f>
        <v>2</v>
      </c>
      <c r="B6" s="461" t="s">
        <v>1101</v>
      </c>
      <c r="C6" s="163">
        <v>38735</v>
      </c>
      <c r="D6" s="462">
        <v>2550000</v>
      </c>
      <c r="E6" s="462"/>
      <c r="F6" s="110">
        <f>+D6+E6</f>
        <v>2550000</v>
      </c>
      <c r="G6" s="110">
        <v>2549000</v>
      </c>
      <c r="H6" s="110">
        <f>+F6-G6</f>
        <v>1000</v>
      </c>
      <c r="I6" s="463">
        <v>5</v>
      </c>
      <c r="J6" s="465">
        <v>0.2</v>
      </c>
      <c r="K6" s="463">
        <v>0</v>
      </c>
      <c r="L6" s="110">
        <v>0</v>
      </c>
      <c r="M6" s="110">
        <f>+G6+L6</f>
        <v>2549000</v>
      </c>
      <c r="N6" s="110">
        <f>+F6-M6</f>
        <v>1000</v>
      </c>
      <c r="O6" s="111" t="s">
        <v>1102</v>
      </c>
      <c r="P6" s="111">
        <v>1</v>
      </c>
      <c r="Q6" s="464" t="s">
        <v>4</v>
      </c>
      <c r="R6" s="466">
        <f>+H6-L6</f>
        <v>1000</v>
      </c>
      <c r="S6" s="23">
        <f>D6*0.05</f>
        <v>127500</v>
      </c>
      <c r="T6" s="23">
        <f>N6-S6</f>
        <v>-126500</v>
      </c>
      <c r="U6" s="10">
        <f>N6-1000</f>
        <v>0</v>
      </c>
      <c r="V6" s="10">
        <f t="shared" si="0"/>
        <v>510000</v>
      </c>
      <c r="W6" s="10">
        <f>ROUND(IF(H6&lt;=1000,0,V6/12*3),0)</f>
        <v>0</v>
      </c>
      <c r="X6" s="10">
        <f t="shared" si="1"/>
        <v>0</v>
      </c>
    </row>
    <row r="7" spans="1:24" s="9" customFormat="1" ht="13.5" customHeight="1" x14ac:dyDescent="0.2">
      <c r="A7" s="292">
        <f t="shared" si="2"/>
        <v>3</v>
      </c>
      <c r="B7" s="467" t="s">
        <v>1103</v>
      </c>
      <c r="C7" s="294">
        <v>38870</v>
      </c>
      <c r="D7" s="468"/>
      <c r="E7" s="468"/>
      <c r="F7" s="287"/>
      <c r="G7" s="287"/>
      <c r="H7" s="287"/>
      <c r="I7" s="469">
        <v>5</v>
      </c>
      <c r="J7" s="470"/>
      <c r="K7" s="469"/>
      <c r="L7" s="287"/>
      <c r="M7" s="287"/>
      <c r="N7" s="287"/>
      <c r="O7" s="297" t="s">
        <v>1104</v>
      </c>
      <c r="P7" s="297">
        <v>1</v>
      </c>
      <c r="Q7" s="471" t="s">
        <v>1105</v>
      </c>
      <c r="R7" s="472">
        <f>+H7-L7</f>
        <v>0</v>
      </c>
      <c r="S7" s="290">
        <f>D7*0.05</f>
        <v>0</v>
      </c>
      <c r="T7" s="290">
        <f>N7-S7</f>
        <v>0</v>
      </c>
      <c r="U7" s="291"/>
      <c r="V7" s="291">
        <f t="shared" si="0"/>
        <v>0</v>
      </c>
      <c r="W7" s="10">
        <f>ROUND(IF(H7&lt;=1000,0,V7/12*3),0)</f>
        <v>0</v>
      </c>
      <c r="X7" s="291">
        <f t="shared" si="1"/>
        <v>0</v>
      </c>
    </row>
    <row r="8" spans="1:24" s="9" customFormat="1" ht="13.5" customHeight="1" x14ac:dyDescent="0.2">
      <c r="A8" s="292">
        <f t="shared" si="2"/>
        <v>4</v>
      </c>
      <c r="B8" s="467" t="s">
        <v>1106</v>
      </c>
      <c r="C8" s="294">
        <v>38870</v>
      </c>
      <c r="D8" s="468"/>
      <c r="E8" s="468"/>
      <c r="F8" s="287"/>
      <c r="G8" s="287"/>
      <c r="H8" s="287"/>
      <c r="I8" s="469">
        <v>5</v>
      </c>
      <c r="J8" s="470"/>
      <c r="K8" s="469"/>
      <c r="L8" s="287"/>
      <c r="M8" s="287"/>
      <c r="N8" s="287"/>
      <c r="O8" s="297" t="s">
        <v>1104</v>
      </c>
      <c r="P8" s="297">
        <v>1</v>
      </c>
      <c r="Q8" s="471" t="s">
        <v>1105</v>
      </c>
      <c r="R8" s="472">
        <f>+H8-L8</f>
        <v>0</v>
      </c>
      <c r="S8" s="290">
        <f>D8*0.05</f>
        <v>0</v>
      </c>
      <c r="T8" s="290">
        <f>N8-S8</f>
        <v>0</v>
      </c>
      <c r="U8" s="291"/>
      <c r="V8" s="291">
        <f t="shared" si="0"/>
        <v>0</v>
      </c>
      <c r="W8" s="10">
        <f>ROUND(IF(H8&lt;=1000,0,V8/12*3),0)</f>
        <v>0</v>
      </c>
      <c r="X8" s="291">
        <f t="shared" si="1"/>
        <v>0</v>
      </c>
    </row>
    <row r="9" spans="1:24" s="9" customFormat="1" ht="13.5" customHeight="1" x14ac:dyDescent="0.2">
      <c r="A9" s="473">
        <f t="shared" si="2"/>
        <v>5</v>
      </c>
      <c r="B9" s="474" t="s">
        <v>1107</v>
      </c>
      <c r="C9" s="475">
        <v>39262</v>
      </c>
      <c r="D9" s="476">
        <v>0</v>
      </c>
      <c r="E9" s="476"/>
      <c r="F9" s="477">
        <f t="shared" ref="F9:F16" si="3">+D9+E9</f>
        <v>0</v>
      </c>
      <c r="G9" s="477">
        <v>0</v>
      </c>
      <c r="H9" s="477">
        <v>0</v>
      </c>
      <c r="I9" s="478">
        <v>5</v>
      </c>
      <c r="J9" s="479">
        <v>0.2</v>
      </c>
      <c r="K9" s="478">
        <v>0</v>
      </c>
      <c r="L9" s="350">
        <v>0</v>
      </c>
      <c r="M9" s="477">
        <v>0</v>
      </c>
      <c r="N9" s="477">
        <f>+F9-M9</f>
        <v>0</v>
      </c>
      <c r="O9" s="480" t="s">
        <v>1108</v>
      </c>
      <c r="P9" s="480">
        <v>1</v>
      </c>
      <c r="Q9" s="481" t="s">
        <v>1109</v>
      </c>
      <c r="R9" s="482">
        <f>+H9-L9</f>
        <v>0</v>
      </c>
      <c r="S9" s="354">
        <v>0</v>
      </c>
      <c r="T9" s="354">
        <v>0</v>
      </c>
      <c r="U9" s="355">
        <v>0</v>
      </c>
      <c r="V9" s="355">
        <f t="shared" si="0"/>
        <v>0</v>
      </c>
      <c r="W9" s="10">
        <f>ROUND(IF(H9&lt;=1000,0,V9/12*3),0)</f>
        <v>0</v>
      </c>
      <c r="X9" s="10">
        <f t="shared" si="1"/>
        <v>0</v>
      </c>
    </row>
    <row r="10" spans="1:24" s="9" customFormat="1" ht="13.5" customHeight="1" x14ac:dyDescent="0.2">
      <c r="A10" s="473">
        <f t="shared" si="2"/>
        <v>6</v>
      </c>
      <c r="B10" s="474" t="s">
        <v>1110</v>
      </c>
      <c r="C10" s="475">
        <v>39919</v>
      </c>
      <c r="D10" s="476">
        <v>0</v>
      </c>
      <c r="E10" s="476">
        <v>0</v>
      </c>
      <c r="F10" s="477">
        <f t="shared" si="3"/>
        <v>0</v>
      </c>
      <c r="G10" s="477">
        <v>0</v>
      </c>
      <c r="H10" s="477">
        <v>0</v>
      </c>
      <c r="I10" s="478">
        <v>5</v>
      </c>
      <c r="J10" s="479">
        <v>0.2</v>
      </c>
      <c r="K10" s="478">
        <v>0</v>
      </c>
      <c r="L10" s="350">
        <v>0</v>
      </c>
      <c r="M10" s="477">
        <v>0</v>
      </c>
      <c r="N10" s="477">
        <f>+F10-M10</f>
        <v>0</v>
      </c>
      <c r="O10" s="483" t="s">
        <v>1104</v>
      </c>
      <c r="P10" s="483">
        <v>2</v>
      </c>
      <c r="Q10" s="481" t="s">
        <v>1111</v>
      </c>
      <c r="R10" s="23"/>
      <c r="S10" s="23">
        <v>0</v>
      </c>
      <c r="T10" s="23">
        <v>0</v>
      </c>
      <c r="U10" s="10">
        <v>0</v>
      </c>
      <c r="V10" s="10">
        <f t="shared" si="0"/>
        <v>0</v>
      </c>
      <c r="W10" s="10">
        <v>0</v>
      </c>
      <c r="X10" s="10">
        <f t="shared" si="1"/>
        <v>0</v>
      </c>
    </row>
    <row r="11" spans="1:24" s="9" customFormat="1" ht="13.5" customHeight="1" x14ac:dyDescent="0.2">
      <c r="A11" s="473">
        <f t="shared" si="2"/>
        <v>7</v>
      </c>
      <c r="B11" s="474" t="s">
        <v>1112</v>
      </c>
      <c r="C11" s="475">
        <v>40008</v>
      </c>
      <c r="D11" s="476">
        <v>0</v>
      </c>
      <c r="E11" s="476"/>
      <c r="F11" s="477">
        <f t="shared" si="3"/>
        <v>0</v>
      </c>
      <c r="G11" s="477">
        <v>0</v>
      </c>
      <c r="H11" s="477">
        <v>0</v>
      </c>
      <c r="I11" s="478">
        <v>5</v>
      </c>
      <c r="J11" s="479">
        <v>0.2</v>
      </c>
      <c r="K11" s="478">
        <v>0</v>
      </c>
      <c r="L11" s="477">
        <v>0</v>
      </c>
      <c r="M11" s="477">
        <v>0</v>
      </c>
      <c r="N11" s="477">
        <f>+F11-M11</f>
        <v>0</v>
      </c>
      <c r="O11" s="480" t="s">
        <v>1104</v>
      </c>
      <c r="P11" s="480">
        <v>1</v>
      </c>
      <c r="Q11" s="481" t="s">
        <v>1113</v>
      </c>
      <c r="R11" s="23"/>
      <c r="S11" s="23">
        <f>D11*0.05</f>
        <v>0</v>
      </c>
      <c r="T11" s="23">
        <f t="shared" ref="T11:T16" si="4">N11-S11</f>
        <v>0</v>
      </c>
      <c r="U11" s="10">
        <v>0</v>
      </c>
      <c r="V11" s="10">
        <f t="shared" si="0"/>
        <v>0</v>
      </c>
      <c r="W11" s="10">
        <f>ROUND(IF(H11&lt;=1000,0,V11/12*6),0)</f>
        <v>0</v>
      </c>
      <c r="X11" s="10">
        <f t="shared" si="1"/>
        <v>0</v>
      </c>
    </row>
    <row r="12" spans="1:24" s="9" customFormat="1" ht="13.5" customHeight="1" x14ac:dyDescent="0.2">
      <c r="A12" s="692">
        <f t="shared" si="2"/>
        <v>8</v>
      </c>
      <c r="B12" s="693" t="s">
        <v>1114</v>
      </c>
      <c r="C12" s="694">
        <v>40702</v>
      </c>
      <c r="D12" s="695">
        <v>0</v>
      </c>
      <c r="E12" s="695"/>
      <c r="F12" s="696">
        <f t="shared" si="3"/>
        <v>0</v>
      </c>
      <c r="G12" s="696"/>
      <c r="H12" s="696"/>
      <c r="I12" s="697">
        <v>5</v>
      </c>
      <c r="J12" s="698">
        <v>0.2</v>
      </c>
      <c r="K12" s="697">
        <v>0</v>
      </c>
      <c r="L12" s="696"/>
      <c r="M12" s="696"/>
      <c r="N12" s="696">
        <f>+F12-M12</f>
        <v>0</v>
      </c>
      <c r="O12" s="699" t="s">
        <v>1115</v>
      </c>
      <c r="P12" s="699">
        <v>1</v>
      </c>
      <c r="Q12" s="700" t="s">
        <v>2889</v>
      </c>
      <c r="R12" s="23"/>
      <c r="S12" s="23">
        <f>F12*0.05</f>
        <v>0</v>
      </c>
      <c r="T12" s="23">
        <f t="shared" si="4"/>
        <v>0</v>
      </c>
      <c r="U12" s="10">
        <f>N12-1000</f>
        <v>-1000</v>
      </c>
      <c r="V12" s="10">
        <f t="shared" si="0"/>
        <v>0</v>
      </c>
      <c r="W12" s="10">
        <f>ROUND(IF(H12&lt;=1000,0,V12/12*5),0)</f>
        <v>0</v>
      </c>
      <c r="X12" s="10">
        <f t="shared" si="1"/>
        <v>0</v>
      </c>
    </row>
    <row r="13" spans="1:24" s="9" customFormat="1" ht="13.5" customHeight="1" x14ac:dyDescent="0.2">
      <c r="A13" s="473">
        <f t="shared" si="2"/>
        <v>9</v>
      </c>
      <c r="B13" s="474" t="s">
        <v>1116</v>
      </c>
      <c r="C13" s="475">
        <v>42079</v>
      </c>
      <c r="D13" s="476">
        <v>0</v>
      </c>
      <c r="E13" s="476"/>
      <c r="F13" s="477">
        <f t="shared" si="3"/>
        <v>0</v>
      </c>
      <c r="G13" s="477">
        <v>0</v>
      </c>
      <c r="H13" s="477">
        <v>0</v>
      </c>
      <c r="I13" s="478">
        <v>5</v>
      </c>
      <c r="J13" s="479">
        <v>0.2</v>
      </c>
      <c r="K13" s="478">
        <v>12</v>
      </c>
      <c r="L13" s="477"/>
      <c r="M13" s="477">
        <v>0</v>
      </c>
      <c r="N13" s="477">
        <v>0</v>
      </c>
      <c r="O13" s="480" t="s">
        <v>1117</v>
      </c>
      <c r="P13" s="480">
        <v>1</v>
      </c>
      <c r="Q13" s="481" t="s">
        <v>1118</v>
      </c>
      <c r="R13" s="23"/>
      <c r="S13" s="23">
        <f>F13*0.05</f>
        <v>0</v>
      </c>
      <c r="T13" s="23">
        <f t="shared" si="4"/>
        <v>0</v>
      </c>
      <c r="U13" s="10">
        <f>N13</f>
        <v>0</v>
      </c>
      <c r="V13" s="10">
        <f t="shared" si="0"/>
        <v>0</v>
      </c>
      <c r="W13" s="10">
        <f>ROUND(IF(H13&lt;=1000,0,V13/12*5),0)</f>
        <v>0</v>
      </c>
      <c r="X13" s="10">
        <f t="shared" si="1"/>
        <v>0</v>
      </c>
    </row>
    <row r="14" spans="1:24" s="9" customFormat="1" ht="13.5" customHeight="1" x14ac:dyDescent="0.2">
      <c r="A14" s="473">
        <f t="shared" si="2"/>
        <v>10</v>
      </c>
      <c r="B14" s="474" t="s">
        <v>1116</v>
      </c>
      <c r="C14" s="475">
        <v>42079</v>
      </c>
      <c r="D14" s="476">
        <v>0</v>
      </c>
      <c r="E14" s="476"/>
      <c r="F14" s="477">
        <f t="shared" si="3"/>
        <v>0</v>
      </c>
      <c r="G14" s="477">
        <v>0</v>
      </c>
      <c r="H14" s="477">
        <v>0</v>
      </c>
      <c r="I14" s="478">
        <v>5</v>
      </c>
      <c r="J14" s="479">
        <v>0.2</v>
      </c>
      <c r="K14" s="478">
        <v>12</v>
      </c>
      <c r="L14" s="477"/>
      <c r="M14" s="477">
        <v>0</v>
      </c>
      <c r="N14" s="477">
        <v>0</v>
      </c>
      <c r="O14" s="480" t="s">
        <v>1117</v>
      </c>
      <c r="P14" s="480">
        <v>1</v>
      </c>
      <c r="Q14" s="481" t="s">
        <v>1118</v>
      </c>
      <c r="R14" s="23"/>
      <c r="S14" s="23">
        <f>F14*0.05</f>
        <v>0</v>
      </c>
      <c r="T14" s="23">
        <f t="shared" si="4"/>
        <v>0</v>
      </c>
      <c r="U14" s="10">
        <f>N14</f>
        <v>0</v>
      </c>
      <c r="V14" s="10">
        <f t="shared" si="0"/>
        <v>0</v>
      </c>
      <c r="W14" s="10">
        <f>ROUND(IF(H14&lt;=1000,0,V14/12*5),0)</f>
        <v>0</v>
      </c>
      <c r="X14" s="10">
        <f t="shared" si="1"/>
        <v>0</v>
      </c>
    </row>
    <row r="15" spans="1:24" s="9" customFormat="1" ht="13.5" customHeight="1" x14ac:dyDescent="0.2">
      <c r="A15" s="473">
        <v>11</v>
      </c>
      <c r="B15" s="474" t="s">
        <v>1119</v>
      </c>
      <c r="C15" s="475">
        <v>42089</v>
      </c>
      <c r="D15" s="476">
        <v>0</v>
      </c>
      <c r="E15" s="476"/>
      <c r="F15" s="477">
        <f t="shared" si="3"/>
        <v>0</v>
      </c>
      <c r="G15" s="477">
        <v>0</v>
      </c>
      <c r="H15" s="477">
        <f>+F15-G15</f>
        <v>0</v>
      </c>
      <c r="I15" s="478">
        <v>5</v>
      </c>
      <c r="J15" s="479">
        <v>0.2</v>
      </c>
      <c r="K15" s="478">
        <v>0</v>
      </c>
      <c r="L15" s="477">
        <v>0</v>
      </c>
      <c r="M15" s="477">
        <v>0</v>
      </c>
      <c r="N15" s="477">
        <v>0</v>
      </c>
      <c r="O15" s="480" t="s">
        <v>1120</v>
      </c>
      <c r="P15" s="480">
        <v>1</v>
      </c>
      <c r="Q15" s="481" t="s">
        <v>1121</v>
      </c>
      <c r="R15" s="23"/>
      <c r="S15" s="23">
        <f>F15*0.05</f>
        <v>0</v>
      </c>
      <c r="T15" s="23">
        <f t="shared" si="4"/>
        <v>0</v>
      </c>
      <c r="U15" s="10">
        <f>N15</f>
        <v>0</v>
      </c>
      <c r="V15" s="10">
        <f t="shared" si="0"/>
        <v>0</v>
      </c>
      <c r="W15" s="10">
        <f>ROUND(IF(H15&lt;=1000,0,V15/12*5),0)</f>
        <v>0</v>
      </c>
      <c r="X15" s="10">
        <f t="shared" si="1"/>
        <v>0</v>
      </c>
    </row>
    <row r="16" spans="1:24" s="9" customFormat="1" ht="13.5" customHeight="1" x14ac:dyDescent="0.2">
      <c r="A16" s="473">
        <v>12</v>
      </c>
      <c r="B16" s="474" t="s">
        <v>1122</v>
      </c>
      <c r="C16" s="475">
        <v>42137</v>
      </c>
      <c r="D16" s="476">
        <v>0</v>
      </c>
      <c r="E16" s="476"/>
      <c r="F16" s="477">
        <f t="shared" si="3"/>
        <v>0</v>
      </c>
      <c r="G16" s="477">
        <v>0</v>
      </c>
      <c r="H16" s="477">
        <v>0</v>
      </c>
      <c r="I16" s="478">
        <v>5</v>
      </c>
      <c r="J16" s="479">
        <v>0.2</v>
      </c>
      <c r="K16" s="478">
        <v>12</v>
      </c>
      <c r="L16" s="477"/>
      <c r="M16" s="477">
        <v>0</v>
      </c>
      <c r="N16" s="477">
        <v>0</v>
      </c>
      <c r="O16" s="480" t="s">
        <v>1123</v>
      </c>
      <c r="P16" s="480">
        <v>1</v>
      </c>
      <c r="Q16" s="481" t="s">
        <v>1118</v>
      </c>
      <c r="R16" s="23"/>
      <c r="S16" s="23">
        <f>F16*0.05</f>
        <v>0</v>
      </c>
      <c r="T16" s="23">
        <f t="shared" si="4"/>
        <v>0</v>
      </c>
      <c r="U16" s="10">
        <f>N16</f>
        <v>0</v>
      </c>
      <c r="V16" s="10">
        <f t="shared" si="0"/>
        <v>0</v>
      </c>
      <c r="W16" s="10">
        <f>ROUND(IF(H16&lt;=1000,0,V16/12*5),0)</f>
        <v>0</v>
      </c>
      <c r="X16" s="10">
        <f t="shared" si="1"/>
        <v>0</v>
      </c>
    </row>
    <row r="17" spans="1:24" s="9" customFormat="1" ht="13.5" customHeight="1" thickBot="1" x14ac:dyDescent="0.25">
      <c r="A17" s="107"/>
      <c r="B17" s="108"/>
      <c r="C17" s="148"/>
      <c r="D17" s="484"/>
      <c r="E17" s="484"/>
      <c r="F17" s="140"/>
      <c r="G17" s="140"/>
      <c r="H17" s="140"/>
      <c r="I17" s="485"/>
      <c r="J17" s="486"/>
      <c r="K17" s="485"/>
      <c r="L17" s="140"/>
      <c r="M17" s="140"/>
      <c r="N17" s="140"/>
      <c r="O17" s="209"/>
      <c r="P17" s="209"/>
      <c r="Q17" s="487"/>
      <c r="R17" s="23"/>
      <c r="S17" s="23"/>
      <c r="T17" s="23"/>
      <c r="U17" s="10"/>
      <c r="V17" s="10"/>
      <c r="W17" s="10"/>
      <c r="X17" s="10"/>
    </row>
    <row r="18" spans="1:24" s="9" customFormat="1" ht="13.5" customHeight="1" thickTop="1" thickBot="1" x14ac:dyDescent="0.25">
      <c r="A18" s="95"/>
      <c r="B18" s="96" t="s">
        <v>1124</v>
      </c>
      <c r="C18" s="97"/>
      <c r="D18" s="454">
        <f>ROUND(SUM(D5:D17),0)</f>
        <v>2550000</v>
      </c>
      <c r="E18" s="454">
        <f>ROUND(SUM(E5:E17),0)</f>
        <v>0</v>
      </c>
      <c r="F18" s="454">
        <f>ROUND(SUM(F5:F17),0)</f>
        <v>2550000</v>
      </c>
      <c r="G18" s="454">
        <f>ROUND(SUM(G5:G17),0)</f>
        <v>2549000</v>
      </c>
      <c r="H18" s="454">
        <f>ROUND(SUM(H5:H17),0)</f>
        <v>1000</v>
      </c>
      <c r="I18" s="454"/>
      <c r="J18" s="454"/>
      <c r="K18" s="454"/>
      <c r="L18" s="488">
        <f>ROUND(SUM(L5:L17),0)</f>
        <v>0</v>
      </c>
      <c r="M18" s="454">
        <f>ROUND(SUM(M5:M17),0)</f>
        <v>2549000</v>
      </c>
      <c r="N18" s="454">
        <f>ROUND(SUM(N5:N17),0)</f>
        <v>1000</v>
      </c>
      <c r="O18" s="456"/>
      <c r="P18" s="456"/>
      <c r="Q18" s="489"/>
      <c r="R18" s="23">
        <f>SUM(R5:R9)</f>
        <v>1000</v>
      </c>
      <c r="S18" s="1"/>
      <c r="T18" s="23"/>
      <c r="V18" s="10"/>
      <c r="W18" s="279">
        <f>SUM(W5:W17)</f>
        <v>0</v>
      </c>
      <c r="X18" s="10"/>
    </row>
    <row r="19" spans="1:24" ht="15.75" customHeight="1" x14ac:dyDescent="0.3">
      <c r="W19" s="142" t="b">
        <f>W18=L18</f>
        <v>1</v>
      </c>
    </row>
    <row r="20" spans="1:24" hidden="1" x14ac:dyDescent="0.3">
      <c r="E20" s="44" t="s">
        <v>1125</v>
      </c>
      <c r="F20" s="10" t="e">
        <f>+L7+L8+L9+L10+L11+L12+L13+L14+#REF!+L15</f>
        <v>#REF!</v>
      </c>
      <c r="G20" s="2" t="e">
        <f>+F20+'비품(D&amp;M)'!L539</f>
        <v>#REF!</v>
      </c>
    </row>
    <row r="21" spans="1:24" hidden="1" x14ac:dyDescent="0.3">
      <c r="E21" s="44" t="s">
        <v>4</v>
      </c>
      <c r="F21" s="10">
        <f>+L6</f>
        <v>0</v>
      </c>
      <c r="G21" s="2">
        <f>+F21+'비품(D&amp;M)'!L540</f>
        <v>14086398</v>
      </c>
    </row>
    <row r="22" spans="1:24" hidden="1" x14ac:dyDescent="0.3">
      <c r="K22" s="9"/>
      <c r="L22" s="10"/>
    </row>
    <row r="23" spans="1:24" x14ac:dyDescent="0.3">
      <c r="A23"/>
      <c r="K23" s="9"/>
      <c r="L23" s="10"/>
    </row>
    <row r="25" spans="1:24" x14ac:dyDescent="0.3">
      <c r="D25" s="2"/>
      <c r="E25" s="2"/>
      <c r="F25" s="2"/>
      <c r="G25" s="2"/>
      <c r="H25" s="2"/>
    </row>
    <row r="26" spans="1:24" x14ac:dyDescent="0.3">
      <c r="D26" s="2"/>
      <c r="E26" s="2"/>
      <c r="F26" s="2"/>
      <c r="G26" s="2"/>
      <c r="H26" s="2"/>
    </row>
  </sheetData>
  <mergeCells count="2">
    <mergeCell ref="B1:Q1"/>
    <mergeCell ref="S3:T3"/>
  </mergeCells>
  <phoneticPr fontId="4" type="noConversion"/>
  <pageMargins left="0.39370078740157483" right="0.23622047244094491" top="0.98425196850393715" bottom="0.98425196850393715" header="0.51181102362204722" footer="0.51181102362204722"/>
  <pageSetup paperSize="9" scale="66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"/>
  <sheetViews>
    <sheetView zoomScaleNormal="100" workbookViewId="0">
      <pane xSplit="3" ySplit="4" topLeftCell="D5" activePane="bottomRight" state="frozenSplit"/>
      <selection activeCell="H18" sqref="H18"/>
      <selection pane="topRight" activeCell="H18" sqref="H18"/>
      <selection pane="bottomLeft" activeCell="H18" sqref="H18"/>
      <selection pane="bottomRight" activeCell="H18" sqref="H18"/>
    </sheetView>
  </sheetViews>
  <sheetFormatPr defaultRowHeight="16.5" x14ac:dyDescent="0.3"/>
  <cols>
    <col min="1" max="1" width="6.140625" style="48" customWidth="1"/>
    <col min="2" max="2" width="29.28515625" style="44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44" customWidth="1"/>
    <col min="8" max="8" width="15.140625" style="44" customWidth="1"/>
    <col min="9" max="9" width="5.42578125" style="44" customWidth="1"/>
    <col min="10" max="10" width="7.42578125" style="44" customWidth="1"/>
    <col min="11" max="11" width="5.140625" style="44" customWidth="1"/>
    <col min="12" max="12" width="12.42578125" style="44" customWidth="1"/>
    <col min="13" max="13" width="15.7109375" style="44" customWidth="1"/>
    <col min="14" max="14" width="15.5703125" style="44" customWidth="1"/>
    <col min="15" max="15" width="13.85546875" style="9" customWidth="1"/>
    <col min="16" max="16" width="7.42578125" style="9" customWidth="1"/>
    <col min="17" max="17" width="10" style="44" customWidth="1"/>
    <col min="18" max="22" width="11.42578125" style="44" hidden="1" customWidth="1"/>
    <col min="23" max="23" width="13.42578125" style="44" hidden="1" customWidth="1"/>
    <col min="24" max="25" width="11.42578125" style="44" customWidth="1"/>
    <col min="26" max="26" width="12" style="44" customWidth="1"/>
    <col min="27" max="16384" width="9.140625" style="44"/>
  </cols>
  <sheetData>
    <row r="1" spans="1:26" ht="31.5" x14ac:dyDescent="0.55000000000000004">
      <c r="B1" s="847" t="s">
        <v>3097</v>
      </c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</row>
    <row r="3" spans="1:26" s="9" customFormat="1" ht="13.5" customHeight="1" thickBot="1" x14ac:dyDescent="0.25">
      <c r="A3" s="9" t="s">
        <v>1126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9" t="s">
        <v>82</v>
      </c>
      <c r="S3" s="848"/>
      <c r="T3" s="848"/>
    </row>
    <row r="4" spans="1:26" s="9" customFormat="1" ht="13.5" customHeight="1" thickBot="1" x14ac:dyDescent="0.25">
      <c r="A4" s="50" t="s">
        <v>44</v>
      </c>
      <c r="B4" s="460" t="s">
        <v>1127</v>
      </c>
      <c r="C4" s="52" t="s">
        <v>84</v>
      </c>
      <c r="D4" s="53" t="s">
        <v>85</v>
      </c>
      <c r="E4" s="53" t="s">
        <v>86</v>
      </c>
      <c r="F4" s="53" t="s">
        <v>87</v>
      </c>
      <c r="G4" s="53" t="s">
        <v>28</v>
      </c>
      <c r="H4" s="53" t="s">
        <v>1128</v>
      </c>
      <c r="I4" s="53" t="s">
        <v>51</v>
      </c>
      <c r="J4" s="53" t="s">
        <v>89</v>
      </c>
      <c r="K4" s="53" t="s">
        <v>90</v>
      </c>
      <c r="L4" s="53" t="s">
        <v>91</v>
      </c>
      <c r="M4" s="53" t="s">
        <v>92</v>
      </c>
      <c r="N4" s="53" t="s">
        <v>93</v>
      </c>
      <c r="O4" s="54" t="s">
        <v>94</v>
      </c>
      <c r="P4" s="54" t="s">
        <v>95</v>
      </c>
      <c r="Q4" s="55" t="s">
        <v>1129</v>
      </c>
      <c r="R4" s="45" t="s">
        <v>199</v>
      </c>
      <c r="S4" s="45" t="s">
        <v>200</v>
      </c>
      <c r="T4" s="9" t="s">
        <v>99</v>
      </c>
      <c r="U4" s="10" t="s">
        <v>100</v>
      </c>
      <c r="V4" s="10" t="s">
        <v>1130</v>
      </c>
      <c r="W4" s="9" t="s">
        <v>102</v>
      </c>
    </row>
    <row r="5" spans="1:26" s="9" customFormat="1" ht="13.5" customHeight="1" thickTop="1" x14ac:dyDescent="0.2">
      <c r="A5" s="64">
        <v>1</v>
      </c>
      <c r="B5" s="461" t="s">
        <v>1131</v>
      </c>
      <c r="C5" s="163">
        <v>37711</v>
      </c>
      <c r="D5" s="175"/>
      <c r="E5" s="175"/>
      <c r="F5" s="67"/>
      <c r="G5" s="67"/>
      <c r="H5" s="67"/>
      <c r="I5" s="68"/>
      <c r="J5" s="68"/>
      <c r="K5" s="68"/>
      <c r="L5" s="67"/>
      <c r="M5" s="67"/>
      <c r="N5" s="67"/>
      <c r="O5" s="111" t="s">
        <v>1132</v>
      </c>
      <c r="P5" s="111">
        <v>1</v>
      </c>
      <c r="Q5" s="464"/>
      <c r="R5" s="23"/>
      <c r="S5" s="23"/>
      <c r="T5" s="23"/>
    </row>
    <row r="6" spans="1:26" s="9" customFormat="1" ht="13.5" customHeight="1" x14ac:dyDescent="0.2">
      <c r="A6" s="292">
        <v>2</v>
      </c>
      <c r="B6" s="467" t="s">
        <v>1133</v>
      </c>
      <c r="C6" s="329" t="s">
        <v>1134</v>
      </c>
      <c r="D6" s="310">
        <f>42970330-42970330</f>
        <v>0</v>
      </c>
      <c r="E6" s="310"/>
      <c r="F6" s="295"/>
      <c r="G6" s="295"/>
      <c r="H6" s="295"/>
      <c r="I6" s="296"/>
      <c r="J6" s="296"/>
      <c r="K6" s="296"/>
      <c r="L6" s="295"/>
      <c r="M6" s="295"/>
      <c r="N6" s="295"/>
      <c r="O6" s="297" t="s">
        <v>1104</v>
      </c>
      <c r="P6" s="297">
        <v>1</v>
      </c>
      <c r="Q6" s="471" t="s">
        <v>403</v>
      </c>
      <c r="R6" s="23"/>
      <c r="S6" s="23"/>
      <c r="T6" s="23"/>
    </row>
    <row r="7" spans="1:26" s="9" customFormat="1" ht="13.5" customHeight="1" x14ac:dyDescent="0.2">
      <c r="A7" s="292">
        <v>3</v>
      </c>
      <c r="B7" s="467" t="s">
        <v>1135</v>
      </c>
      <c r="C7" s="294">
        <v>38870</v>
      </c>
      <c r="D7" s="310">
        <f>45092450-45092450</f>
        <v>0</v>
      </c>
      <c r="E7" s="310"/>
      <c r="F7" s="295"/>
      <c r="G7" s="295"/>
      <c r="H7" s="295"/>
      <c r="I7" s="296"/>
      <c r="J7" s="296"/>
      <c r="K7" s="296"/>
      <c r="L7" s="295"/>
      <c r="M7" s="295"/>
      <c r="N7" s="295"/>
      <c r="O7" s="297" t="s">
        <v>1136</v>
      </c>
      <c r="P7" s="297">
        <v>1</v>
      </c>
      <c r="Q7" s="471" t="s">
        <v>1137</v>
      </c>
      <c r="R7" s="23"/>
      <c r="S7" s="23"/>
      <c r="T7" s="23"/>
    </row>
    <row r="8" spans="1:26" s="9" customFormat="1" ht="13.5" customHeight="1" x14ac:dyDescent="0.2">
      <c r="A8" s="345">
        <v>4</v>
      </c>
      <c r="B8" s="474" t="s">
        <v>1116</v>
      </c>
      <c r="C8" s="475">
        <v>42088</v>
      </c>
      <c r="D8" s="476"/>
      <c r="E8" s="476"/>
      <c r="F8" s="349">
        <f>+D8+E8</f>
        <v>0</v>
      </c>
      <c r="G8" s="349"/>
      <c r="H8" s="349">
        <v>0</v>
      </c>
      <c r="I8" s="478">
        <v>5</v>
      </c>
      <c r="J8" s="479">
        <v>0.2</v>
      </c>
      <c r="K8" s="478">
        <v>12</v>
      </c>
      <c r="L8" s="349"/>
      <c r="M8" s="349">
        <v>0</v>
      </c>
      <c r="N8" s="349">
        <v>0</v>
      </c>
      <c r="O8" s="480" t="s">
        <v>1117</v>
      </c>
      <c r="P8" s="480">
        <v>1</v>
      </c>
      <c r="Q8" s="481" t="s">
        <v>1118</v>
      </c>
      <c r="R8" s="23">
        <f>F8*0.05</f>
        <v>0</v>
      </c>
      <c r="S8" s="23">
        <f>N8-R8</f>
        <v>0</v>
      </c>
      <c r="T8" s="23">
        <v>0</v>
      </c>
      <c r="U8" s="10">
        <f>F8/5</f>
        <v>0</v>
      </c>
      <c r="V8" s="10"/>
      <c r="W8" s="47">
        <f>L8-V8</f>
        <v>0</v>
      </c>
      <c r="X8" s="23"/>
      <c r="Y8" s="23"/>
      <c r="Z8" s="10"/>
    </row>
    <row r="9" spans="1:26" s="9" customFormat="1" ht="13.5" customHeight="1" thickBot="1" x14ac:dyDescent="0.25">
      <c r="A9" s="107"/>
      <c r="B9" s="490"/>
      <c r="C9" s="72"/>
      <c r="D9" s="372"/>
      <c r="E9" s="372"/>
      <c r="F9" s="73">
        <f>+D9+E9</f>
        <v>0</v>
      </c>
      <c r="G9" s="73"/>
      <c r="H9" s="73">
        <f>+F9-G9</f>
        <v>0</v>
      </c>
      <c r="I9" s="74"/>
      <c r="J9" s="74"/>
      <c r="K9" s="74"/>
      <c r="L9" s="73">
        <f>(((H9*J9)/12)*K9)*9/12</f>
        <v>0</v>
      </c>
      <c r="M9" s="73">
        <f>+G9+L9</f>
        <v>0</v>
      </c>
      <c r="N9" s="73">
        <f>+F9-M9</f>
        <v>0</v>
      </c>
      <c r="O9" s="75"/>
      <c r="P9" s="75"/>
      <c r="Q9" s="487"/>
      <c r="R9" s="23"/>
      <c r="S9" s="23"/>
      <c r="T9" s="23"/>
    </row>
    <row r="10" spans="1:26" s="9" customFormat="1" ht="13.5" customHeight="1" thickTop="1" thickBot="1" x14ac:dyDescent="0.25">
      <c r="A10" s="95"/>
      <c r="B10" s="491" t="s">
        <v>1138</v>
      </c>
      <c r="C10" s="97"/>
      <c r="D10" s="453">
        <f>ROUND(SUM(D5:D9),0)</f>
        <v>0</v>
      </c>
      <c r="E10" s="453">
        <f>ROUND(SUM(E5:E9),0)</f>
        <v>0</v>
      </c>
      <c r="F10" s="453">
        <f>ROUND(SUM(F5:F9),0)</f>
        <v>0</v>
      </c>
      <c r="G10" s="453">
        <f>ROUND(SUM(G5:G9),0)</f>
        <v>0</v>
      </c>
      <c r="H10" s="453">
        <f>ROUND(SUM(H5:H9),0)</f>
        <v>0</v>
      </c>
      <c r="I10" s="453"/>
      <c r="J10" s="453"/>
      <c r="K10" s="453"/>
      <c r="L10" s="455">
        <f>ROUND(SUM(L5:L9),0)</f>
        <v>0</v>
      </c>
      <c r="M10" s="453">
        <f>ROUND(SUM(M5:M9),0)</f>
        <v>0</v>
      </c>
      <c r="N10" s="453">
        <f>ROUND(SUM(N5:N9),0)</f>
        <v>0</v>
      </c>
      <c r="O10" s="492"/>
      <c r="P10" s="492"/>
      <c r="Q10" s="489"/>
      <c r="R10" s="23"/>
      <c r="S10" s="23"/>
      <c r="T10" s="23"/>
      <c r="V10" s="10">
        <f>SUM(V5:V9)</f>
        <v>0</v>
      </c>
    </row>
    <row r="11" spans="1:26" x14ac:dyDescent="0.3">
      <c r="V11" s="44" t="b">
        <f>V10=L10</f>
        <v>1</v>
      </c>
    </row>
    <row r="12" spans="1:26" x14ac:dyDescent="0.3">
      <c r="L12" s="2"/>
    </row>
    <row r="13" spans="1:26" x14ac:dyDescent="0.3">
      <c r="H13" s="44" t="s">
        <v>893</v>
      </c>
    </row>
    <row r="14" spans="1:26" x14ac:dyDescent="0.3">
      <c r="L14" s="493"/>
    </row>
  </sheetData>
  <mergeCells count="2">
    <mergeCell ref="B1:Q1"/>
    <mergeCell ref="S3:T3"/>
  </mergeCells>
  <phoneticPr fontId="4" type="noConversion"/>
  <pageMargins left="0.4" right="0.23999999999999996" top="1" bottom="1" header="0.5" footer="0.5"/>
  <pageSetup paperSize="9" scale="67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47"/>
  <sheetViews>
    <sheetView zoomScaleNormal="100" workbookViewId="0">
      <pane xSplit="4" ySplit="4" topLeftCell="E423" activePane="bottomRight" state="frozenSplit"/>
      <selection activeCell="H18" sqref="H18"/>
      <selection pane="topRight" activeCell="H18" sqref="H18"/>
      <selection pane="bottomLeft" activeCell="H18" sqref="H18"/>
      <selection pane="bottomRight" activeCell="H18" sqref="H18"/>
    </sheetView>
  </sheetViews>
  <sheetFormatPr defaultRowHeight="16.5" x14ac:dyDescent="0.3"/>
  <cols>
    <col min="1" max="1" width="6.140625" style="48" customWidth="1"/>
    <col min="2" max="2" width="30.7109375" style="160" customWidth="1"/>
    <col min="3" max="3" width="12.5703125" style="44" customWidth="1"/>
    <col min="4" max="4" width="13.85546875" style="44" customWidth="1"/>
    <col min="5" max="5" width="13.85546875" style="142" customWidth="1"/>
    <col min="6" max="6" width="13.85546875" style="44" customWidth="1"/>
    <col min="7" max="7" width="16.42578125" style="44" customWidth="1"/>
    <col min="8" max="8" width="15.140625" style="44" customWidth="1"/>
    <col min="9" max="9" width="5.140625" style="44" customWidth="1"/>
    <col min="10" max="10" width="7.42578125" style="44" customWidth="1"/>
    <col min="11" max="11" width="5.140625" style="44" customWidth="1"/>
    <col min="12" max="12" width="13.5703125" style="142" customWidth="1"/>
    <col min="13" max="14" width="16.42578125" style="44" customWidth="1"/>
    <col min="15" max="15" width="15.7109375" style="9" customWidth="1"/>
    <col min="16" max="16" width="7.42578125" style="9" customWidth="1"/>
    <col min="17" max="17" width="10" style="44" customWidth="1"/>
    <col min="18" max="18" width="10.28515625" style="44" hidden="1" customWidth="1"/>
    <col min="19" max="19" width="9.7109375" style="44" hidden="1" customWidth="1"/>
    <col min="20" max="20" width="10.5703125" style="44" hidden="1" customWidth="1"/>
    <col min="21" max="22" width="11.42578125" style="44" hidden="1" customWidth="1"/>
    <col min="23" max="23" width="12.28515625" style="142" hidden="1" customWidth="1"/>
    <col min="24" max="25" width="11.42578125" style="44" hidden="1" customWidth="1"/>
    <col min="26" max="27" width="11.42578125" style="44" customWidth="1"/>
    <col min="28" max="16384" width="9.140625" style="44"/>
  </cols>
  <sheetData>
    <row r="1" spans="1:24" ht="31.5" x14ac:dyDescent="0.55000000000000004">
      <c r="B1" s="847" t="s">
        <v>3098</v>
      </c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</row>
    <row r="3" spans="1:24" s="9" customFormat="1" ht="13.5" customHeight="1" thickBot="1" x14ac:dyDescent="0.25">
      <c r="A3" s="9" t="s">
        <v>81</v>
      </c>
      <c r="B3" s="161"/>
      <c r="C3" s="45"/>
      <c r="D3" s="45"/>
      <c r="E3" s="125"/>
      <c r="F3" s="45"/>
      <c r="G3" s="45"/>
      <c r="H3" s="45"/>
      <c r="I3" s="45"/>
      <c r="J3" s="45"/>
      <c r="K3" s="45"/>
      <c r="L3" s="125"/>
      <c r="M3" s="45"/>
      <c r="N3" s="45"/>
      <c r="O3" s="45"/>
      <c r="P3" s="45"/>
      <c r="Q3" s="49" t="s">
        <v>82</v>
      </c>
      <c r="S3" s="848"/>
      <c r="T3" s="848"/>
      <c r="W3" s="10"/>
    </row>
    <row r="4" spans="1:24" s="9" customFormat="1" ht="13.5" customHeight="1" thickBot="1" x14ac:dyDescent="0.25">
      <c r="A4" s="50" t="s">
        <v>44</v>
      </c>
      <c r="B4" s="55" t="s">
        <v>1139</v>
      </c>
      <c r="C4" s="52" t="s">
        <v>84</v>
      </c>
      <c r="D4" s="53" t="s">
        <v>1140</v>
      </c>
      <c r="E4" s="135" t="s">
        <v>86</v>
      </c>
      <c r="F4" s="53" t="s">
        <v>1141</v>
      </c>
      <c r="G4" s="53" t="s">
        <v>28</v>
      </c>
      <c r="H4" s="53" t="s">
        <v>88</v>
      </c>
      <c r="I4" s="53" t="s">
        <v>51</v>
      </c>
      <c r="J4" s="53" t="s">
        <v>89</v>
      </c>
      <c r="K4" s="53" t="s">
        <v>90</v>
      </c>
      <c r="L4" s="135" t="s">
        <v>91</v>
      </c>
      <c r="M4" s="494" t="s">
        <v>92</v>
      </c>
      <c r="N4" s="494" t="s">
        <v>93</v>
      </c>
      <c r="O4" s="54" t="s">
        <v>1142</v>
      </c>
      <c r="P4" s="54" t="s">
        <v>95</v>
      </c>
      <c r="Q4" s="55" t="s">
        <v>59</v>
      </c>
      <c r="R4" s="9" t="s">
        <v>96</v>
      </c>
      <c r="S4" s="45" t="s">
        <v>199</v>
      </c>
      <c r="T4" s="45" t="s">
        <v>200</v>
      </c>
      <c r="U4" s="9" t="s">
        <v>99</v>
      </c>
      <c r="V4" s="9" t="s">
        <v>1143</v>
      </c>
      <c r="W4" s="10" t="s">
        <v>180</v>
      </c>
      <c r="X4" s="9" t="s">
        <v>102</v>
      </c>
    </row>
    <row r="5" spans="1:24" s="9" customFormat="1" ht="13.5" customHeight="1" thickTop="1" x14ac:dyDescent="0.2">
      <c r="A5" s="64">
        <v>1</v>
      </c>
      <c r="B5" s="495" t="s">
        <v>1144</v>
      </c>
      <c r="C5" s="163">
        <v>36668</v>
      </c>
      <c r="D5" s="175">
        <v>170000</v>
      </c>
      <c r="E5" s="462"/>
      <c r="F5" s="67">
        <f t="shared" ref="F5:F68" si="0">+D5+E5</f>
        <v>170000</v>
      </c>
      <c r="G5" s="67">
        <v>169000</v>
      </c>
      <c r="H5" s="67">
        <f t="shared" ref="H5:H34" si="1">+F5-G5</f>
        <v>1000</v>
      </c>
      <c r="I5" s="68">
        <v>5</v>
      </c>
      <c r="J5" s="68">
        <v>0.2</v>
      </c>
      <c r="K5" s="68">
        <v>0</v>
      </c>
      <c r="L5" s="110"/>
      <c r="M5" s="67">
        <f t="shared" ref="M5:M34" si="2">+G5+L5</f>
        <v>169000</v>
      </c>
      <c r="N5" s="67">
        <f t="shared" ref="N5:N68" si="3">+F5-M5</f>
        <v>1000</v>
      </c>
      <c r="O5" s="111"/>
      <c r="P5" s="496"/>
      <c r="Q5" s="464"/>
      <c r="R5" s="23"/>
      <c r="S5" s="23">
        <f t="shared" ref="S5:S68" si="4">D5*0.05</f>
        <v>8500</v>
      </c>
      <c r="T5" s="23">
        <f t="shared" ref="T5:T68" si="5">N5-S5</f>
        <v>-7500</v>
      </c>
      <c r="U5" s="23">
        <f t="shared" ref="U5:U68" si="6">N5-1000</f>
        <v>0</v>
      </c>
      <c r="V5" s="10">
        <f t="shared" ref="V5:V68" si="7">F5/I5</f>
        <v>34000</v>
      </c>
      <c r="W5" s="10">
        <f t="shared" ref="W5:W68" si="8">ROUND(IF(H5&lt;=1000,0,V5/12*3),0)</f>
        <v>0</v>
      </c>
      <c r="X5" s="10">
        <f t="shared" ref="X5:X68" si="9">L5-W5</f>
        <v>0</v>
      </c>
    </row>
    <row r="6" spans="1:24" s="9" customFormat="1" ht="13.5" customHeight="1" x14ac:dyDescent="0.2">
      <c r="A6" s="64">
        <f t="shared" ref="A6:A69" si="10">+A5+1</f>
        <v>2</v>
      </c>
      <c r="B6" s="495" t="s">
        <v>1145</v>
      </c>
      <c r="C6" s="163">
        <v>36677</v>
      </c>
      <c r="D6" s="175">
        <v>650000</v>
      </c>
      <c r="E6" s="462"/>
      <c r="F6" s="67">
        <f t="shared" si="0"/>
        <v>650000</v>
      </c>
      <c r="G6" s="67">
        <v>649000</v>
      </c>
      <c r="H6" s="67">
        <f t="shared" si="1"/>
        <v>1000</v>
      </c>
      <c r="I6" s="68">
        <v>5</v>
      </c>
      <c r="J6" s="68">
        <v>0.2</v>
      </c>
      <c r="K6" s="68">
        <v>0</v>
      </c>
      <c r="L6" s="110"/>
      <c r="M6" s="67">
        <f t="shared" si="2"/>
        <v>649000</v>
      </c>
      <c r="N6" s="67">
        <f t="shared" si="3"/>
        <v>1000</v>
      </c>
      <c r="O6" s="111"/>
      <c r="P6" s="111"/>
      <c r="Q6" s="464"/>
      <c r="R6" s="23"/>
      <c r="S6" s="23">
        <f t="shared" si="4"/>
        <v>32500</v>
      </c>
      <c r="T6" s="23">
        <f t="shared" si="5"/>
        <v>-31500</v>
      </c>
      <c r="U6" s="23">
        <f t="shared" si="6"/>
        <v>0</v>
      </c>
      <c r="V6" s="10">
        <f t="shared" si="7"/>
        <v>130000</v>
      </c>
      <c r="W6" s="10">
        <f t="shared" si="8"/>
        <v>0</v>
      </c>
      <c r="X6" s="10">
        <f t="shared" si="9"/>
        <v>0</v>
      </c>
    </row>
    <row r="7" spans="1:24" s="9" customFormat="1" ht="13.5" customHeight="1" x14ac:dyDescent="0.2">
      <c r="A7" s="64">
        <f t="shared" si="10"/>
        <v>3</v>
      </c>
      <c r="B7" s="495" t="s">
        <v>1146</v>
      </c>
      <c r="C7" s="163">
        <v>36727</v>
      </c>
      <c r="D7" s="175">
        <v>5000000</v>
      </c>
      <c r="E7" s="462"/>
      <c r="F7" s="67">
        <f t="shared" si="0"/>
        <v>5000000</v>
      </c>
      <c r="G7" s="67">
        <v>4999000</v>
      </c>
      <c r="H7" s="67">
        <f t="shared" si="1"/>
        <v>1000</v>
      </c>
      <c r="I7" s="68">
        <v>5</v>
      </c>
      <c r="J7" s="68">
        <v>0.2</v>
      </c>
      <c r="K7" s="68">
        <v>0</v>
      </c>
      <c r="L7" s="110"/>
      <c r="M7" s="67">
        <f t="shared" si="2"/>
        <v>4999000</v>
      </c>
      <c r="N7" s="67">
        <f t="shared" si="3"/>
        <v>1000</v>
      </c>
      <c r="O7" s="111"/>
      <c r="P7" s="111"/>
      <c r="Q7" s="464"/>
      <c r="R7" s="23">
        <f t="shared" ref="R7:R70" si="11">+N7*J7</f>
        <v>200</v>
      </c>
      <c r="S7" s="23">
        <f t="shared" si="4"/>
        <v>250000</v>
      </c>
      <c r="T7" s="23">
        <f t="shared" si="5"/>
        <v>-249000</v>
      </c>
      <c r="U7" s="23">
        <f t="shared" si="6"/>
        <v>0</v>
      </c>
      <c r="V7" s="10">
        <f t="shared" si="7"/>
        <v>1000000</v>
      </c>
      <c r="W7" s="10">
        <f t="shared" si="8"/>
        <v>0</v>
      </c>
      <c r="X7" s="10">
        <f t="shared" si="9"/>
        <v>0</v>
      </c>
    </row>
    <row r="8" spans="1:24" s="9" customFormat="1" ht="13.5" customHeight="1" x14ac:dyDescent="0.2">
      <c r="A8" s="754">
        <f t="shared" si="10"/>
        <v>4</v>
      </c>
      <c r="B8" s="772" t="s">
        <v>1147</v>
      </c>
      <c r="C8" s="756">
        <v>36777</v>
      </c>
      <c r="D8" s="769">
        <v>0</v>
      </c>
      <c r="E8" s="770"/>
      <c r="F8" s="757">
        <f t="shared" si="0"/>
        <v>0</v>
      </c>
      <c r="G8" s="757"/>
      <c r="H8" s="757"/>
      <c r="I8" s="759">
        <v>5</v>
      </c>
      <c r="J8" s="759">
        <v>0.2</v>
      </c>
      <c r="K8" s="759">
        <v>0</v>
      </c>
      <c r="L8" s="758"/>
      <c r="M8" s="757"/>
      <c r="N8" s="757"/>
      <c r="O8" s="760" t="s">
        <v>221</v>
      </c>
      <c r="P8" s="760"/>
      <c r="Q8" s="771" t="s">
        <v>2942</v>
      </c>
      <c r="R8" s="23">
        <f t="shared" si="11"/>
        <v>0</v>
      </c>
      <c r="S8" s="23">
        <f t="shared" si="4"/>
        <v>0</v>
      </c>
      <c r="T8" s="23">
        <f t="shared" si="5"/>
        <v>0</v>
      </c>
      <c r="U8" s="23">
        <f t="shared" si="6"/>
        <v>-1000</v>
      </c>
      <c r="V8" s="10">
        <f t="shared" si="7"/>
        <v>0</v>
      </c>
      <c r="W8" s="10">
        <f t="shared" si="8"/>
        <v>0</v>
      </c>
      <c r="X8" s="10">
        <f t="shared" si="9"/>
        <v>0</v>
      </c>
    </row>
    <row r="9" spans="1:24" s="9" customFormat="1" ht="13.5" customHeight="1" x14ac:dyDescent="0.2">
      <c r="A9" s="64">
        <f t="shared" si="10"/>
        <v>5</v>
      </c>
      <c r="B9" s="495" t="s">
        <v>1148</v>
      </c>
      <c r="C9" s="163">
        <v>36983</v>
      </c>
      <c r="D9" s="175">
        <v>1060000</v>
      </c>
      <c r="E9" s="462"/>
      <c r="F9" s="67">
        <f t="shared" si="0"/>
        <v>1060000</v>
      </c>
      <c r="G9" s="67">
        <v>1059000</v>
      </c>
      <c r="H9" s="67">
        <f t="shared" si="1"/>
        <v>1000</v>
      </c>
      <c r="I9" s="68">
        <v>5</v>
      </c>
      <c r="J9" s="68">
        <v>0.2</v>
      </c>
      <c r="K9" s="68">
        <v>0</v>
      </c>
      <c r="L9" s="110"/>
      <c r="M9" s="67">
        <f t="shared" si="2"/>
        <v>1059000</v>
      </c>
      <c r="N9" s="67">
        <f t="shared" si="3"/>
        <v>1000</v>
      </c>
      <c r="O9" s="111"/>
      <c r="P9" s="111"/>
      <c r="Q9" s="464"/>
      <c r="R9" s="23">
        <f t="shared" si="11"/>
        <v>200</v>
      </c>
      <c r="S9" s="23">
        <f t="shared" si="4"/>
        <v>53000</v>
      </c>
      <c r="T9" s="23">
        <f t="shared" si="5"/>
        <v>-52000</v>
      </c>
      <c r="U9" s="23">
        <f t="shared" si="6"/>
        <v>0</v>
      </c>
      <c r="V9" s="10">
        <f t="shared" si="7"/>
        <v>212000</v>
      </c>
      <c r="W9" s="10">
        <f t="shared" si="8"/>
        <v>0</v>
      </c>
      <c r="X9" s="10">
        <f t="shared" si="9"/>
        <v>0</v>
      </c>
    </row>
    <row r="10" spans="1:24" s="9" customFormat="1" ht="13.5" customHeight="1" x14ac:dyDescent="0.2">
      <c r="A10" s="64">
        <f t="shared" si="10"/>
        <v>6</v>
      </c>
      <c r="B10" s="495" t="s">
        <v>1149</v>
      </c>
      <c r="C10" s="163">
        <v>36988</v>
      </c>
      <c r="D10" s="175">
        <v>2200000</v>
      </c>
      <c r="E10" s="462"/>
      <c r="F10" s="67">
        <f t="shared" si="0"/>
        <v>2200000</v>
      </c>
      <c r="G10" s="67">
        <v>2199000</v>
      </c>
      <c r="H10" s="67">
        <f t="shared" si="1"/>
        <v>1000</v>
      </c>
      <c r="I10" s="68">
        <v>5</v>
      </c>
      <c r="J10" s="68">
        <v>0.2</v>
      </c>
      <c r="K10" s="68">
        <v>0</v>
      </c>
      <c r="L10" s="110"/>
      <c r="M10" s="67">
        <f t="shared" si="2"/>
        <v>2199000</v>
      </c>
      <c r="N10" s="67">
        <f t="shared" si="3"/>
        <v>1000</v>
      </c>
      <c r="O10" s="111"/>
      <c r="P10" s="111"/>
      <c r="Q10" s="464"/>
      <c r="R10" s="23">
        <f t="shared" si="11"/>
        <v>200</v>
      </c>
      <c r="S10" s="23">
        <f t="shared" si="4"/>
        <v>110000</v>
      </c>
      <c r="T10" s="23">
        <f t="shared" si="5"/>
        <v>-109000</v>
      </c>
      <c r="U10" s="23">
        <f t="shared" si="6"/>
        <v>0</v>
      </c>
      <c r="V10" s="10">
        <f t="shared" si="7"/>
        <v>440000</v>
      </c>
      <c r="W10" s="10">
        <f t="shared" si="8"/>
        <v>0</v>
      </c>
      <c r="X10" s="10">
        <f t="shared" si="9"/>
        <v>0</v>
      </c>
    </row>
    <row r="11" spans="1:24" s="9" customFormat="1" ht="13.5" customHeight="1" x14ac:dyDescent="0.2">
      <c r="A11" s="64">
        <f t="shared" si="10"/>
        <v>7</v>
      </c>
      <c r="B11" s="495" t="s">
        <v>1150</v>
      </c>
      <c r="C11" s="163">
        <v>37000</v>
      </c>
      <c r="D11" s="175">
        <v>2000000</v>
      </c>
      <c r="E11" s="462"/>
      <c r="F11" s="67">
        <f t="shared" si="0"/>
        <v>2000000</v>
      </c>
      <c r="G11" s="67">
        <v>1999000</v>
      </c>
      <c r="H11" s="67">
        <f t="shared" si="1"/>
        <v>1000</v>
      </c>
      <c r="I11" s="68">
        <v>5</v>
      </c>
      <c r="J11" s="68">
        <v>0.2</v>
      </c>
      <c r="K11" s="68">
        <v>0</v>
      </c>
      <c r="L11" s="110"/>
      <c r="M11" s="67">
        <f t="shared" si="2"/>
        <v>1999000</v>
      </c>
      <c r="N11" s="67">
        <f t="shared" si="3"/>
        <v>1000</v>
      </c>
      <c r="O11" s="111"/>
      <c r="P11" s="111"/>
      <c r="Q11" s="464"/>
      <c r="R11" s="23">
        <f t="shared" si="11"/>
        <v>200</v>
      </c>
      <c r="S11" s="23">
        <f t="shared" si="4"/>
        <v>100000</v>
      </c>
      <c r="T11" s="23">
        <f t="shared" si="5"/>
        <v>-99000</v>
      </c>
      <c r="U11" s="23">
        <f t="shared" si="6"/>
        <v>0</v>
      </c>
      <c r="V11" s="10">
        <f t="shared" si="7"/>
        <v>400000</v>
      </c>
      <c r="W11" s="10">
        <f t="shared" si="8"/>
        <v>0</v>
      </c>
      <c r="X11" s="10">
        <f t="shared" si="9"/>
        <v>0</v>
      </c>
    </row>
    <row r="12" spans="1:24" s="9" customFormat="1" ht="13.5" customHeight="1" x14ac:dyDescent="0.2">
      <c r="A12" s="64">
        <f t="shared" si="10"/>
        <v>8</v>
      </c>
      <c r="B12" s="495" t="s">
        <v>742</v>
      </c>
      <c r="C12" s="163">
        <v>37014</v>
      </c>
      <c r="D12" s="175">
        <v>4410000</v>
      </c>
      <c r="E12" s="462"/>
      <c r="F12" s="67">
        <f t="shared" si="0"/>
        <v>4410000</v>
      </c>
      <c r="G12" s="67">
        <v>4409000</v>
      </c>
      <c r="H12" s="67">
        <f t="shared" si="1"/>
        <v>1000</v>
      </c>
      <c r="I12" s="68">
        <v>5</v>
      </c>
      <c r="J12" s="68">
        <v>0.2</v>
      </c>
      <c r="K12" s="68">
        <v>0</v>
      </c>
      <c r="L12" s="110"/>
      <c r="M12" s="67">
        <f t="shared" si="2"/>
        <v>4409000</v>
      </c>
      <c r="N12" s="67">
        <f t="shared" si="3"/>
        <v>1000</v>
      </c>
      <c r="O12" s="111"/>
      <c r="P12" s="111"/>
      <c r="Q12" s="464"/>
      <c r="R12" s="23">
        <f t="shared" si="11"/>
        <v>200</v>
      </c>
      <c r="S12" s="23">
        <f t="shared" si="4"/>
        <v>220500</v>
      </c>
      <c r="T12" s="23">
        <f t="shared" si="5"/>
        <v>-219500</v>
      </c>
      <c r="U12" s="23">
        <f t="shared" si="6"/>
        <v>0</v>
      </c>
      <c r="V12" s="10">
        <f t="shared" si="7"/>
        <v>882000</v>
      </c>
      <c r="W12" s="10">
        <f t="shared" si="8"/>
        <v>0</v>
      </c>
      <c r="X12" s="10">
        <f t="shared" si="9"/>
        <v>0</v>
      </c>
    </row>
    <row r="13" spans="1:24" s="9" customFormat="1" ht="13.5" customHeight="1" x14ac:dyDescent="0.2">
      <c r="A13" s="64">
        <f t="shared" si="10"/>
        <v>9</v>
      </c>
      <c r="B13" s="495" t="s">
        <v>1151</v>
      </c>
      <c r="C13" s="163">
        <v>37019</v>
      </c>
      <c r="D13" s="175">
        <v>3150000</v>
      </c>
      <c r="E13" s="462"/>
      <c r="F13" s="67">
        <f t="shared" si="0"/>
        <v>3150000</v>
      </c>
      <c r="G13" s="67">
        <v>3149000</v>
      </c>
      <c r="H13" s="67">
        <f t="shared" si="1"/>
        <v>1000</v>
      </c>
      <c r="I13" s="68">
        <v>5</v>
      </c>
      <c r="J13" s="68">
        <v>0.2</v>
      </c>
      <c r="K13" s="68">
        <v>0</v>
      </c>
      <c r="L13" s="110"/>
      <c r="M13" s="67">
        <f t="shared" si="2"/>
        <v>3149000</v>
      </c>
      <c r="N13" s="67">
        <f t="shared" si="3"/>
        <v>1000</v>
      </c>
      <c r="O13" s="111"/>
      <c r="P13" s="111"/>
      <c r="Q13" s="300"/>
      <c r="R13" s="23">
        <f t="shared" si="11"/>
        <v>200</v>
      </c>
      <c r="S13" s="23">
        <f t="shared" si="4"/>
        <v>157500</v>
      </c>
      <c r="T13" s="23">
        <f t="shared" si="5"/>
        <v>-156500</v>
      </c>
      <c r="U13" s="23">
        <f t="shared" si="6"/>
        <v>0</v>
      </c>
      <c r="V13" s="10">
        <f t="shared" si="7"/>
        <v>630000</v>
      </c>
      <c r="W13" s="10">
        <f t="shared" si="8"/>
        <v>0</v>
      </c>
      <c r="X13" s="10">
        <f t="shared" si="9"/>
        <v>0</v>
      </c>
    </row>
    <row r="14" spans="1:24" s="9" customFormat="1" ht="13.5" customHeight="1" x14ac:dyDescent="0.2">
      <c r="A14" s="64">
        <f t="shared" si="10"/>
        <v>10</v>
      </c>
      <c r="B14" s="495" t="s">
        <v>229</v>
      </c>
      <c r="C14" s="163">
        <v>37042</v>
      </c>
      <c r="D14" s="175">
        <v>1000000</v>
      </c>
      <c r="E14" s="462"/>
      <c r="F14" s="67">
        <f t="shared" si="0"/>
        <v>1000000</v>
      </c>
      <c r="G14" s="67">
        <v>999000</v>
      </c>
      <c r="H14" s="67">
        <f t="shared" si="1"/>
        <v>1000</v>
      </c>
      <c r="I14" s="68">
        <v>5</v>
      </c>
      <c r="J14" s="68">
        <v>0.2</v>
      </c>
      <c r="K14" s="68">
        <v>0</v>
      </c>
      <c r="L14" s="110"/>
      <c r="M14" s="67">
        <f t="shared" si="2"/>
        <v>999000</v>
      </c>
      <c r="N14" s="67">
        <f t="shared" si="3"/>
        <v>1000</v>
      </c>
      <c r="O14" s="111"/>
      <c r="P14" s="111"/>
      <c r="Q14" s="464"/>
      <c r="R14" s="23">
        <f t="shared" si="11"/>
        <v>200</v>
      </c>
      <c r="S14" s="23">
        <f t="shared" si="4"/>
        <v>50000</v>
      </c>
      <c r="T14" s="23">
        <f t="shared" si="5"/>
        <v>-49000</v>
      </c>
      <c r="U14" s="23">
        <f t="shared" si="6"/>
        <v>0</v>
      </c>
      <c r="V14" s="10">
        <f t="shared" si="7"/>
        <v>200000</v>
      </c>
      <c r="W14" s="10">
        <f t="shared" si="8"/>
        <v>0</v>
      </c>
      <c r="X14" s="10">
        <f t="shared" si="9"/>
        <v>0</v>
      </c>
    </row>
    <row r="15" spans="1:24" s="9" customFormat="1" ht="13.5" customHeight="1" x14ac:dyDescent="0.2">
      <c r="A15" s="64">
        <f t="shared" si="10"/>
        <v>11</v>
      </c>
      <c r="B15" s="495" t="s">
        <v>1152</v>
      </c>
      <c r="C15" s="163">
        <v>37049</v>
      </c>
      <c r="D15" s="175">
        <v>4944800</v>
      </c>
      <c r="E15" s="462"/>
      <c r="F15" s="67">
        <f t="shared" si="0"/>
        <v>4944800</v>
      </c>
      <c r="G15" s="67">
        <v>4943800</v>
      </c>
      <c r="H15" s="67">
        <f t="shared" si="1"/>
        <v>1000</v>
      </c>
      <c r="I15" s="68">
        <v>5</v>
      </c>
      <c r="J15" s="68">
        <v>0.2</v>
      </c>
      <c r="K15" s="68">
        <v>0</v>
      </c>
      <c r="L15" s="110"/>
      <c r="M15" s="67">
        <f t="shared" si="2"/>
        <v>4943800</v>
      </c>
      <c r="N15" s="67">
        <f t="shared" si="3"/>
        <v>1000</v>
      </c>
      <c r="O15" s="111"/>
      <c r="P15" s="111"/>
      <c r="Q15" s="464"/>
      <c r="R15" s="23">
        <f t="shared" si="11"/>
        <v>200</v>
      </c>
      <c r="S15" s="23">
        <f t="shared" si="4"/>
        <v>247240</v>
      </c>
      <c r="T15" s="23">
        <f t="shared" si="5"/>
        <v>-246240</v>
      </c>
      <c r="U15" s="23">
        <f t="shared" si="6"/>
        <v>0</v>
      </c>
      <c r="V15" s="10">
        <f t="shared" si="7"/>
        <v>988960</v>
      </c>
      <c r="W15" s="10">
        <f t="shared" si="8"/>
        <v>0</v>
      </c>
      <c r="X15" s="10">
        <f t="shared" si="9"/>
        <v>0</v>
      </c>
    </row>
    <row r="16" spans="1:24" s="9" customFormat="1" ht="13.5" customHeight="1" x14ac:dyDescent="0.2">
      <c r="A16" s="64">
        <f t="shared" si="10"/>
        <v>12</v>
      </c>
      <c r="B16" s="495" t="s">
        <v>1153</v>
      </c>
      <c r="C16" s="163">
        <v>37068</v>
      </c>
      <c r="D16" s="175">
        <v>1100000</v>
      </c>
      <c r="E16" s="462"/>
      <c r="F16" s="67">
        <f t="shared" si="0"/>
        <v>1100000</v>
      </c>
      <c r="G16" s="67">
        <v>1099000</v>
      </c>
      <c r="H16" s="67">
        <f t="shared" si="1"/>
        <v>1000</v>
      </c>
      <c r="I16" s="68">
        <v>5</v>
      </c>
      <c r="J16" s="68">
        <v>0.2</v>
      </c>
      <c r="K16" s="68">
        <v>0</v>
      </c>
      <c r="L16" s="110"/>
      <c r="M16" s="67">
        <f t="shared" si="2"/>
        <v>1099000</v>
      </c>
      <c r="N16" s="67">
        <f t="shared" si="3"/>
        <v>1000</v>
      </c>
      <c r="O16" s="111"/>
      <c r="P16" s="111"/>
      <c r="Q16" s="464"/>
      <c r="R16" s="23">
        <f t="shared" si="11"/>
        <v>200</v>
      </c>
      <c r="S16" s="23">
        <f t="shared" si="4"/>
        <v>55000</v>
      </c>
      <c r="T16" s="23">
        <f t="shared" si="5"/>
        <v>-54000</v>
      </c>
      <c r="U16" s="23">
        <f t="shared" si="6"/>
        <v>0</v>
      </c>
      <c r="V16" s="10">
        <f t="shared" si="7"/>
        <v>220000</v>
      </c>
      <c r="W16" s="10">
        <f t="shared" si="8"/>
        <v>0</v>
      </c>
      <c r="X16" s="10">
        <f t="shared" si="9"/>
        <v>0</v>
      </c>
    </row>
    <row r="17" spans="1:24" s="9" customFormat="1" ht="13.5" customHeight="1" x14ac:dyDescent="0.2">
      <c r="A17" s="64">
        <f t="shared" si="10"/>
        <v>13</v>
      </c>
      <c r="B17" s="495" t="s">
        <v>1154</v>
      </c>
      <c r="C17" s="163">
        <v>37125</v>
      </c>
      <c r="D17" s="175">
        <v>250000</v>
      </c>
      <c r="E17" s="462"/>
      <c r="F17" s="67">
        <f t="shared" si="0"/>
        <v>250000</v>
      </c>
      <c r="G17" s="67">
        <v>249000</v>
      </c>
      <c r="H17" s="67">
        <f t="shared" si="1"/>
        <v>1000</v>
      </c>
      <c r="I17" s="68">
        <v>5</v>
      </c>
      <c r="J17" s="68">
        <v>0.2</v>
      </c>
      <c r="K17" s="68">
        <v>0</v>
      </c>
      <c r="L17" s="110"/>
      <c r="M17" s="67">
        <f t="shared" si="2"/>
        <v>249000</v>
      </c>
      <c r="N17" s="67">
        <f t="shared" si="3"/>
        <v>1000</v>
      </c>
      <c r="O17" s="111"/>
      <c r="P17" s="111"/>
      <c r="Q17" s="464"/>
      <c r="R17" s="23">
        <f t="shared" si="11"/>
        <v>200</v>
      </c>
      <c r="S17" s="23">
        <f t="shared" si="4"/>
        <v>12500</v>
      </c>
      <c r="T17" s="23">
        <f t="shared" si="5"/>
        <v>-11500</v>
      </c>
      <c r="U17" s="23">
        <f t="shared" si="6"/>
        <v>0</v>
      </c>
      <c r="V17" s="10">
        <f t="shared" si="7"/>
        <v>50000</v>
      </c>
      <c r="W17" s="10">
        <f t="shared" si="8"/>
        <v>0</v>
      </c>
      <c r="X17" s="10">
        <f t="shared" si="9"/>
        <v>0</v>
      </c>
    </row>
    <row r="18" spans="1:24" s="9" customFormat="1" ht="13.5" customHeight="1" x14ac:dyDescent="0.2">
      <c r="A18" s="64">
        <f t="shared" si="10"/>
        <v>14</v>
      </c>
      <c r="B18" s="495" t="s">
        <v>1155</v>
      </c>
      <c r="C18" s="163">
        <v>37132</v>
      </c>
      <c r="D18" s="175">
        <v>1200000</v>
      </c>
      <c r="E18" s="462"/>
      <c r="F18" s="67">
        <f t="shared" si="0"/>
        <v>1200000</v>
      </c>
      <c r="G18" s="67">
        <v>1199000</v>
      </c>
      <c r="H18" s="67">
        <f t="shared" si="1"/>
        <v>1000</v>
      </c>
      <c r="I18" s="68">
        <v>5</v>
      </c>
      <c r="J18" s="68">
        <v>0.2</v>
      </c>
      <c r="K18" s="68">
        <v>0</v>
      </c>
      <c r="L18" s="110"/>
      <c r="M18" s="67">
        <f t="shared" si="2"/>
        <v>1199000</v>
      </c>
      <c r="N18" s="67">
        <f t="shared" si="3"/>
        <v>1000</v>
      </c>
      <c r="O18" s="111"/>
      <c r="P18" s="111"/>
      <c r="Q18" s="464"/>
      <c r="R18" s="23">
        <f t="shared" si="11"/>
        <v>200</v>
      </c>
      <c r="S18" s="23">
        <f t="shared" si="4"/>
        <v>60000</v>
      </c>
      <c r="T18" s="23">
        <f t="shared" si="5"/>
        <v>-59000</v>
      </c>
      <c r="U18" s="23">
        <f t="shared" si="6"/>
        <v>0</v>
      </c>
      <c r="V18" s="10">
        <f t="shared" si="7"/>
        <v>240000</v>
      </c>
      <c r="W18" s="10">
        <f t="shared" si="8"/>
        <v>0</v>
      </c>
      <c r="X18" s="10">
        <f t="shared" si="9"/>
        <v>0</v>
      </c>
    </row>
    <row r="19" spans="1:24" s="9" customFormat="1" ht="13.5" customHeight="1" x14ac:dyDescent="0.2">
      <c r="A19" s="64">
        <f t="shared" si="10"/>
        <v>15</v>
      </c>
      <c r="B19" s="495" t="s">
        <v>1155</v>
      </c>
      <c r="C19" s="163">
        <v>37132</v>
      </c>
      <c r="D19" s="175">
        <v>300000</v>
      </c>
      <c r="E19" s="462"/>
      <c r="F19" s="67">
        <f t="shared" si="0"/>
        <v>300000</v>
      </c>
      <c r="G19" s="67">
        <v>299000</v>
      </c>
      <c r="H19" s="67">
        <f t="shared" si="1"/>
        <v>1000</v>
      </c>
      <c r="I19" s="68">
        <v>5</v>
      </c>
      <c r="J19" s="68">
        <v>0.2</v>
      </c>
      <c r="K19" s="68">
        <v>0</v>
      </c>
      <c r="L19" s="110"/>
      <c r="M19" s="67">
        <f t="shared" si="2"/>
        <v>299000</v>
      </c>
      <c r="N19" s="67">
        <f t="shared" si="3"/>
        <v>1000</v>
      </c>
      <c r="O19" s="111"/>
      <c r="P19" s="111"/>
      <c r="Q19" s="464"/>
      <c r="R19" s="23">
        <f t="shared" si="11"/>
        <v>200</v>
      </c>
      <c r="S19" s="23">
        <f t="shared" si="4"/>
        <v>15000</v>
      </c>
      <c r="T19" s="23">
        <f t="shared" si="5"/>
        <v>-14000</v>
      </c>
      <c r="U19" s="23">
        <f t="shared" si="6"/>
        <v>0</v>
      </c>
      <c r="V19" s="10">
        <f t="shared" si="7"/>
        <v>60000</v>
      </c>
      <c r="W19" s="10">
        <f t="shared" si="8"/>
        <v>0</v>
      </c>
      <c r="X19" s="10">
        <f t="shared" si="9"/>
        <v>0</v>
      </c>
    </row>
    <row r="20" spans="1:24" s="9" customFormat="1" ht="13.5" customHeight="1" x14ac:dyDescent="0.2">
      <c r="A20" s="64">
        <f t="shared" si="10"/>
        <v>16</v>
      </c>
      <c r="B20" s="495" t="s">
        <v>1155</v>
      </c>
      <c r="C20" s="163">
        <v>37132</v>
      </c>
      <c r="D20" s="175">
        <v>2300000</v>
      </c>
      <c r="E20" s="462"/>
      <c r="F20" s="67">
        <f t="shared" si="0"/>
        <v>2300000</v>
      </c>
      <c r="G20" s="67">
        <v>2299000</v>
      </c>
      <c r="H20" s="67">
        <f t="shared" si="1"/>
        <v>1000</v>
      </c>
      <c r="I20" s="68">
        <v>5</v>
      </c>
      <c r="J20" s="68">
        <v>0.2</v>
      </c>
      <c r="K20" s="68">
        <v>0</v>
      </c>
      <c r="L20" s="110"/>
      <c r="M20" s="67">
        <f t="shared" si="2"/>
        <v>2299000</v>
      </c>
      <c r="N20" s="67">
        <f t="shared" si="3"/>
        <v>1000</v>
      </c>
      <c r="O20" s="111"/>
      <c r="P20" s="111"/>
      <c r="Q20" s="464"/>
      <c r="R20" s="23">
        <f t="shared" si="11"/>
        <v>200</v>
      </c>
      <c r="S20" s="23">
        <f t="shared" si="4"/>
        <v>115000</v>
      </c>
      <c r="T20" s="23">
        <f t="shared" si="5"/>
        <v>-114000</v>
      </c>
      <c r="U20" s="23">
        <f t="shared" si="6"/>
        <v>0</v>
      </c>
      <c r="V20" s="10">
        <f t="shared" si="7"/>
        <v>460000</v>
      </c>
      <c r="W20" s="10">
        <f t="shared" si="8"/>
        <v>0</v>
      </c>
      <c r="X20" s="10">
        <f t="shared" si="9"/>
        <v>0</v>
      </c>
    </row>
    <row r="21" spans="1:24" s="9" customFormat="1" ht="13.5" customHeight="1" x14ac:dyDescent="0.2">
      <c r="A21" s="64">
        <f t="shared" si="10"/>
        <v>17</v>
      </c>
      <c r="B21" s="495" t="s">
        <v>1156</v>
      </c>
      <c r="C21" s="163">
        <v>37176</v>
      </c>
      <c r="D21" s="175">
        <v>160000</v>
      </c>
      <c r="E21" s="462"/>
      <c r="F21" s="67">
        <f t="shared" si="0"/>
        <v>160000</v>
      </c>
      <c r="G21" s="67">
        <v>159000</v>
      </c>
      <c r="H21" s="67">
        <f t="shared" si="1"/>
        <v>1000</v>
      </c>
      <c r="I21" s="68">
        <v>5</v>
      </c>
      <c r="J21" s="68">
        <v>0.2</v>
      </c>
      <c r="K21" s="68">
        <v>0</v>
      </c>
      <c r="L21" s="110"/>
      <c r="M21" s="67">
        <f t="shared" si="2"/>
        <v>159000</v>
      </c>
      <c r="N21" s="67">
        <f t="shared" si="3"/>
        <v>1000</v>
      </c>
      <c r="O21" s="111"/>
      <c r="P21" s="111"/>
      <c r="Q21" s="464"/>
      <c r="R21" s="23">
        <f t="shared" si="11"/>
        <v>200</v>
      </c>
      <c r="S21" s="23">
        <f t="shared" si="4"/>
        <v>8000</v>
      </c>
      <c r="T21" s="23">
        <f t="shared" si="5"/>
        <v>-7000</v>
      </c>
      <c r="U21" s="23">
        <f t="shared" si="6"/>
        <v>0</v>
      </c>
      <c r="V21" s="10">
        <f t="shared" si="7"/>
        <v>32000</v>
      </c>
      <c r="W21" s="10">
        <f t="shared" si="8"/>
        <v>0</v>
      </c>
      <c r="X21" s="10">
        <f t="shared" si="9"/>
        <v>0</v>
      </c>
    </row>
    <row r="22" spans="1:24" s="9" customFormat="1" ht="13.5" customHeight="1" x14ac:dyDescent="0.2">
      <c r="A22" s="64">
        <f t="shared" si="10"/>
        <v>18</v>
      </c>
      <c r="B22" s="495" t="s">
        <v>1157</v>
      </c>
      <c r="C22" s="163">
        <v>37195</v>
      </c>
      <c r="D22" s="175">
        <v>3500000</v>
      </c>
      <c r="E22" s="462"/>
      <c r="F22" s="67">
        <f t="shared" si="0"/>
        <v>3500000</v>
      </c>
      <c r="G22" s="67">
        <v>3499000</v>
      </c>
      <c r="H22" s="67">
        <f t="shared" si="1"/>
        <v>1000</v>
      </c>
      <c r="I22" s="68">
        <v>5</v>
      </c>
      <c r="J22" s="68">
        <v>0.2</v>
      </c>
      <c r="K22" s="68">
        <v>0</v>
      </c>
      <c r="L22" s="110"/>
      <c r="M22" s="67">
        <f t="shared" si="2"/>
        <v>3499000</v>
      </c>
      <c r="N22" s="67">
        <f t="shared" si="3"/>
        <v>1000</v>
      </c>
      <c r="O22" s="111"/>
      <c r="P22" s="111"/>
      <c r="Q22" s="464"/>
      <c r="R22" s="23">
        <f t="shared" si="11"/>
        <v>200</v>
      </c>
      <c r="S22" s="23">
        <f t="shared" si="4"/>
        <v>175000</v>
      </c>
      <c r="T22" s="23">
        <f t="shared" si="5"/>
        <v>-174000</v>
      </c>
      <c r="U22" s="23">
        <f t="shared" si="6"/>
        <v>0</v>
      </c>
      <c r="V22" s="10">
        <f t="shared" si="7"/>
        <v>700000</v>
      </c>
      <c r="W22" s="10">
        <f t="shared" si="8"/>
        <v>0</v>
      </c>
      <c r="X22" s="10">
        <f t="shared" si="9"/>
        <v>0</v>
      </c>
    </row>
    <row r="23" spans="1:24" s="9" customFormat="1" ht="13.5" customHeight="1" x14ac:dyDescent="0.2">
      <c r="A23" s="64">
        <f t="shared" si="10"/>
        <v>19</v>
      </c>
      <c r="B23" s="495" t="s">
        <v>1158</v>
      </c>
      <c r="C23" s="163">
        <v>37217</v>
      </c>
      <c r="D23" s="175">
        <v>2000000</v>
      </c>
      <c r="E23" s="462"/>
      <c r="F23" s="67">
        <f t="shared" si="0"/>
        <v>2000000</v>
      </c>
      <c r="G23" s="67">
        <v>1999000</v>
      </c>
      <c r="H23" s="67">
        <f t="shared" si="1"/>
        <v>1000</v>
      </c>
      <c r="I23" s="68">
        <v>5</v>
      </c>
      <c r="J23" s="68">
        <v>0.2</v>
      </c>
      <c r="K23" s="68">
        <v>0</v>
      </c>
      <c r="L23" s="110"/>
      <c r="M23" s="67">
        <f t="shared" si="2"/>
        <v>1999000</v>
      </c>
      <c r="N23" s="67">
        <f t="shared" si="3"/>
        <v>1000</v>
      </c>
      <c r="O23" s="111"/>
      <c r="P23" s="111"/>
      <c r="Q23" s="464"/>
      <c r="R23" s="23">
        <f t="shared" si="11"/>
        <v>200</v>
      </c>
      <c r="S23" s="23">
        <f t="shared" si="4"/>
        <v>100000</v>
      </c>
      <c r="T23" s="23">
        <f t="shared" si="5"/>
        <v>-99000</v>
      </c>
      <c r="U23" s="23">
        <f t="shared" si="6"/>
        <v>0</v>
      </c>
      <c r="V23" s="10">
        <f t="shared" si="7"/>
        <v>400000</v>
      </c>
      <c r="W23" s="10">
        <f t="shared" si="8"/>
        <v>0</v>
      </c>
      <c r="X23" s="10">
        <f t="shared" si="9"/>
        <v>0</v>
      </c>
    </row>
    <row r="24" spans="1:24" s="9" customFormat="1" ht="13.5" customHeight="1" x14ac:dyDescent="0.2">
      <c r="A24" s="64">
        <f t="shared" si="10"/>
        <v>20</v>
      </c>
      <c r="B24" s="495" t="s">
        <v>1159</v>
      </c>
      <c r="C24" s="163">
        <v>37221</v>
      </c>
      <c r="D24" s="175">
        <v>800000</v>
      </c>
      <c r="E24" s="462"/>
      <c r="F24" s="67">
        <f t="shared" si="0"/>
        <v>800000</v>
      </c>
      <c r="G24" s="67">
        <v>799000</v>
      </c>
      <c r="H24" s="67">
        <f t="shared" si="1"/>
        <v>1000</v>
      </c>
      <c r="I24" s="68">
        <v>5</v>
      </c>
      <c r="J24" s="68">
        <v>0.2</v>
      </c>
      <c r="K24" s="68">
        <v>0</v>
      </c>
      <c r="L24" s="110"/>
      <c r="M24" s="67">
        <f t="shared" si="2"/>
        <v>799000</v>
      </c>
      <c r="N24" s="67">
        <f t="shared" si="3"/>
        <v>1000</v>
      </c>
      <c r="O24" s="111"/>
      <c r="P24" s="111"/>
      <c r="Q24" s="464"/>
      <c r="R24" s="23">
        <f t="shared" si="11"/>
        <v>200</v>
      </c>
      <c r="S24" s="23">
        <f t="shared" si="4"/>
        <v>40000</v>
      </c>
      <c r="T24" s="23">
        <f t="shared" si="5"/>
        <v>-39000</v>
      </c>
      <c r="U24" s="23">
        <f t="shared" si="6"/>
        <v>0</v>
      </c>
      <c r="V24" s="10">
        <f t="shared" si="7"/>
        <v>160000</v>
      </c>
      <c r="W24" s="10">
        <f t="shared" si="8"/>
        <v>0</v>
      </c>
      <c r="X24" s="10">
        <f t="shared" si="9"/>
        <v>0</v>
      </c>
    </row>
    <row r="25" spans="1:24" s="9" customFormat="1" ht="13.5" customHeight="1" x14ac:dyDescent="0.2">
      <c r="A25" s="64">
        <f t="shared" si="10"/>
        <v>21</v>
      </c>
      <c r="B25" s="495" t="s">
        <v>1160</v>
      </c>
      <c r="C25" s="163">
        <v>37225</v>
      </c>
      <c r="D25" s="175">
        <v>7500000</v>
      </c>
      <c r="E25" s="462"/>
      <c r="F25" s="67">
        <f t="shared" si="0"/>
        <v>7500000</v>
      </c>
      <c r="G25" s="67">
        <v>7499000</v>
      </c>
      <c r="H25" s="67">
        <f t="shared" si="1"/>
        <v>1000</v>
      </c>
      <c r="I25" s="68">
        <v>5</v>
      </c>
      <c r="J25" s="68">
        <v>0.2</v>
      </c>
      <c r="K25" s="68">
        <v>0</v>
      </c>
      <c r="L25" s="110"/>
      <c r="M25" s="67">
        <f t="shared" si="2"/>
        <v>7499000</v>
      </c>
      <c r="N25" s="67">
        <f t="shared" si="3"/>
        <v>1000</v>
      </c>
      <c r="O25" s="111"/>
      <c r="P25" s="111"/>
      <c r="Q25" s="464"/>
      <c r="R25" s="23">
        <f t="shared" si="11"/>
        <v>200</v>
      </c>
      <c r="S25" s="23">
        <f t="shared" si="4"/>
        <v>375000</v>
      </c>
      <c r="T25" s="23">
        <f t="shared" si="5"/>
        <v>-374000</v>
      </c>
      <c r="U25" s="23">
        <f t="shared" si="6"/>
        <v>0</v>
      </c>
      <c r="V25" s="10">
        <f t="shared" si="7"/>
        <v>1500000</v>
      </c>
      <c r="W25" s="10">
        <f t="shared" si="8"/>
        <v>0</v>
      </c>
      <c r="X25" s="10">
        <f t="shared" si="9"/>
        <v>0</v>
      </c>
    </row>
    <row r="26" spans="1:24" s="9" customFormat="1" ht="13.5" customHeight="1" x14ac:dyDescent="0.2">
      <c r="A26" s="64">
        <f t="shared" si="10"/>
        <v>22</v>
      </c>
      <c r="B26" s="495" t="s">
        <v>1161</v>
      </c>
      <c r="C26" s="163">
        <v>37256</v>
      </c>
      <c r="D26" s="175">
        <v>2600000</v>
      </c>
      <c r="E26" s="462"/>
      <c r="F26" s="67">
        <f t="shared" si="0"/>
        <v>2600000</v>
      </c>
      <c r="G26" s="67">
        <v>2599000</v>
      </c>
      <c r="H26" s="67">
        <f t="shared" si="1"/>
        <v>1000</v>
      </c>
      <c r="I26" s="68">
        <v>5</v>
      </c>
      <c r="J26" s="68">
        <v>0.2</v>
      </c>
      <c r="K26" s="68">
        <v>0</v>
      </c>
      <c r="L26" s="110"/>
      <c r="M26" s="67">
        <f t="shared" si="2"/>
        <v>2599000</v>
      </c>
      <c r="N26" s="67">
        <f t="shared" si="3"/>
        <v>1000</v>
      </c>
      <c r="O26" s="111"/>
      <c r="P26" s="111"/>
      <c r="Q26" s="464"/>
      <c r="R26" s="23">
        <f t="shared" si="11"/>
        <v>200</v>
      </c>
      <c r="S26" s="23">
        <f t="shared" si="4"/>
        <v>130000</v>
      </c>
      <c r="T26" s="23">
        <f t="shared" si="5"/>
        <v>-129000</v>
      </c>
      <c r="U26" s="23">
        <f t="shared" si="6"/>
        <v>0</v>
      </c>
      <c r="V26" s="10">
        <f t="shared" si="7"/>
        <v>520000</v>
      </c>
      <c r="W26" s="10">
        <f t="shared" si="8"/>
        <v>0</v>
      </c>
      <c r="X26" s="10">
        <f t="shared" si="9"/>
        <v>0</v>
      </c>
    </row>
    <row r="27" spans="1:24" s="9" customFormat="1" ht="13.5" customHeight="1" x14ac:dyDescent="0.2">
      <c r="A27" s="64">
        <f t="shared" si="10"/>
        <v>23</v>
      </c>
      <c r="B27" s="495" t="s">
        <v>1162</v>
      </c>
      <c r="C27" s="163">
        <v>37315</v>
      </c>
      <c r="D27" s="175">
        <v>7500000</v>
      </c>
      <c r="E27" s="462"/>
      <c r="F27" s="67">
        <f t="shared" si="0"/>
        <v>7500000</v>
      </c>
      <c r="G27" s="67">
        <v>7499000</v>
      </c>
      <c r="H27" s="67">
        <f t="shared" si="1"/>
        <v>1000</v>
      </c>
      <c r="I27" s="68">
        <v>5</v>
      </c>
      <c r="J27" s="68">
        <v>0.2</v>
      </c>
      <c r="K27" s="68">
        <v>0</v>
      </c>
      <c r="L27" s="110"/>
      <c r="M27" s="67">
        <f t="shared" si="2"/>
        <v>7499000</v>
      </c>
      <c r="N27" s="67">
        <f t="shared" si="3"/>
        <v>1000</v>
      </c>
      <c r="O27" s="111" t="s">
        <v>1163</v>
      </c>
      <c r="P27" s="68">
        <v>1</v>
      </c>
      <c r="Q27" s="497"/>
      <c r="R27" s="23">
        <f t="shared" si="11"/>
        <v>200</v>
      </c>
      <c r="S27" s="23">
        <f t="shared" si="4"/>
        <v>375000</v>
      </c>
      <c r="T27" s="23">
        <f t="shared" si="5"/>
        <v>-374000</v>
      </c>
      <c r="U27" s="23">
        <f t="shared" si="6"/>
        <v>0</v>
      </c>
      <c r="V27" s="10">
        <f t="shared" si="7"/>
        <v>1500000</v>
      </c>
      <c r="W27" s="10">
        <f t="shared" si="8"/>
        <v>0</v>
      </c>
      <c r="X27" s="10">
        <f t="shared" si="9"/>
        <v>0</v>
      </c>
    </row>
    <row r="28" spans="1:24" s="9" customFormat="1" ht="13.5" customHeight="1" x14ac:dyDescent="0.2">
      <c r="A28" s="64">
        <f t="shared" si="10"/>
        <v>24</v>
      </c>
      <c r="B28" s="495" t="s">
        <v>1164</v>
      </c>
      <c r="C28" s="163">
        <v>37315</v>
      </c>
      <c r="D28" s="175">
        <v>7500000</v>
      </c>
      <c r="E28" s="462"/>
      <c r="F28" s="67">
        <f t="shared" si="0"/>
        <v>7500000</v>
      </c>
      <c r="G28" s="67">
        <v>7499000</v>
      </c>
      <c r="H28" s="67">
        <f t="shared" si="1"/>
        <v>1000</v>
      </c>
      <c r="I28" s="68">
        <v>5</v>
      </c>
      <c r="J28" s="68">
        <v>0.2</v>
      </c>
      <c r="K28" s="68">
        <v>0</v>
      </c>
      <c r="L28" s="110"/>
      <c r="M28" s="67">
        <f t="shared" si="2"/>
        <v>7499000</v>
      </c>
      <c r="N28" s="67">
        <f t="shared" si="3"/>
        <v>1000</v>
      </c>
      <c r="O28" s="111" t="s">
        <v>1163</v>
      </c>
      <c r="P28" s="68">
        <v>1</v>
      </c>
      <c r="Q28" s="497"/>
      <c r="R28" s="23">
        <f t="shared" si="11"/>
        <v>200</v>
      </c>
      <c r="S28" s="23">
        <f t="shared" si="4"/>
        <v>375000</v>
      </c>
      <c r="T28" s="23">
        <f t="shared" si="5"/>
        <v>-374000</v>
      </c>
      <c r="U28" s="23">
        <f t="shared" si="6"/>
        <v>0</v>
      </c>
      <c r="V28" s="10">
        <f t="shared" si="7"/>
        <v>1500000</v>
      </c>
      <c r="W28" s="10">
        <f t="shared" si="8"/>
        <v>0</v>
      </c>
      <c r="X28" s="10">
        <f t="shared" si="9"/>
        <v>0</v>
      </c>
    </row>
    <row r="29" spans="1:24" s="9" customFormat="1" ht="13.5" customHeight="1" x14ac:dyDescent="0.2">
      <c r="A29" s="64">
        <f t="shared" si="10"/>
        <v>25</v>
      </c>
      <c r="B29" s="495" t="s">
        <v>1165</v>
      </c>
      <c r="C29" s="163">
        <v>37335</v>
      </c>
      <c r="D29" s="175">
        <v>11000000</v>
      </c>
      <c r="E29" s="462"/>
      <c r="F29" s="67">
        <f t="shared" si="0"/>
        <v>11000000</v>
      </c>
      <c r="G29" s="67">
        <v>10999000</v>
      </c>
      <c r="H29" s="67">
        <f t="shared" si="1"/>
        <v>1000</v>
      </c>
      <c r="I29" s="68">
        <v>5</v>
      </c>
      <c r="J29" s="68">
        <v>0.2</v>
      </c>
      <c r="K29" s="68">
        <v>0</v>
      </c>
      <c r="L29" s="110"/>
      <c r="M29" s="67">
        <f t="shared" si="2"/>
        <v>10999000</v>
      </c>
      <c r="N29" s="67">
        <f t="shared" si="3"/>
        <v>1000</v>
      </c>
      <c r="O29" s="111" t="s">
        <v>1166</v>
      </c>
      <c r="P29" s="111">
        <v>1</v>
      </c>
      <c r="Q29" s="464"/>
      <c r="R29" s="23">
        <f t="shared" si="11"/>
        <v>200</v>
      </c>
      <c r="S29" s="23">
        <f t="shared" si="4"/>
        <v>550000</v>
      </c>
      <c r="T29" s="23">
        <f t="shared" si="5"/>
        <v>-549000</v>
      </c>
      <c r="U29" s="23">
        <f t="shared" si="6"/>
        <v>0</v>
      </c>
      <c r="V29" s="10">
        <f t="shared" si="7"/>
        <v>2200000</v>
      </c>
      <c r="W29" s="10">
        <f t="shared" si="8"/>
        <v>0</v>
      </c>
      <c r="X29" s="10">
        <f t="shared" si="9"/>
        <v>0</v>
      </c>
    </row>
    <row r="30" spans="1:24" s="9" customFormat="1" ht="13.5" customHeight="1" x14ac:dyDescent="0.2">
      <c r="A30" s="64">
        <f t="shared" si="10"/>
        <v>26</v>
      </c>
      <c r="B30" s="495" t="s">
        <v>1167</v>
      </c>
      <c r="C30" s="163">
        <v>37346</v>
      </c>
      <c r="D30" s="175">
        <v>7000000</v>
      </c>
      <c r="E30" s="462"/>
      <c r="F30" s="67">
        <f t="shared" si="0"/>
        <v>7000000</v>
      </c>
      <c r="G30" s="67">
        <v>6999000</v>
      </c>
      <c r="H30" s="67">
        <f t="shared" si="1"/>
        <v>1000</v>
      </c>
      <c r="I30" s="68">
        <v>5</v>
      </c>
      <c r="J30" s="68">
        <v>0.2</v>
      </c>
      <c r="K30" s="68">
        <v>0</v>
      </c>
      <c r="L30" s="110"/>
      <c r="M30" s="67">
        <f t="shared" si="2"/>
        <v>6999000</v>
      </c>
      <c r="N30" s="67">
        <f t="shared" si="3"/>
        <v>1000</v>
      </c>
      <c r="O30" s="498" t="s">
        <v>1168</v>
      </c>
      <c r="P30" s="111">
        <v>1</v>
      </c>
      <c r="Q30" s="464"/>
      <c r="R30" s="23">
        <f t="shared" si="11"/>
        <v>200</v>
      </c>
      <c r="S30" s="23">
        <f t="shared" si="4"/>
        <v>350000</v>
      </c>
      <c r="T30" s="23">
        <f t="shared" si="5"/>
        <v>-349000</v>
      </c>
      <c r="U30" s="23">
        <f t="shared" si="6"/>
        <v>0</v>
      </c>
      <c r="V30" s="10">
        <f t="shared" si="7"/>
        <v>1400000</v>
      </c>
      <c r="W30" s="10">
        <f t="shared" si="8"/>
        <v>0</v>
      </c>
      <c r="X30" s="10">
        <f t="shared" si="9"/>
        <v>0</v>
      </c>
    </row>
    <row r="31" spans="1:24" s="9" customFormat="1" ht="13.5" customHeight="1" x14ac:dyDescent="0.2">
      <c r="A31" s="64">
        <f t="shared" si="10"/>
        <v>27</v>
      </c>
      <c r="B31" s="495" t="s">
        <v>1169</v>
      </c>
      <c r="C31" s="163">
        <v>37347</v>
      </c>
      <c r="D31" s="175">
        <v>1100000</v>
      </c>
      <c r="E31" s="462"/>
      <c r="F31" s="67">
        <f t="shared" si="0"/>
        <v>1100000</v>
      </c>
      <c r="G31" s="67">
        <v>1099000</v>
      </c>
      <c r="H31" s="67">
        <f t="shared" si="1"/>
        <v>1000</v>
      </c>
      <c r="I31" s="68">
        <v>5</v>
      </c>
      <c r="J31" s="68">
        <v>0.2</v>
      </c>
      <c r="K31" s="68">
        <v>0</v>
      </c>
      <c r="L31" s="110"/>
      <c r="M31" s="67">
        <f t="shared" si="2"/>
        <v>1099000</v>
      </c>
      <c r="N31" s="67">
        <f t="shared" si="3"/>
        <v>1000</v>
      </c>
      <c r="O31" s="111" t="s">
        <v>1170</v>
      </c>
      <c r="P31" s="111">
        <v>1</v>
      </c>
      <c r="Q31" s="464"/>
      <c r="R31" s="23">
        <f t="shared" si="11"/>
        <v>200</v>
      </c>
      <c r="S31" s="23">
        <f t="shared" si="4"/>
        <v>55000</v>
      </c>
      <c r="T31" s="23">
        <f t="shared" si="5"/>
        <v>-54000</v>
      </c>
      <c r="U31" s="23">
        <f t="shared" si="6"/>
        <v>0</v>
      </c>
      <c r="V31" s="10">
        <f t="shared" si="7"/>
        <v>220000</v>
      </c>
      <c r="W31" s="10">
        <f t="shared" si="8"/>
        <v>0</v>
      </c>
      <c r="X31" s="10">
        <f t="shared" si="9"/>
        <v>0</v>
      </c>
    </row>
    <row r="32" spans="1:24" s="9" customFormat="1" ht="13.5" customHeight="1" x14ac:dyDescent="0.2">
      <c r="A32" s="64">
        <f t="shared" si="10"/>
        <v>28</v>
      </c>
      <c r="B32" s="495" t="s">
        <v>1171</v>
      </c>
      <c r="C32" s="163">
        <v>37365</v>
      </c>
      <c r="D32" s="175">
        <v>200000</v>
      </c>
      <c r="E32" s="462"/>
      <c r="F32" s="67">
        <f t="shared" si="0"/>
        <v>200000</v>
      </c>
      <c r="G32" s="67">
        <v>199000</v>
      </c>
      <c r="H32" s="67">
        <f t="shared" si="1"/>
        <v>1000</v>
      </c>
      <c r="I32" s="68">
        <v>5</v>
      </c>
      <c r="J32" s="68">
        <v>0.2</v>
      </c>
      <c r="K32" s="68">
        <v>0</v>
      </c>
      <c r="L32" s="110"/>
      <c r="M32" s="67">
        <f t="shared" si="2"/>
        <v>199000</v>
      </c>
      <c r="N32" s="67">
        <f t="shared" si="3"/>
        <v>1000</v>
      </c>
      <c r="O32" s="111" t="s">
        <v>1172</v>
      </c>
      <c r="P32" s="111">
        <v>1</v>
      </c>
      <c r="Q32" s="464"/>
      <c r="R32" s="23">
        <f t="shared" si="11"/>
        <v>200</v>
      </c>
      <c r="S32" s="23">
        <f t="shared" si="4"/>
        <v>10000</v>
      </c>
      <c r="T32" s="23">
        <f t="shared" si="5"/>
        <v>-9000</v>
      </c>
      <c r="U32" s="23">
        <f t="shared" si="6"/>
        <v>0</v>
      </c>
      <c r="V32" s="10">
        <f t="shared" si="7"/>
        <v>40000</v>
      </c>
      <c r="W32" s="10">
        <f t="shared" si="8"/>
        <v>0</v>
      </c>
      <c r="X32" s="10">
        <f t="shared" si="9"/>
        <v>0</v>
      </c>
    </row>
    <row r="33" spans="1:24" s="9" customFormat="1" ht="13.5" customHeight="1" x14ac:dyDescent="0.2">
      <c r="A33" s="64">
        <f t="shared" si="10"/>
        <v>29</v>
      </c>
      <c r="B33" s="495" t="s">
        <v>1173</v>
      </c>
      <c r="C33" s="163">
        <v>37390</v>
      </c>
      <c r="D33" s="175">
        <v>1200000</v>
      </c>
      <c r="E33" s="462"/>
      <c r="F33" s="67">
        <f t="shared" si="0"/>
        <v>1200000</v>
      </c>
      <c r="G33" s="67">
        <v>1199000</v>
      </c>
      <c r="H33" s="67">
        <f t="shared" si="1"/>
        <v>1000</v>
      </c>
      <c r="I33" s="68">
        <v>5</v>
      </c>
      <c r="J33" s="68">
        <v>0.2</v>
      </c>
      <c r="K33" s="68">
        <v>0</v>
      </c>
      <c r="L33" s="110"/>
      <c r="M33" s="67">
        <f t="shared" si="2"/>
        <v>1199000</v>
      </c>
      <c r="N33" s="67">
        <f t="shared" si="3"/>
        <v>1000</v>
      </c>
      <c r="O33" s="111" t="s">
        <v>1174</v>
      </c>
      <c r="P33" s="111">
        <v>1</v>
      </c>
      <c r="Q33" s="464"/>
      <c r="R33" s="23">
        <f t="shared" si="11"/>
        <v>200</v>
      </c>
      <c r="S33" s="23">
        <f t="shared" si="4"/>
        <v>60000</v>
      </c>
      <c r="T33" s="23">
        <f t="shared" si="5"/>
        <v>-59000</v>
      </c>
      <c r="U33" s="23">
        <f t="shared" si="6"/>
        <v>0</v>
      </c>
      <c r="V33" s="10">
        <f t="shared" si="7"/>
        <v>240000</v>
      </c>
      <c r="W33" s="10">
        <f t="shared" si="8"/>
        <v>0</v>
      </c>
      <c r="X33" s="10">
        <f t="shared" si="9"/>
        <v>0</v>
      </c>
    </row>
    <row r="34" spans="1:24" s="9" customFormat="1" ht="13.5" customHeight="1" x14ac:dyDescent="0.2">
      <c r="A34" s="64">
        <f t="shared" si="10"/>
        <v>30</v>
      </c>
      <c r="B34" s="495" t="s">
        <v>1175</v>
      </c>
      <c r="C34" s="163">
        <v>37393</v>
      </c>
      <c r="D34" s="175">
        <v>2750000</v>
      </c>
      <c r="E34" s="462"/>
      <c r="F34" s="67">
        <f t="shared" si="0"/>
        <v>2750000</v>
      </c>
      <c r="G34" s="67">
        <v>2749000</v>
      </c>
      <c r="H34" s="67">
        <f t="shared" si="1"/>
        <v>1000</v>
      </c>
      <c r="I34" s="68">
        <v>5</v>
      </c>
      <c r="J34" s="68">
        <v>0.2</v>
      </c>
      <c r="K34" s="68">
        <v>0</v>
      </c>
      <c r="L34" s="110"/>
      <c r="M34" s="67">
        <f t="shared" si="2"/>
        <v>2749000</v>
      </c>
      <c r="N34" s="67">
        <f t="shared" si="3"/>
        <v>1000</v>
      </c>
      <c r="O34" s="111" t="s">
        <v>1176</v>
      </c>
      <c r="P34" s="111">
        <v>1</v>
      </c>
      <c r="Q34" s="464"/>
      <c r="R34" s="23">
        <f t="shared" si="11"/>
        <v>200</v>
      </c>
      <c r="S34" s="23">
        <f t="shared" si="4"/>
        <v>137500</v>
      </c>
      <c r="T34" s="23">
        <f t="shared" si="5"/>
        <v>-136500</v>
      </c>
      <c r="U34" s="23">
        <f t="shared" si="6"/>
        <v>0</v>
      </c>
      <c r="V34" s="10">
        <f t="shared" si="7"/>
        <v>550000</v>
      </c>
      <c r="W34" s="10">
        <f t="shared" si="8"/>
        <v>0</v>
      </c>
      <c r="X34" s="10">
        <f t="shared" si="9"/>
        <v>0</v>
      </c>
    </row>
    <row r="35" spans="1:24" s="174" customFormat="1" ht="13.5" customHeight="1" x14ac:dyDescent="0.2">
      <c r="A35" s="164">
        <f t="shared" si="10"/>
        <v>31</v>
      </c>
      <c r="B35" s="499" t="s">
        <v>1177</v>
      </c>
      <c r="C35" s="166">
        <v>37399</v>
      </c>
      <c r="D35" s="500">
        <v>0</v>
      </c>
      <c r="E35" s="501"/>
      <c r="F35" s="167">
        <f t="shared" si="0"/>
        <v>0</v>
      </c>
      <c r="G35" s="167"/>
      <c r="H35" s="167">
        <v>0</v>
      </c>
      <c r="I35" s="169">
        <v>5</v>
      </c>
      <c r="J35" s="169">
        <v>0.2</v>
      </c>
      <c r="K35" s="169">
        <v>0</v>
      </c>
      <c r="L35" s="168"/>
      <c r="M35" s="167"/>
      <c r="N35" s="167">
        <f t="shared" si="3"/>
        <v>0</v>
      </c>
      <c r="O35" s="176" t="s">
        <v>1178</v>
      </c>
      <c r="P35" s="176">
        <v>1</v>
      </c>
      <c r="Q35" s="502" t="s">
        <v>1179</v>
      </c>
      <c r="R35" s="172">
        <f t="shared" si="11"/>
        <v>0</v>
      </c>
      <c r="S35" s="172">
        <f t="shared" si="4"/>
        <v>0</v>
      </c>
      <c r="T35" s="172">
        <f t="shared" si="5"/>
        <v>0</v>
      </c>
      <c r="U35" s="172">
        <f t="shared" si="6"/>
        <v>-1000</v>
      </c>
      <c r="V35" s="173">
        <f t="shared" si="7"/>
        <v>0</v>
      </c>
      <c r="W35" s="173">
        <f t="shared" si="8"/>
        <v>0</v>
      </c>
      <c r="X35" s="173">
        <f t="shared" si="9"/>
        <v>0</v>
      </c>
    </row>
    <row r="36" spans="1:24" s="174" customFormat="1" ht="13.5" customHeight="1" x14ac:dyDescent="0.2">
      <c r="A36" s="164">
        <f t="shared" si="10"/>
        <v>32</v>
      </c>
      <c r="B36" s="499" t="s">
        <v>1180</v>
      </c>
      <c r="C36" s="166">
        <v>37401</v>
      </c>
      <c r="D36" s="500">
        <v>5400000</v>
      </c>
      <c r="E36" s="501"/>
      <c r="F36" s="167">
        <f t="shared" si="0"/>
        <v>5400000</v>
      </c>
      <c r="G36" s="167">
        <v>5399000</v>
      </c>
      <c r="H36" s="167">
        <f>+F36-G36</f>
        <v>1000</v>
      </c>
      <c r="I36" s="169">
        <v>5</v>
      </c>
      <c r="J36" s="169">
        <v>0.2</v>
      </c>
      <c r="K36" s="169">
        <v>0</v>
      </c>
      <c r="L36" s="168"/>
      <c r="M36" s="167">
        <f>+G36+L36</f>
        <v>5399000</v>
      </c>
      <c r="N36" s="167">
        <f t="shared" si="3"/>
        <v>1000</v>
      </c>
      <c r="O36" s="176" t="s">
        <v>721</v>
      </c>
      <c r="P36" s="176">
        <v>5</v>
      </c>
      <c r="Q36" s="502" t="s">
        <v>1181</v>
      </c>
      <c r="R36" s="172">
        <f t="shared" si="11"/>
        <v>200</v>
      </c>
      <c r="S36" s="172">
        <f t="shared" si="4"/>
        <v>270000</v>
      </c>
      <c r="T36" s="172">
        <f t="shared" si="5"/>
        <v>-269000</v>
      </c>
      <c r="U36" s="172">
        <f t="shared" si="6"/>
        <v>0</v>
      </c>
      <c r="V36" s="173">
        <f t="shared" si="7"/>
        <v>1080000</v>
      </c>
      <c r="W36" s="173">
        <f t="shared" si="8"/>
        <v>0</v>
      </c>
      <c r="X36" s="173">
        <f t="shared" si="9"/>
        <v>0</v>
      </c>
    </row>
    <row r="37" spans="1:24" s="9" customFormat="1" ht="13.5" customHeight="1" x14ac:dyDescent="0.2">
      <c r="A37" s="64">
        <f t="shared" si="10"/>
        <v>33</v>
      </c>
      <c r="B37" s="495" t="s">
        <v>1182</v>
      </c>
      <c r="C37" s="163">
        <v>37407</v>
      </c>
      <c r="D37" s="175">
        <v>65000000</v>
      </c>
      <c r="E37" s="462"/>
      <c r="F37" s="67">
        <f t="shared" si="0"/>
        <v>65000000</v>
      </c>
      <c r="G37" s="67">
        <v>64999000</v>
      </c>
      <c r="H37" s="67">
        <f>+F37-G37</f>
        <v>1000</v>
      </c>
      <c r="I37" s="68">
        <v>5</v>
      </c>
      <c r="J37" s="68">
        <v>0.2</v>
      </c>
      <c r="K37" s="68">
        <v>0</v>
      </c>
      <c r="L37" s="110"/>
      <c r="M37" s="67">
        <f>+G37+L37</f>
        <v>64999000</v>
      </c>
      <c r="N37" s="67">
        <f t="shared" si="3"/>
        <v>1000</v>
      </c>
      <c r="O37" s="111" t="s">
        <v>1183</v>
      </c>
      <c r="P37" s="111">
        <v>1</v>
      </c>
      <c r="Q37" s="464"/>
      <c r="R37" s="23">
        <f t="shared" si="11"/>
        <v>200</v>
      </c>
      <c r="S37" s="23">
        <f t="shared" si="4"/>
        <v>3250000</v>
      </c>
      <c r="T37" s="23">
        <f t="shared" si="5"/>
        <v>-3249000</v>
      </c>
      <c r="U37" s="23">
        <f t="shared" si="6"/>
        <v>0</v>
      </c>
      <c r="V37" s="10">
        <f t="shared" si="7"/>
        <v>13000000</v>
      </c>
      <c r="W37" s="10">
        <f t="shared" si="8"/>
        <v>0</v>
      </c>
      <c r="X37" s="10">
        <f t="shared" si="9"/>
        <v>0</v>
      </c>
    </row>
    <row r="38" spans="1:24" s="9" customFormat="1" ht="13.5" customHeight="1" x14ac:dyDescent="0.2">
      <c r="A38" s="64">
        <f t="shared" si="10"/>
        <v>34</v>
      </c>
      <c r="B38" s="495" t="s">
        <v>1167</v>
      </c>
      <c r="C38" s="163">
        <v>37407</v>
      </c>
      <c r="D38" s="175">
        <v>7000000</v>
      </c>
      <c r="E38" s="462"/>
      <c r="F38" s="67">
        <f t="shared" si="0"/>
        <v>7000000</v>
      </c>
      <c r="G38" s="67">
        <v>6999000</v>
      </c>
      <c r="H38" s="67">
        <f>+F38-G38</f>
        <v>1000</v>
      </c>
      <c r="I38" s="68">
        <v>5</v>
      </c>
      <c r="J38" s="68">
        <v>0.2</v>
      </c>
      <c r="K38" s="68">
        <v>0</v>
      </c>
      <c r="L38" s="110"/>
      <c r="M38" s="67">
        <f>+G38+L38</f>
        <v>6999000</v>
      </c>
      <c r="N38" s="67">
        <f t="shared" si="3"/>
        <v>1000</v>
      </c>
      <c r="O38" s="180" t="s">
        <v>1168</v>
      </c>
      <c r="P38" s="111">
        <v>1</v>
      </c>
      <c r="Q38" s="503"/>
      <c r="R38" s="23">
        <f t="shared" si="11"/>
        <v>200</v>
      </c>
      <c r="S38" s="23">
        <f t="shared" si="4"/>
        <v>350000</v>
      </c>
      <c r="T38" s="23">
        <f t="shared" si="5"/>
        <v>-349000</v>
      </c>
      <c r="U38" s="23">
        <f t="shared" si="6"/>
        <v>0</v>
      </c>
      <c r="V38" s="10">
        <f t="shared" si="7"/>
        <v>1400000</v>
      </c>
      <c r="W38" s="10">
        <f t="shared" si="8"/>
        <v>0</v>
      </c>
      <c r="X38" s="10">
        <f t="shared" si="9"/>
        <v>0</v>
      </c>
    </row>
    <row r="39" spans="1:24" s="9" customFormat="1" ht="13.5" customHeight="1" x14ac:dyDescent="0.2">
      <c r="A39" s="64">
        <f t="shared" si="10"/>
        <v>35</v>
      </c>
      <c r="B39" s="495" t="s">
        <v>1184</v>
      </c>
      <c r="C39" s="163">
        <v>37437</v>
      </c>
      <c r="D39" s="175">
        <v>2090000</v>
      </c>
      <c r="E39" s="462"/>
      <c r="F39" s="67">
        <f t="shared" si="0"/>
        <v>2090000</v>
      </c>
      <c r="G39" s="67">
        <v>2089000</v>
      </c>
      <c r="H39" s="67">
        <f>+F39-G39</f>
        <v>1000</v>
      </c>
      <c r="I39" s="68">
        <v>5</v>
      </c>
      <c r="J39" s="68">
        <v>0.2</v>
      </c>
      <c r="K39" s="68">
        <v>0</v>
      </c>
      <c r="L39" s="110"/>
      <c r="M39" s="67">
        <f>+G39+L39</f>
        <v>2089000</v>
      </c>
      <c r="N39" s="67">
        <f t="shared" si="3"/>
        <v>1000</v>
      </c>
      <c r="O39" s="111" t="s">
        <v>1185</v>
      </c>
      <c r="P39" s="111">
        <v>1</v>
      </c>
      <c r="Q39" s="464"/>
      <c r="R39" s="23">
        <f t="shared" si="11"/>
        <v>200</v>
      </c>
      <c r="S39" s="23">
        <f t="shared" si="4"/>
        <v>104500</v>
      </c>
      <c r="T39" s="23">
        <f t="shared" si="5"/>
        <v>-103500</v>
      </c>
      <c r="U39" s="23">
        <f t="shared" si="6"/>
        <v>0</v>
      </c>
      <c r="V39" s="10">
        <f t="shared" si="7"/>
        <v>418000</v>
      </c>
      <c r="W39" s="10">
        <f t="shared" si="8"/>
        <v>0</v>
      </c>
      <c r="X39" s="10">
        <f t="shared" si="9"/>
        <v>0</v>
      </c>
    </row>
    <row r="40" spans="1:24" s="174" customFormat="1" ht="13.5" customHeight="1" x14ac:dyDescent="0.2">
      <c r="A40" s="164">
        <f t="shared" si="10"/>
        <v>36</v>
      </c>
      <c r="B40" s="504" t="s">
        <v>709</v>
      </c>
      <c r="C40" s="166">
        <v>37482</v>
      </c>
      <c r="D40" s="500">
        <v>0</v>
      </c>
      <c r="E40" s="501"/>
      <c r="F40" s="167">
        <f t="shared" si="0"/>
        <v>0</v>
      </c>
      <c r="G40" s="167"/>
      <c r="H40" s="167">
        <v>0</v>
      </c>
      <c r="I40" s="169">
        <v>5</v>
      </c>
      <c r="J40" s="169">
        <v>0.2</v>
      </c>
      <c r="K40" s="169">
        <v>0</v>
      </c>
      <c r="L40" s="168"/>
      <c r="M40" s="167"/>
      <c r="N40" s="167">
        <f t="shared" si="3"/>
        <v>0</v>
      </c>
      <c r="O40" s="176" t="s">
        <v>1186</v>
      </c>
      <c r="P40" s="176">
        <v>1</v>
      </c>
      <c r="Q40" s="502" t="s">
        <v>1179</v>
      </c>
      <c r="R40" s="172">
        <f t="shared" si="11"/>
        <v>0</v>
      </c>
      <c r="S40" s="172">
        <f t="shared" si="4"/>
        <v>0</v>
      </c>
      <c r="T40" s="172">
        <f t="shared" si="5"/>
        <v>0</v>
      </c>
      <c r="U40" s="172">
        <f t="shared" si="6"/>
        <v>-1000</v>
      </c>
      <c r="V40" s="173">
        <f t="shared" si="7"/>
        <v>0</v>
      </c>
      <c r="W40" s="173">
        <f t="shared" si="8"/>
        <v>0</v>
      </c>
      <c r="X40" s="173">
        <f t="shared" si="9"/>
        <v>0</v>
      </c>
    </row>
    <row r="41" spans="1:24" s="9" customFormat="1" ht="13.5" customHeight="1" x14ac:dyDescent="0.2">
      <c r="A41" s="64">
        <f t="shared" si="10"/>
        <v>37</v>
      </c>
      <c r="B41" s="495" t="s">
        <v>1187</v>
      </c>
      <c r="C41" s="163">
        <v>37498</v>
      </c>
      <c r="D41" s="175">
        <v>534600</v>
      </c>
      <c r="E41" s="462"/>
      <c r="F41" s="67">
        <f t="shared" si="0"/>
        <v>534600</v>
      </c>
      <c r="G41" s="67">
        <v>533600</v>
      </c>
      <c r="H41" s="67">
        <f>+F41-G41</f>
        <v>1000</v>
      </c>
      <c r="I41" s="68">
        <v>5</v>
      </c>
      <c r="J41" s="68">
        <v>0.2</v>
      </c>
      <c r="K41" s="68">
        <v>0</v>
      </c>
      <c r="L41" s="110"/>
      <c r="M41" s="67">
        <f>+G41+L41</f>
        <v>533600</v>
      </c>
      <c r="N41" s="67">
        <f t="shared" si="3"/>
        <v>1000</v>
      </c>
      <c r="O41" s="111" t="s">
        <v>1185</v>
      </c>
      <c r="P41" s="111">
        <v>1</v>
      </c>
      <c r="Q41" s="464"/>
      <c r="R41" s="23">
        <f t="shared" si="11"/>
        <v>200</v>
      </c>
      <c r="S41" s="23">
        <f t="shared" si="4"/>
        <v>26730</v>
      </c>
      <c r="T41" s="23">
        <f t="shared" si="5"/>
        <v>-25730</v>
      </c>
      <c r="U41" s="23">
        <f t="shared" si="6"/>
        <v>0</v>
      </c>
      <c r="V41" s="10">
        <f t="shared" si="7"/>
        <v>106920</v>
      </c>
      <c r="W41" s="10">
        <f t="shared" si="8"/>
        <v>0</v>
      </c>
      <c r="X41" s="10">
        <f t="shared" si="9"/>
        <v>0</v>
      </c>
    </row>
    <row r="42" spans="1:24" s="9" customFormat="1" ht="13.5" customHeight="1" x14ac:dyDescent="0.2">
      <c r="A42" s="64">
        <f t="shared" si="10"/>
        <v>38</v>
      </c>
      <c r="B42" s="495" t="s">
        <v>1188</v>
      </c>
      <c r="C42" s="163">
        <v>37498</v>
      </c>
      <c r="D42" s="175">
        <v>1121000</v>
      </c>
      <c r="E42" s="462"/>
      <c r="F42" s="67">
        <f t="shared" si="0"/>
        <v>1121000</v>
      </c>
      <c r="G42" s="67">
        <v>1120000</v>
      </c>
      <c r="H42" s="67">
        <f>+F42-G42</f>
        <v>1000</v>
      </c>
      <c r="I42" s="68">
        <v>5</v>
      </c>
      <c r="J42" s="68">
        <v>0.2</v>
      </c>
      <c r="K42" s="68">
        <v>0</v>
      </c>
      <c r="L42" s="110"/>
      <c r="M42" s="67">
        <f>+G42+L42</f>
        <v>1120000</v>
      </c>
      <c r="N42" s="67">
        <f t="shared" si="3"/>
        <v>1000</v>
      </c>
      <c r="O42" s="111" t="s">
        <v>1189</v>
      </c>
      <c r="P42" s="111"/>
      <c r="Q42" s="464"/>
      <c r="R42" s="23">
        <f t="shared" si="11"/>
        <v>200</v>
      </c>
      <c r="S42" s="23">
        <f t="shared" si="4"/>
        <v>56050</v>
      </c>
      <c r="T42" s="23">
        <f t="shared" si="5"/>
        <v>-55050</v>
      </c>
      <c r="U42" s="23">
        <f t="shared" si="6"/>
        <v>0</v>
      </c>
      <c r="V42" s="10">
        <f t="shared" si="7"/>
        <v>224200</v>
      </c>
      <c r="W42" s="10">
        <f t="shared" si="8"/>
        <v>0</v>
      </c>
      <c r="X42" s="10">
        <f t="shared" si="9"/>
        <v>0</v>
      </c>
    </row>
    <row r="43" spans="1:24" s="174" customFormat="1" ht="13.5" customHeight="1" x14ac:dyDescent="0.2">
      <c r="A43" s="164">
        <f t="shared" si="10"/>
        <v>39</v>
      </c>
      <c r="B43" s="499" t="s">
        <v>1190</v>
      </c>
      <c r="C43" s="166">
        <v>37509</v>
      </c>
      <c r="D43" s="500">
        <v>0</v>
      </c>
      <c r="E43" s="501"/>
      <c r="F43" s="167">
        <f t="shared" si="0"/>
        <v>0</v>
      </c>
      <c r="G43" s="167"/>
      <c r="H43" s="167">
        <v>0</v>
      </c>
      <c r="I43" s="169">
        <v>5</v>
      </c>
      <c r="J43" s="169">
        <v>0.2</v>
      </c>
      <c r="K43" s="169">
        <v>0</v>
      </c>
      <c r="L43" s="168"/>
      <c r="M43" s="167"/>
      <c r="N43" s="167">
        <f t="shared" si="3"/>
        <v>0</v>
      </c>
      <c r="O43" s="176" t="s">
        <v>1191</v>
      </c>
      <c r="P43" s="176">
        <v>1</v>
      </c>
      <c r="Q43" s="502" t="s">
        <v>1192</v>
      </c>
      <c r="R43" s="172">
        <f t="shared" si="11"/>
        <v>0</v>
      </c>
      <c r="S43" s="172">
        <f t="shared" si="4"/>
        <v>0</v>
      </c>
      <c r="T43" s="172">
        <f t="shared" si="5"/>
        <v>0</v>
      </c>
      <c r="U43" s="172">
        <f t="shared" si="6"/>
        <v>-1000</v>
      </c>
      <c r="V43" s="173">
        <f t="shared" si="7"/>
        <v>0</v>
      </c>
      <c r="W43" s="173">
        <f t="shared" si="8"/>
        <v>0</v>
      </c>
      <c r="X43" s="173">
        <f t="shared" si="9"/>
        <v>0</v>
      </c>
    </row>
    <row r="44" spans="1:24" s="9" customFormat="1" ht="13.5" customHeight="1" x14ac:dyDescent="0.2">
      <c r="A44" s="64">
        <f t="shared" si="10"/>
        <v>40</v>
      </c>
      <c r="B44" s="495" t="s">
        <v>1193</v>
      </c>
      <c r="C44" s="163">
        <v>37527</v>
      </c>
      <c r="D44" s="175">
        <v>2000000</v>
      </c>
      <c r="E44" s="462"/>
      <c r="F44" s="67">
        <f t="shared" si="0"/>
        <v>2000000</v>
      </c>
      <c r="G44" s="67">
        <v>1999000</v>
      </c>
      <c r="H44" s="67">
        <f t="shared" ref="H44:H107" si="12">+F44-G44</f>
        <v>1000</v>
      </c>
      <c r="I44" s="68">
        <v>5</v>
      </c>
      <c r="J44" s="68">
        <v>0.2</v>
      </c>
      <c r="K44" s="68">
        <v>0</v>
      </c>
      <c r="L44" s="110"/>
      <c r="M44" s="67">
        <f t="shared" ref="M44:M107" si="13">+G44+L44</f>
        <v>1999000</v>
      </c>
      <c r="N44" s="67">
        <f t="shared" si="3"/>
        <v>1000</v>
      </c>
      <c r="O44" s="111" t="s">
        <v>1185</v>
      </c>
      <c r="P44" s="111">
        <v>1</v>
      </c>
      <c r="Q44" s="464"/>
      <c r="R44" s="23">
        <f t="shared" si="11"/>
        <v>200</v>
      </c>
      <c r="S44" s="23">
        <f t="shared" si="4"/>
        <v>100000</v>
      </c>
      <c r="T44" s="23">
        <f t="shared" si="5"/>
        <v>-99000</v>
      </c>
      <c r="U44" s="23">
        <f t="shared" si="6"/>
        <v>0</v>
      </c>
      <c r="V44" s="10">
        <f t="shared" si="7"/>
        <v>400000</v>
      </c>
      <c r="W44" s="10">
        <f t="shared" si="8"/>
        <v>0</v>
      </c>
      <c r="X44" s="10">
        <f t="shared" si="9"/>
        <v>0</v>
      </c>
    </row>
    <row r="45" spans="1:24" s="9" customFormat="1" ht="13.5" customHeight="1" x14ac:dyDescent="0.2">
      <c r="A45" s="64">
        <f t="shared" si="10"/>
        <v>41</v>
      </c>
      <c r="B45" s="495" t="s">
        <v>1194</v>
      </c>
      <c r="C45" s="163">
        <v>37582</v>
      </c>
      <c r="D45" s="175">
        <v>4500000</v>
      </c>
      <c r="E45" s="462"/>
      <c r="F45" s="67">
        <f t="shared" si="0"/>
        <v>4500000</v>
      </c>
      <c r="G45" s="67">
        <v>4499000</v>
      </c>
      <c r="H45" s="67">
        <f t="shared" si="12"/>
        <v>1000</v>
      </c>
      <c r="I45" s="68">
        <v>5</v>
      </c>
      <c r="J45" s="68">
        <v>0.2</v>
      </c>
      <c r="K45" s="68">
        <v>0</v>
      </c>
      <c r="L45" s="110"/>
      <c r="M45" s="67">
        <f t="shared" si="13"/>
        <v>4499000</v>
      </c>
      <c r="N45" s="67">
        <f t="shared" si="3"/>
        <v>1000</v>
      </c>
      <c r="O45" s="111" t="s">
        <v>1195</v>
      </c>
      <c r="P45" s="111">
        <v>1</v>
      </c>
      <c r="Q45" s="464"/>
      <c r="R45" s="23">
        <f t="shared" si="11"/>
        <v>200</v>
      </c>
      <c r="S45" s="23">
        <f t="shared" si="4"/>
        <v>225000</v>
      </c>
      <c r="T45" s="23">
        <f t="shared" si="5"/>
        <v>-224000</v>
      </c>
      <c r="U45" s="23">
        <f t="shared" si="6"/>
        <v>0</v>
      </c>
      <c r="V45" s="10">
        <f t="shared" si="7"/>
        <v>900000</v>
      </c>
      <c r="W45" s="10">
        <f t="shared" si="8"/>
        <v>0</v>
      </c>
      <c r="X45" s="10">
        <f t="shared" si="9"/>
        <v>0</v>
      </c>
    </row>
    <row r="46" spans="1:24" s="9" customFormat="1" ht="13.5" customHeight="1" x14ac:dyDescent="0.2">
      <c r="A46" s="64">
        <f t="shared" si="10"/>
        <v>42</v>
      </c>
      <c r="B46" s="495" t="s">
        <v>1196</v>
      </c>
      <c r="C46" s="163">
        <v>37586</v>
      </c>
      <c r="D46" s="175">
        <v>460000</v>
      </c>
      <c r="E46" s="462"/>
      <c r="F46" s="67">
        <f t="shared" si="0"/>
        <v>460000</v>
      </c>
      <c r="G46" s="67">
        <v>459000</v>
      </c>
      <c r="H46" s="67">
        <f t="shared" si="12"/>
        <v>1000</v>
      </c>
      <c r="I46" s="68">
        <v>5</v>
      </c>
      <c r="J46" s="68">
        <v>0.2</v>
      </c>
      <c r="K46" s="68">
        <v>0</v>
      </c>
      <c r="L46" s="110"/>
      <c r="M46" s="67">
        <f t="shared" si="13"/>
        <v>459000</v>
      </c>
      <c r="N46" s="67">
        <f t="shared" si="3"/>
        <v>1000</v>
      </c>
      <c r="O46" s="111" t="s">
        <v>1197</v>
      </c>
      <c r="P46" s="111">
        <v>1</v>
      </c>
      <c r="Q46" s="464"/>
      <c r="R46" s="23">
        <f t="shared" si="11"/>
        <v>200</v>
      </c>
      <c r="S46" s="23">
        <f t="shared" si="4"/>
        <v>23000</v>
      </c>
      <c r="T46" s="23">
        <f t="shared" si="5"/>
        <v>-22000</v>
      </c>
      <c r="U46" s="23">
        <f t="shared" si="6"/>
        <v>0</v>
      </c>
      <c r="V46" s="10">
        <f t="shared" si="7"/>
        <v>92000</v>
      </c>
      <c r="W46" s="10">
        <f t="shared" si="8"/>
        <v>0</v>
      </c>
      <c r="X46" s="10">
        <f t="shared" si="9"/>
        <v>0</v>
      </c>
    </row>
    <row r="47" spans="1:24" s="9" customFormat="1" ht="13.5" customHeight="1" x14ac:dyDescent="0.2">
      <c r="A47" s="64">
        <f t="shared" si="10"/>
        <v>43</v>
      </c>
      <c r="B47" s="495" t="s">
        <v>1194</v>
      </c>
      <c r="C47" s="163">
        <v>37603</v>
      </c>
      <c r="D47" s="175">
        <v>7300000</v>
      </c>
      <c r="E47" s="462"/>
      <c r="F47" s="67">
        <f t="shared" si="0"/>
        <v>7300000</v>
      </c>
      <c r="G47" s="67">
        <v>7299000</v>
      </c>
      <c r="H47" s="67">
        <f t="shared" si="12"/>
        <v>1000</v>
      </c>
      <c r="I47" s="68">
        <v>5</v>
      </c>
      <c r="J47" s="68">
        <v>0.2</v>
      </c>
      <c r="K47" s="68">
        <v>0</v>
      </c>
      <c r="L47" s="110"/>
      <c r="M47" s="67">
        <f t="shared" si="13"/>
        <v>7299000</v>
      </c>
      <c r="N47" s="67">
        <f t="shared" si="3"/>
        <v>1000</v>
      </c>
      <c r="O47" s="111" t="s">
        <v>1198</v>
      </c>
      <c r="P47" s="111">
        <v>1</v>
      </c>
      <c r="Q47" s="464"/>
      <c r="R47" s="23">
        <f t="shared" si="11"/>
        <v>200</v>
      </c>
      <c r="S47" s="23">
        <f t="shared" si="4"/>
        <v>365000</v>
      </c>
      <c r="T47" s="23">
        <f t="shared" si="5"/>
        <v>-364000</v>
      </c>
      <c r="U47" s="23">
        <f t="shared" si="6"/>
        <v>0</v>
      </c>
      <c r="V47" s="10">
        <f t="shared" si="7"/>
        <v>1460000</v>
      </c>
      <c r="W47" s="10">
        <f t="shared" si="8"/>
        <v>0</v>
      </c>
      <c r="X47" s="10">
        <f t="shared" si="9"/>
        <v>0</v>
      </c>
    </row>
    <row r="48" spans="1:24" s="9" customFormat="1" ht="13.5" customHeight="1" x14ac:dyDescent="0.2">
      <c r="A48" s="64">
        <f t="shared" si="10"/>
        <v>44</v>
      </c>
      <c r="B48" s="495" t="s">
        <v>1199</v>
      </c>
      <c r="C48" s="163">
        <v>37610</v>
      </c>
      <c r="D48" s="175">
        <v>5500000</v>
      </c>
      <c r="E48" s="462"/>
      <c r="F48" s="67">
        <f t="shared" si="0"/>
        <v>5500000</v>
      </c>
      <c r="G48" s="67">
        <v>5499000</v>
      </c>
      <c r="H48" s="67">
        <f t="shared" si="12"/>
        <v>1000</v>
      </c>
      <c r="I48" s="68">
        <v>5</v>
      </c>
      <c r="J48" s="68">
        <v>0.2</v>
      </c>
      <c r="K48" s="68">
        <v>0</v>
      </c>
      <c r="L48" s="110"/>
      <c r="M48" s="67">
        <f t="shared" si="13"/>
        <v>5499000</v>
      </c>
      <c r="N48" s="67">
        <f t="shared" si="3"/>
        <v>1000</v>
      </c>
      <c r="O48" s="111" t="s">
        <v>1200</v>
      </c>
      <c r="P48" s="111">
        <v>1</v>
      </c>
      <c r="Q48" s="464"/>
      <c r="R48" s="23">
        <f t="shared" si="11"/>
        <v>200</v>
      </c>
      <c r="S48" s="23">
        <f t="shared" si="4"/>
        <v>275000</v>
      </c>
      <c r="T48" s="23">
        <f t="shared" si="5"/>
        <v>-274000</v>
      </c>
      <c r="U48" s="23">
        <f t="shared" si="6"/>
        <v>0</v>
      </c>
      <c r="V48" s="10">
        <f t="shared" si="7"/>
        <v>1100000</v>
      </c>
      <c r="W48" s="10">
        <f t="shared" si="8"/>
        <v>0</v>
      </c>
      <c r="X48" s="10">
        <f t="shared" si="9"/>
        <v>0</v>
      </c>
    </row>
    <row r="49" spans="1:24" s="9" customFormat="1" ht="13.5" customHeight="1" x14ac:dyDescent="0.2">
      <c r="A49" s="64">
        <f t="shared" si="10"/>
        <v>45</v>
      </c>
      <c r="B49" s="495" t="s">
        <v>263</v>
      </c>
      <c r="C49" s="163">
        <v>37707</v>
      </c>
      <c r="D49" s="175">
        <v>1220000</v>
      </c>
      <c r="E49" s="462"/>
      <c r="F49" s="67">
        <f t="shared" si="0"/>
        <v>1220000</v>
      </c>
      <c r="G49" s="67">
        <v>1219000</v>
      </c>
      <c r="H49" s="67">
        <f t="shared" si="12"/>
        <v>1000</v>
      </c>
      <c r="I49" s="68">
        <v>5</v>
      </c>
      <c r="J49" s="68">
        <v>0.2</v>
      </c>
      <c r="K49" s="68">
        <v>0</v>
      </c>
      <c r="L49" s="110">
        <f t="shared" ref="L49:L80" si="14">(H49*J49)*K49/12</f>
        <v>0</v>
      </c>
      <c r="M49" s="67">
        <f t="shared" si="13"/>
        <v>1219000</v>
      </c>
      <c r="N49" s="67">
        <f t="shared" si="3"/>
        <v>1000</v>
      </c>
      <c r="O49" s="111" t="s">
        <v>1201</v>
      </c>
      <c r="P49" s="111">
        <v>1</v>
      </c>
      <c r="Q49" s="464"/>
      <c r="R49" s="23">
        <f t="shared" si="11"/>
        <v>200</v>
      </c>
      <c r="S49" s="23">
        <f t="shared" si="4"/>
        <v>61000</v>
      </c>
      <c r="T49" s="23">
        <f t="shared" si="5"/>
        <v>-60000</v>
      </c>
      <c r="U49" s="23">
        <f t="shared" si="6"/>
        <v>0</v>
      </c>
      <c r="V49" s="10">
        <f t="shared" si="7"/>
        <v>244000</v>
      </c>
      <c r="W49" s="10">
        <f t="shared" si="8"/>
        <v>0</v>
      </c>
      <c r="X49" s="10">
        <f t="shared" si="9"/>
        <v>0</v>
      </c>
    </row>
    <row r="50" spans="1:24" s="9" customFormat="1" ht="13.5" customHeight="1" x14ac:dyDescent="0.2">
      <c r="A50" s="64">
        <f t="shared" si="10"/>
        <v>46</v>
      </c>
      <c r="B50" s="495" t="s">
        <v>1202</v>
      </c>
      <c r="C50" s="163">
        <v>37711</v>
      </c>
      <c r="D50" s="175">
        <v>650000</v>
      </c>
      <c r="E50" s="462"/>
      <c r="F50" s="67">
        <f t="shared" si="0"/>
        <v>650000</v>
      </c>
      <c r="G50" s="67">
        <v>649000</v>
      </c>
      <c r="H50" s="67">
        <f t="shared" si="12"/>
        <v>1000</v>
      </c>
      <c r="I50" s="68">
        <v>5</v>
      </c>
      <c r="J50" s="68">
        <v>0.2</v>
      </c>
      <c r="K50" s="68">
        <v>0</v>
      </c>
      <c r="L50" s="110">
        <f t="shared" si="14"/>
        <v>0</v>
      </c>
      <c r="M50" s="67">
        <f t="shared" si="13"/>
        <v>649000</v>
      </c>
      <c r="N50" s="67">
        <f t="shared" si="3"/>
        <v>1000</v>
      </c>
      <c r="O50" s="111" t="s">
        <v>1185</v>
      </c>
      <c r="P50" s="111">
        <v>1</v>
      </c>
      <c r="Q50" s="464"/>
      <c r="R50" s="23">
        <f t="shared" si="11"/>
        <v>200</v>
      </c>
      <c r="S50" s="23">
        <f t="shared" si="4"/>
        <v>32500</v>
      </c>
      <c r="T50" s="23">
        <f t="shared" si="5"/>
        <v>-31500</v>
      </c>
      <c r="U50" s="23">
        <f t="shared" si="6"/>
        <v>0</v>
      </c>
      <c r="V50" s="10">
        <f t="shared" si="7"/>
        <v>130000</v>
      </c>
      <c r="W50" s="10">
        <f t="shared" si="8"/>
        <v>0</v>
      </c>
      <c r="X50" s="10">
        <f t="shared" si="9"/>
        <v>0</v>
      </c>
    </row>
    <row r="51" spans="1:24" s="9" customFormat="1" ht="13.5" customHeight="1" x14ac:dyDescent="0.2">
      <c r="A51" s="64">
        <f t="shared" si="10"/>
        <v>47</v>
      </c>
      <c r="B51" s="495" t="s">
        <v>1203</v>
      </c>
      <c r="C51" s="163">
        <v>37741</v>
      </c>
      <c r="D51" s="175">
        <v>280000</v>
      </c>
      <c r="E51" s="462"/>
      <c r="F51" s="67">
        <f t="shared" si="0"/>
        <v>280000</v>
      </c>
      <c r="G51" s="67">
        <v>279000</v>
      </c>
      <c r="H51" s="67">
        <f t="shared" si="12"/>
        <v>1000</v>
      </c>
      <c r="I51" s="68">
        <v>5</v>
      </c>
      <c r="J51" s="68">
        <v>0.2</v>
      </c>
      <c r="K51" s="68">
        <v>0</v>
      </c>
      <c r="L51" s="110">
        <f t="shared" si="14"/>
        <v>0</v>
      </c>
      <c r="M51" s="67">
        <f t="shared" si="13"/>
        <v>279000</v>
      </c>
      <c r="N51" s="67">
        <f t="shared" si="3"/>
        <v>1000</v>
      </c>
      <c r="O51" s="111" t="s">
        <v>1102</v>
      </c>
      <c r="P51" s="111">
        <v>1</v>
      </c>
      <c r="Q51" s="464"/>
      <c r="R51" s="23">
        <f t="shared" si="11"/>
        <v>200</v>
      </c>
      <c r="S51" s="23">
        <f t="shared" si="4"/>
        <v>14000</v>
      </c>
      <c r="T51" s="23">
        <f t="shared" si="5"/>
        <v>-13000</v>
      </c>
      <c r="U51" s="23">
        <f t="shared" si="6"/>
        <v>0</v>
      </c>
      <c r="V51" s="10">
        <f t="shared" si="7"/>
        <v>56000</v>
      </c>
      <c r="W51" s="10">
        <f t="shared" si="8"/>
        <v>0</v>
      </c>
      <c r="X51" s="10">
        <f t="shared" si="9"/>
        <v>0</v>
      </c>
    </row>
    <row r="52" spans="1:24" s="9" customFormat="1" ht="13.5" customHeight="1" x14ac:dyDescent="0.2">
      <c r="A52" s="64">
        <f t="shared" si="10"/>
        <v>48</v>
      </c>
      <c r="B52" s="495" t="s">
        <v>263</v>
      </c>
      <c r="C52" s="163">
        <v>37755</v>
      </c>
      <c r="D52" s="175">
        <v>3660000</v>
      </c>
      <c r="E52" s="462"/>
      <c r="F52" s="67">
        <f t="shared" si="0"/>
        <v>3660000</v>
      </c>
      <c r="G52" s="67">
        <v>3659000</v>
      </c>
      <c r="H52" s="67">
        <f t="shared" si="12"/>
        <v>1000</v>
      </c>
      <c r="I52" s="68">
        <v>5</v>
      </c>
      <c r="J52" s="68">
        <v>0.2</v>
      </c>
      <c r="K52" s="68">
        <v>0</v>
      </c>
      <c r="L52" s="110">
        <f t="shared" si="14"/>
        <v>0</v>
      </c>
      <c r="M52" s="67">
        <f t="shared" si="13"/>
        <v>3659000</v>
      </c>
      <c r="N52" s="67">
        <f t="shared" si="3"/>
        <v>1000</v>
      </c>
      <c r="O52" s="111" t="s">
        <v>1204</v>
      </c>
      <c r="P52" s="111">
        <v>3</v>
      </c>
      <c r="Q52" s="464"/>
      <c r="R52" s="23">
        <f t="shared" si="11"/>
        <v>200</v>
      </c>
      <c r="S52" s="23">
        <f t="shared" si="4"/>
        <v>183000</v>
      </c>
      <c r="T52" s="23">
        <f t="shared" si="5"/>
        <v>-182000</v>
      </c>
      <c r="U52" s="23">
        <f t="shared" si="6"/>
        <v>0</v>
      </c>
      <c r="V52" s="10">
        <f t="shared" si="7"/>
        <v>732000</v>
      </c>
      <c r="W52" s="10">
        <f t="shared" si="8"/>
        <v>0</v>
      </c>
      <c r="X52" s="10">
        <f t="shared" si="9"/>
        <v>0</v>
      </c>
    </row>
    <row r="53" spans="1:24" s="9" customFormat="1" ht="13.5" customHeight="1" x14ac:dyDescent="0.2">
      <c r="A53" s="64">
        <f t="shared" si="10"/>
        <v>49</v>
      </c>
      <c r="B53" s="495" t="s">
        <v>1205</v>
      </c>
      <c r="C53" s="163">
        <v>37755</v>
      </c>
      <c r="D53" s="175">
        <v>300000</v>
      </c>
      <c r="E53" s="462"/>
      <c r="F53" s="67">
        <f t="shared" si="0"/>
        <v>300000</v>
      </c>
      <c r="G53" s="67">
        <v>299000</v>
      </c>
      <c r="H53" s="67">
        <f t="shared" si="12"/>
        <v>1000</v>
      </c>
      <c r="I53" s="68">
        <v>5</v>
      </c>
      <c r="J53" s="68">
        <v>0.2</v>
      </c>
      <c r="K53" s="68">
        <v>0</v>
      </c>
      <c r="L53" s="110">
        <f t="shared" si="14"/>
        <v>0</v>
      </c>
      <c r="M53" s="67">
        <f t="shared" si="13"/>
        <v>299000</v>
      </c>
      <c r="N53" s="67">
        <f t="shared" si="3"/>
        <v>1000</v>
      </c>
      <c r="O53" s="111" t="s">
        <v>1206</v>
      </c>
      <c r="P53" s="111">
        <v>1</v>
      </c>
      <c r="Q53" s="464"/>
      <c r="R53" s="23">
        <f t="shared" si="11"/>
        <v>200</v>
      </c>
      <c r="S53" s="23">
        <f t="shared" si="4"/>
        <v>15000</v>
      </c>
      <c r="T53" s="23">
        <f t="shared" si="5"/>
        <v>-14000</v>
      </c>
      <c r="U53" s="23">
        <f t="shared" si="6"/>
        <v>0</v>
      </c>
      <c r="V53" s="10">
        <f t="shared" si="7"/>
        <v>60000</v>
      </c>
      <c r="W53" s="10">
        <f t="shared" si="8"/>
        <v>0</v>
      </c>
      <c r="X53" s="10">
        <f t="shared" si="9"/>
        <v>0</v>
      </c>
    </row>
    <row r="54" spans="1:24" s="9" customFormat="1" ht="13.5" customHeight="1" x14ac:dyDescent="0.2">
      <c r="A54" s="64">
        <f t="shared" si="10"/>
        <v>50</v>
      </c>
      <c r="B54" s="495" t="s">
        <v>1207</v>
      </c>
      <c r="C54" s="163">
        <v>37761</v>
      </c>
      <c r="D54" s="175">
        <v>460000</v>
      </c>
      <c r="E54" s="462"/>
      <c r="F54" s="67">
        <f t="shared" si="0"/>
        <v>460000</v>
      </c>
      <c r="G54" s="67">
        <v>459000</v>
      </c>
      <c r="H54" s="67">
        <f t="shared" si="12"/>
        <v>1000</v>
      </c>
      <c r="I54" s="68">
        <v>5</v>
      </c>
      <c r="J54" s="68">
        <v>0.2</v>
      </c>
      <c r="K54" s="68">
        <v>0</v>
      </c>
      <c r="L54" s="110">
        <f t="shared" si="14"/>
        <v>0</v>
      </c>
      <c r="M54" s="67">
        <f t="shared" si="13"/>
        <v>459000</v>
      </c>
      <c r="N54" s="67">
        <f t="shared" si="3"/>
        <v>1000</v>
      </c>
      <c r="O54" s="111" t="s">
        <v>1208</v>
      </c>
      <c r="P54" s="111">
        <v>1</v>
      </c>
      <c r="Q54" s="464"/>
      <c r="R54" s="23">
        <f t="shared" si="11"/>
        <v>200</v>
      </c>
      <c r="S54" s="23">
        <f t="shared" si="4"/>
        <v>23000</v>
      </c>
      <c r="T54" s="23">
        <f t="shared" si="5"/>
        <v>-22000</v>
      </c>
      <c r="U54" s="23">
        <f t="shared" si="6"/>
        <v>0</v>
      </c>
      <c r="V54" s="10">
        <f t="shared" si="7"/>
        <v>92000</v>
      </c>
      <c r="W54" s="10">
        <f t="shared" si="8"/>
        <v>0</v>
      </c>
      <c r="X54" s="10">
        <f t="shared" si="9"/>
        <v>0</v>
      </c>
    </row>
    <row r="55" spans="1:24" s="9" customFormat="1" ht="13.5" customHeight="1" x14ac:dyDescent="0.2">
      <c r="A55" s="64">
        <f t="shared" si="10"/>
        <v>51</v>
      </c>
      <c r="B55" s="495" t="s">
        <v>1209</v>
      </c>
      <c r="C55" s="163">
        <v>37768</v>
      </c>
      <c r="D55" s="175">
        <v>1000000</v>
      </c>
      <c r="E55" s="462"/>
      <c r="F55" s="67">
        <f t="shared" si="0"/>
        <v>1000000</v>
      </c>
      <c r="G55" s="67">
        <v>999000</v>
      </c>
      <c r="H55" s="67">
        <f t="shared" si="12"/>
        <v>1000</v>
      </c>
      <c r="I55" s="68">
        <v>5</v>
      </c>
      <c r="J55" s="68">
        <v>0.2</v>
      </c>
      <c r="K55" s="68">
        <v>0</v>
      </c>
      <c r="L55" s="110">
        <f t="shared" si="14"/>
        <v>0</v>
      </c>
      <c r="M55" s="67">
        <f t="shared" si="13"/>
        <v>999000</v>
      </c>
      <c r="N55" s="67">
        <f t="shared" si="3"/>
        <v>1000</v>
      </c>
      <c r="O55" s="111" t="s">
        <v>1172</v>
      </c>
      <c r="P55" s="111">
        <v>1</v>
      </c>
      <c r="Q55" s="464"/>
      <c r="R55" s="23">
        <f t="shared" si="11"/>
        <v>200</v>
      </c>
      <c r="S55" s="23">
        <f t="shared" si="4"/>
        <v>50000</v>
      </c>
      <c r="T55" s="23">
        <f t="shared" si="5"/>
        <v>-49000</v>
      </c>
      <c r="U55" s="23">
        <f t="shared" si="6"/>
        <v>0</v>
      </c>
      <c r="V55" s="10">
        <f t="shared" si="7"/>
        <v>200000</v>
      </c>
      <c r="W55" s="10">
        <f t="shared" si="8"/>
        <v>0</v>
      </c>
      <c r="X55" s="10">
        <f t="shared" si="9"/>
        <v>0</v>
      </c>
    </row>
    <row r="56" spans="1:24" s="9" customFormat="1" ht="13.5" customHeight="1" x14ac:dyDescent="0.2">
      <c r="A56" s="64">
        <f t="shared" si="10"/>
        <v>52</v>
      </c>
      <c r="B56" s="495" t="s">
        <v>1210</v>
      </c>
      <c r="C56" s="163">
        <v>37772</v>
      </c>
      <c r="D56" s="175">
        <v>7000000</v>
      </c>
      <c r="E56" s="462"/>
      <c r="F56" s="67">
        <f t="shared" si="0"/>
        <v>7000000</v>
      </c>
      <c r="G56" s="67">
        <v>6999000</v>
      </c>
      <c r="H56" s="67">
        <f t="shared" si="12"/>
        <v>1000</v>
      </c>
      <c r="I56" s="68">
        <v>5</v>
      </c>
      <c r="J56" s="68">
        <v>0.2</v>
      </c>
      <c r="K56" s="68">
        <v>0</v>
      </c>
      <c r="L56" s="110">
        <f t="shared" si="14"/>
        <v>0</v>
      </c>
      <c r="M56" s="67">
        <f t="shared" si="13"/>
        <v>6999000</v>
      </c>
      <c r="N56" s="67">
        <f t="shared" si="3"/>
        <v>1000</v>
      </c>
      <c r="O56" s="111" t="s">
        <v>1211</v>
      </c>
      <c r="P56" s="111">
        <v>1</v>
      </c>
      <c r="Q56" s="464"/>
      <c r="R56" s="23">
        <f t="shared" si="11"/>
        <v>200</v>
      </c>
      <c r="S56" s="23">
        <f t="shared" si="4"/>
        <v>350000</v>
      </c>
      <c r="T56" s="23">
        <f t="shared" si="5"/>
        <v>-349000</v>
      </c>
      <c r="U56" s="23">
        <f t="shared" si="6"/>
        <v>0</v>
      </c>
      <c r="V56" s="10">
        <f t="shared" si="7"/>
        <v>1400000</v>
      </c>
      <c r="W56" s="10">
        <f t="shared" si="8"/>
        <v>0</v>
      </c>
      <c r="X56" s="10">
        <f t="shared" si="9"/>
        <v>0</v>
      </c>
    </row>
    <row r="57" spans="1:24" s="9" customFormat="1" ht="13.5" customHeight="1" x14ac:dyDescent="0.2">
      <c r="A57" s="64">
        <f t="shared" si="10"/>
        <v>53</v>
      </c>
      <c r="B57" s="495" t="s">
        <v>1212</v>
      </c>
      <c r="C57" s="163">
        <v>37789</v>
      </c>
      <c r="D57" s="175">
        <v>650000</v>
      </c>
      <c r="E57" s="462"/>
      <c r="F57" s="67">
        <f t="shared" si="0"/>
        <v>650000</v>
      </c>
      <c r="G57" s="67">
        <v>649000</v>
      </c>
      <c r="H57" s="67">
        <f t="shared" si="12"/>
        <v>1000</v>
      </c>
      <c r="I57" s="68">
        <v>5</v>
      </c>
      <c r="J57" s="68">
        <v>0.2</v>
      </c>
      <c r="K57" s="68">
        <v>0</v>
      </c>
      <c r="L57" s="110">
        <f t="shared" si="14"/>
        <v>0</v>
      </c>
      <c r="M57" s="67">
        <f t="shared" si="13"/>
        <v>649000</v>
      </c>
      <c r="N57" s="67">
        <f t="shared" si="3"/>
        <v>1000</v>
      </c>
      <c r="O57" s="111" t="s">
        <v>1172</v>
      </c>
      <c r="P57" s="111">
        <v>1</v>
      </c>
      <c r="Q57" s="464"/>
      <c r="R57" s="23">
        <f t="shared" si="11"/>
        <v>200</v>
      </c>
      <c r="S57" s="23">
        <f t="shared" si="4"/>
        <v>32500</v>
      </c>
      <c r="T57" s="23">
        <f t="shared" si="5"/>
        <v>-31500</v>
      </c>
      <c r="U57" s="23">
        <f t="shared" si="6"/>
        <v>0</v>
      </c>
      <c r="V57" s="10">
        <f t="shared" si="7"/>
        <v>130000</v>
      </c>
      <c r="W57" s="10">
        <f t="shared" si="8"/>
        <v>0</v>
      </c>
      <c r="X57" s="10">
        <f t="shared" si="9"/>
        <v>0</v>
      </c>
    </row>
    <row r="58" spans="1:24" s="9" customFormat="1" ht="13.5" customHeight="1" x14ac:dyDescent="0.2">
      <c r="A58" s="64">
        <f t="shared" si="10"/>
        <v>54</v>
      </c>
      <c r="B58" s="495" t="s">
        <v>1213</v>
      </c>
      <c r="C58" s="163">
        <v>37802</v>
      </c>
      <c r="D58" s="175">
        <v>123000</v>
      </c>
      <c r="E58" s="462"/>
      <c r="F58" s="67">
        <f t="shared" si="0"/>
        <v>123000</v>
      </c>
      <c r="G58" s="67">
        <v>122000</v>
      </c>
      <c r="H58" s="67">
        <f t="shared" si="12"/>
        <v>1000</v>
      </c>
      <c r="I58" s="68">
        <v>5</v>
      </c>
      <c r="J58" s="68">
        <v>0.2</v>
      </c>
      <c r="K58" s="68">
        <v>0</v>
      </c>
      <c r="L58" s="110">
        <f t="shared" si="14"/>
        <v>0</v>
      </c>
      <c r="M58" s="67">
        <f t="shared" si="13"/>
        <v>122000</v>
      </c>
      <c r="N58" s="67">
        <f t="shared" si="3"/>
        <v>1000</v>
      </c>
      <c r="O58" s="111" t="s">
        <v>1186</v>
      </c>
      <c r="P58" s="111">
        <v>1</v>
      </c>
      <c r="Q58" s="464"/>
      <c r="R58" s="23">
        <f t="shared" si="11"/>
        <v>200</v>
      </c>
      <c r="S58" s="23">
        <f t="shared" si="4"/>
        <v>6150</v>
      </c>
      <c r="T58" s="23">
        <f t="shared" si="5"/>
        <v>-5150</v>
      </c>
      <c r="U58" s="23">
        <f t="shared" si="6"/>
        <v>0</v>
      </c>
      <c r="V58" s="10">
        <f t="shared" si="7"/>
        <v>24600</v>
      </c>
      <c r="W58" s="10">
        <f t="shared" si="8"/>
        <v>0</v>
      </c>
      <c r="X58" s="10">
        <f t="shared" si="9"/>
        <v>0</v>
      </c>
    </row>
    <row r="59" spans="1:24" s="9" customFormat="1" ht="13.5" customHeight="1" x14ac:dyDescent="0.2">
      <c r="A59" s="64">
        <f t="shared" si="10"/>
        <v>55</v>
      </c>
      <c r="B59" s="495" t="s">
        <v>1214</v>
      </c>
      <c r="C59" s="163">
        <v>37833</v>
      </c>
      <c r="D59" s="175">
        <v>7500000</v>
      </c>
      <c r="E59" s="462"/>
      <c r="F59" s="67">
        <f t="shared" si="0"/>
        <v>7500000</v>
      </c>
      <c r="G59" s="67">
        <v>7499000</v>
      </c>
      <c r="H59" s="67">
        <f t="shared" si="12"/>
        <v>1000</v>
      </c>
      <c r="I59" s="68">
        <v>5</v>
      </c>
      <c r="J59" s="68">
        <v>0.2</v>
      </c>
      <c r="K59" s="68">
        <v>0</v>
      </c>
      <c r="L59" s="110">
        <f t="shared" si="14"/>
        <v>0</v>
      </c>
      <c r="M59" s="67">
        <f t="shared" si="13"/>
        <v>7499000</v>
      </c>
      <c r="N59" s="67">
        <f t="shared" si="3"/>
        <v>1000</v>
      </c>
      <c r="O59" s="111" t="s">
        <v>1215</v>
      </c>
      <c r="P59" s="111">
        <v>1</v>
      </c>
      <c r="Q59" s="464"/>
      <c r="R59" s="23">
        <f t="shared" si="11"/>
        <v>200</v>
      </c>
      <c r="S59" s="23">
        <f t="shared" si="4"/>
        <v>375000</v>
      </c>
      <c r="T59" s="23">
        <f t="shared" si="5"/>
        <v>-374000</v>
      </c>
      <c r="U59" s="23">
        <f t="shared" si="6"/>
        <v>0</v>
      </c>
      <c r="V59" s="10">
        <f t="shared" si="7"/>
        <v>1500000</v>
      </c>
      <c r="W59" s="10">
        <f t="shared" si="8"/>
        <v>0</v>
      </c>
      <c r="X59" s="10">
        <f t="shared" si="9"/>
        <v>0</v>
      </c>
    </row>
    <row r="60" spans="1:24" s="9" customFormat="1" ht="13.5" customHeight="1" x14ac:dyDescent="0.2">
      <c r="A60" s="64">
        <f t="shared" si="10"/>
        <v>56</v>
      </c>
      <c r="B60" s="495" t="s">
        <v>1216</v>
      </c>
      <c r="C60" s="163">
        <v>37833</v>
      </c>
      <c r="D60" s="175">
        <v>250000</v>
      </c>
      <c r="E60" s="462"/>
      <c r="F60" s="67">
        <f t="shared" si="0"/>
        <v>250000</v>
      </c>
      <c r="G60" s="67">
        <v>249000</v>
      </c>
      <c r="H60" s="67">
        <f t="shared" si="12"/>
        <v>1000</v>
      </c>
      <c r="I60" s="68">
        <v>5</v>
      </c>
      <c r="J60" s="68">
        <v>0.2</v>
      </c>
      <c r="K60" s="68">
        <v>0</v>
      </c>
      <c r="L60" s="110">
        <f t="shared" si="14"/>
        <v>0</v>
      </c>
      <c r="M60" s="67">
        <f t="shared" si="13"/>
        <v>249000</v>
      </c>
      <c r="N60" s="67">
        <f t="shared" si="3"/>
        <v>1000</v>
      </c>
      <c r="O60" s="111" t="s">
        <v>1217</v>
      </c>
      <c r="P60" s="111">
        <v>1</v>
      </c>
      <c r="Q60" s="464"/>
      <c r="R60" s="23">
        <f t="shared" si="11"/>
        <v>200</v>
      </c>
      <c r="S60" s="23">
        <f t="shared" si="4"/>
        <v>12500</v>
      </c>
      <c r="T60" s="23">
        <f t="shared" si="5"/>
        <v>-11500</v>
      </c>
      <c r="U60" s="23">
        <f t="shared" si="6"/>
        <v>0</v>
      </c>
      <c r="V60" s="10">
        <f t="shared" si="7"/>
        <v>50000</v>
      </c>
      <c r="W60" s="10">
        <f t="shared" si="8"/>
        <v>0</v>
      </c>
      <c r="X60" s="10">
        <f t="shared" si="9"/>
        <v>0</v>
      </c>
    </row>
    <row r="61" spans="1:24" s="9" customFormat="1" ht="13.5" customHeight="1" x14ac:dyDescent="0.2">
      <c r="A61" s="64">
        <f t="shared" si="10"/>
        <v>57</v>
      </c>
      <c r="B61" s="495" t="s">
        <v>1218</v>
      </c>
      <c r="C61" s="163">
        <v>37833</v>
      </c>
      <c r="D61" s="175">
        <v>360000</v>
      </c>
      <c r="E61" s="462"/>
      <c r="F61" s="67">
        <f t="shared" si="0"/>
        <v>360000</v>
      </c>
      <c r="G61" s="67">
        <v>359000</v>
      </c>
      <c r="H61" s="67">
        <f t="shared" si="12"/>
        <v>1000</v>
      </c>
      <c r="I61" s="68">
        <v>5</v>
      </c>
      <c r="J61" s="68">
        <v>0.2</v>
      </c>
      <c r="K61" s="68">
        <v>0</v>
      </c>
      <c r="L61" s="110">
        <f t="shared" si="14"/>
        <v>0</v>
      </c>
      <c r="M61" s="67">
        <f t="shared" si="13"/>
        <v>359000</v>
      </c>
      <c r="N61" s="67">
        <f t="shared" si="3"/>
        <v>1000</v>
      </c>
      <c r="O61" s="111" t="s">
        <v>1219</v>
      </c>
      <c r="P61" s="111">
        <v>2</v>
      </c>
      <c r="Q61" s="464"/>
      <c r="R61" s="23">
        <f t="shared" si="11"/>
        <v>200</v>
      </c>
      <c r="S61" s="23">
        <f t="shared" si="4"/>
        <v>18000</v>
      </c>
      <c r="T61" s="23">
        <f t="shared" si="5"/>
        <v>-17000</v>
      </c>
      <c r="U61" s="23">
        <f t="shared" si="6"/>
        <v>0</v>
      </c>
      <c r="V61" s="10">
        <f t="shared" si="7"/>
        <v>72000</v>
      </c>
      <c r="W61" s="10">
        <f t="shared" si="8"/>
        <v>0</v>
      </c>
      <c r="X61" s="10">
        <f t="shared" si="9"/>
        <v>0</v>
      </c>
    </row>
    <row r="62" spans="1:24" s="9" customFormat="1" ht="13.5" customHeight="1" x14ac:dyDescent="0.2">
      <c r="A62" s="64">
        <f t="shared" si="10"/>
        <v>58</v>
      </c>
      <c r="B62" s="495" t="s">
        <v>1220</v>
      </c>
      <c r="C62" s="163">
        <v>37845</v>
      </c>
      <c r="D62" s="175">
        <v>430000</v>
      </c>
      <c r="E62" s="462"/>
      <c r="F62" s="67">
        <f t="shared" si="0"/>
        <v>430000</v>
      </c>
      <c r="G62" s="67">
        <v>429000</v>
      </c>
      <c r="H62" s="67">
        <f t="shared" si="12"/>
        <v>1000</v>
      </c>
      <c r="I62" s="68">
        <v>5</v>
      </c>
      <c r="J62" s="68">
        <v>0.2</v>
      </c>
      <c r="K62" s="68">
        <v>0</v>
      </c>
      <c r="L62" s="110">
        <f t="shared" si="14"/>
        <v>0</v>
      </c>
      <c r="M62" s="67">
        <f t="shared" si="13"/>
        <v>429000</v>
      </c>
      <c r="N62" s="67">
        <f t="shared" si="3"/>
        <v>1000</v>
      </c>
      <c r="O62" s="111" t="s">
        <v>1221</v>
      </c>
      <c r="P62" s="111">
        <v>1</v>
      </c>
      <c r="Q62" s="464"/>
      <c r="R62" s="23">
        <f t="shared" si="11"/>
        <v>200</v>
      </c>
      <c r="S62" s="23">
        <f t="shared" si="4"/>
        <v>21500</v>
      </c>
      <c r="T62" s="23">
        <f t="shared" si="5"/>
        <v>-20500</v>
      </c>
      <c r="U62" s="23">
        <f t="shared" si="6"/>
        <v>0</v>
      </c>
      <c r="V62" s="10">
        <f t="shared" si="7"/>
        <v>86000</v>
      </c>
      <c r="W62" s="10">
        <f t="shared" si="8"/>
        <v>0</v>
      </c>
      <c r="X62" s="10">
        <f t="shared" si="9"/>
        <v>0</v>
      </c>
    </row>
    <row r="63" spans="1:24" s="9" customFormat="1" ht="13.5" customHeight="1" x14ac:dyDescent="0.2">
      <c r="A63" s="64">
        <f t="shared" si="10"/>
        <v>59</v>
      </c>
      <c r="B63" s="495" t="s">
        <v>1222</v>
      </c>
      <c r="C63" s="163">
        <v>37860</v>
      </c>
      <c r="D63" s="175">
        <v>3000000</v>
      </c>
      <c r="E63" s="462"/>
      <c r="F63" s="67">
        <f t="shared" si="0"/>
        <v>3000000</v>
      </c>
      <c r="G63" s="67">
        <v>2999000</v>
      </c>
      <c r="H63" s="67">
        <f t="shared" si="12"/>
        <v>1000</v>
      </c>
      <c r="I63" s="68">
        <v>5</v>
      </c>
      <c r="J63" s="68">
        <v>0.2</v>
      </c>
      <c r="K63" s="68">
        <v>0</v>
      </c>
      <c r="L63" s="110">
        <f t="shared" si="14"/>
        <v>0</v>
      </c>
      <c r="M63" s="67">
        <f t="shared" si="13"/>
        <v>2999000</v>
      </c>
      <c r="N63" s="67">
        <f t="shared" si="3"/>
        <v>1000</v>
      </c>
      <c r="O63" s="111" t="s">
        <v>1211</v>
      </c>
      <c r="P63" s="111">
        <v>1</v>
      </c>
      <c r="Q63" s="464"/>
      <c r="R63" s="23">
        <f t="shared" si="11"/>
        <v>200</v>
      </c>
      <c r="S63" s="23">
        <f t="shared" si="4"/>
        <v>150000</v>
      </c>
      <c r="T63" s="23">
        <f t="shared" si="5"/>
        <v>-149000</v>
      </c>
      <c r="U63" s="23">
        <f t="shared" si="6"/>
        <v>0</v>
      </c>
      <c r="V63" s="10">
        <f t="shared" si="7"/>
        <v>600000</v>
      </c>
      <c r="W63" s="10">
        <f t="shared" si="8"/>
        <v>0</v>
      </c>
      <c r="X63" s="10">
        <f t="shared" si="9"/>
        <v>0</v>
      </c>
    </row>
    <row r="64" spans="1:24" s="9" customFormat="1" ht="13.5" customHeight="1" x14ac:dyDescent="0.2">
      <c r="A64" s="64">
        <f t="shared" si="10"/>
        <v>60</v>
      </c>
      <c r="B64" s="495" t="s">
        <v>1223</v>
      </c>
      <c r="C64" s="163">
        <v>37865</v>
      </c>
      <c r="D64" s="175">
        <v>600000</v>
      </c>
      <c r="E64" s="462"/>
      <c r="F64" s="67">
        <f t="shared" si="0"/>
        <v>600000</v>
      </c>
      <c r="G64" s="67">
        <v>599000</v>
      </c>
      <c r="H64" s="67">
        <f t="shared" si="12"/>
        <v>1000</v>
      </c>
      <c r="I64" s="68">
        <v>5</v>
      </c>
      <c r="J64" s="68">
        <v>0.2</v>
      </c>
      <c r="K64" s="68">
        <v>0</v>
      </c>
      <c r="L64" s="110">
        <f t="shared" si="14"/>
        <v>0</v>
      </c>
      <c r="M64" s="67">
        <f t="shared" si="13"/>
        <v>599000</v>
      </c>
      <c r="N64" s="67">
        <f t="shared" si="3"/>
        <v>1000</v>
      </c>
      <c r="O64" s="111" t="s">
        <v>306</v>
      </c>
      <c r="P64" s="111">
        <v>1</v>
      </c>
      <c r="Q64" s="464"/>
      <c r="R64" s="23">
        <f t="shared" si="11"/>
        <v>200</v>
      </c>
      <c r="S64" s="23">
        <f t="shared" si="4"/>
        <v>30000</v>
      </c>
      <c r="T64" s="23">
        <f t="shared" si="5"/>
        <v>-29000</v>
      </c>
      <c r="U64" s="23">
        <f t="shared" si="6"/>
        <v>0</v>
      </c>
      <c r="V64" s="10">
        <f t="shared" si="7"/>
        <v>120000</v>
      </c>
      <c r="W64" s="10">
        <f t="shared" si="8"/>
        <v>0</v>
      </c>
      <c r="X64" s="10">
        <f t="shared" si="9"/>
        <v>0</v>
      </c>
    </row>
    <row r="65" spans="1:24" s="9" customFormat="1" ht="13.5" customHeight="1" x14ac:dyDescent="0.2">
      <c r="A65" s="64">
        <f t="shared" si="10"/>
        <v>61</v>
      </c>
      <c r="B65" s="495" t="s">
        <v>1224</v>
      </c>
      <c r="C65" s="163">
        <v>37868</v>
      </c>
      <c r="D65" s="175">
        <v>1300000</v>
      </c>
      <c r="E65" s="462"/>
      <c r="F65" s="67">
        <f t="shared" si="0"/>
        <v>1300000</v>
      </c>
      <c r="G65" s="67">
        <v>1299000</v>
      </c>
      <c r="H65" s="67">
        <f t="shared" si="12"/>
        <v>1000</v>
      </c>
      <c r="I65" s="68">
        <v>5</v>
      </c>
      <c r="J65" s="68">
        <v>0.2</v>
      </c>
      <c r="K65" s="68">
        <v>0</v>
      </c>
      <c r="L65" s="110">
        <f t="shared" si="14"/>
        <v>0</v>
      </c>
      <c r="M65" s="67">
        <f t="shared" si="13"/>
        <v>1299000</v>
      </c>
      <c r="N65" s="67">
        <f t="shared" si="3"/>
        <v>1000</v>
      </c>
      <c r="O65" s="111" t="s">
        <v>1225</v>
      </c>
      <c r="P65" s="111">
        <v>3</v>
      </c>
      <c r="Q65" s="464"/>
      <c r="R65" s="23">
        <f t="shared" si="11"/>
        <v>200</v>
      </c>
      <c r="S65" s="23">
        <f t="shared" si="4"/>
        <v>65000</v>
      </c>
      <c r="T65" s="23">
        <f t="shared" si="5"/>
        <v>-64000</v>
      </c>
      <c r="U65" s="23">
        <f t="shared" si="6"/>
        <v>0</v>
      </c>
      <c r="V65" s="10">
        <f t="shared" si="7"/>
        <v>260000</v>
      </c>
      <c r="W65" s="10">
        <f t="shared" si="8"/>
        <v>0</v>
      </c>
      <c r="X65" s="10">
        <f t="shared" si="9"/>
        <v>0</v>
      </c>
    </row>
    <row r="66" spans="1:24" s="9" customFormat="1" ht="13.5" customHeight="1" x14ac:dyDescent="0.2">
      <c r="A66" s="64">
        <f t="shared" si="10"/>
        <v>62</v>
      </c>
      <c r="B66" s="495" t="s">
        <v>1226</v>
      </c>
      <c r="C66" s="163">
        <v>37869</v>
      </c>
      <c r="D66" s="175">
        <v>6000000</v>
      </c>
      <c r="E66" s="462"/>
      <c r="F66" s="67">
        <f t="shared" si="0"/>
        <v>6000000</v>
      </c>
      <c r="G66" s="67">
        <v>5999000</v>
      </c>
      <c r="H66" s="67">
        <f t="shared" si="12"/>
        <v>1000</v>
      </c>
      <c r="I66" s="68">
        <v>5</v>
      </c>
      <c r="J66" s="68">
        <v>0.2</v>
      </c>
      <c r="K66" s="68">
        <v>0</v>
      </c>
      <c r="L66" s="110">
        <f t="shared" si="14"/>
        <v>0</v>
      </c>
      <c r="M66" s="67">
        <f t="shared" si="13"/>
        <v>5999000</v>
      </c>
      <c r="N66" s="67">
        <f t="shared" si="3"/>
        <v>1000</v>
      </c>
      <c r="O66" s="111" t="s">
        <v>1227</v>
      </c>
      <c r="P66" s="111">
        <v>1</v>
      </c>
      <c r="Q66" s="464"/>
      <c r="R66" s="23">
        <f t="shared" si="11"/>
        <v>200</v>
      </c>
      <c r="S66" s="23">
        <f t="shared" si="4"/>
        <v>300000</v>
      </c>
      <c r="T66" s="23">
        <f t="shared" si="5"/>
        <v>-299000</v>
      </c>
      <c r="U66" s="23">
        <f t="shared" si="6"/>
        <v>0</v>
      </c>
      <c r="V66" s="10">
        <f t="shared" si="7"/>
        <v>1200000</v>
      </c>
      <c r="W66" s="10">
        <f t="shared" si="8"/>
        <v>0</v>
      </c>
      <c r="X66" s="10">
        <f t="shared" si="9"/>
        <v>0</v>
      </c>
    </row>
    <row r="67" spans="1:24" s="9" customFormat="1" ht="13.5" customHeight="1" x14ac:dyDescent="0.2">
      <c r="A67" s="64">
        <f t="shared" si="10"/>
        <v>63</v>
      </c>
      <c r="B67" s="495" t="s">
        <v>1228</v>
      </c>
      <c r="C67" s="163">
        <v>37869</v>
      </c>
      <c r="D67" s="175">
        <v>14000000</v>
      </c>
      <c r="E67" s="462"/>
      <c r="F67" s="67">
        <f t="shared" si="0"/>
        <v>14000000</v>
      </c>
      <c r="G67" s="67">
        <v>13999000</v>
      </c>
      <c r="H67" s="67">
        <f t="shared" si="12"/>
        <v>1000</v>
      </c>
      <c r="I67" s="68">
        <v>5</v>
      </c>
      <c r="J67" s="68">
        <v>0.2</v>
      </c>
      <c r="K67" s="68">
        <v>0</v>
      </c>
      <c r="L67" s="110">
        <f t="shared" si="14"/>
        <v>0</v>
      </c>
      <c r="M67" s="67">
        <f t="shared" si="13"/>
        <v>13999000</v>
      </c>
      <c r="N67" s="67">
        <f t="shared" si="3"/>
        <v>1000</v>
      </c>
      <c r="O67" s="111" t="s">
        <v>1227</v>
      </c>
      <c r="P67" s="111">
        <v>1</v>
      </c>
      <c r="Q67" s="464"/>
      <c r="R67" s="23">
        <f t="shared" si="11"/>
        <v>200</v>
      </c>
      <c r="S67" s="23">
        <f t="shared" si="4"/>
        <v>700000</v>
      </c>
      <c r="T67" s="23">
        <f t="shared" si="5"/>
        <v>-699000</v>
      </c>
      <c r="U67" s="23">
        <f t="shared" si="6"/>
        <v>0</v>
      </c>
      <c r="V67" s="10">
        <f t="shared" si="7"/>
        <v>2800000</v>
      </c>
      <c r="W67" s="10">
        <f t="shared" si="8"/>
        <v>0</v>
      </c>
      <c r="X67" s="10">
        <f t="shared" si="9"/>
        <v>0</v>
      </c>
    </row>
    <row r="68" spans="1:24" s="9" customFormat="1" ht="13.5" customHeight="1" x14ac:dyDescent="0.2">
      <c r="A68" s="64">
        <f t="shared" si="10"/>
        <v>64</v>
      </c>
      <c r="B68" s="495" t="s">
        <v>1229</v>
      </c>
      <c r="C68" s="163">
        <v>37893</v>
      </c>
      <c r="D68" s="175">
        <v>400000</v>
      </c>
      <c r="E68" s="462"/>
      <c r="F68" s="67">
        <f t="shared" si="0"/>
        <v>400000</v>
      </c>
      <c r="G68" s="67">
        <v>399000</v>
      </c>
      <c r="H68" s="67">
        <f t="shared" si="12"/>
        <v>1000</v>
      </c>
      <c r="I68" s="68">
        <v>5</v>
      </c>
      <c r="J68" s="68">
        <v>0.2</v>
      </c>
      <c r="K68" s="68">
        <v>0</v>
      </c>
      <c r="L68" s="110">
        <f t="shared" si="14"/>
        <v>0</v>
      </c>
      <c r="M68" s="67">
        <f t="shared" si="13"/>
        <v>399000</v>
      </c>
      <c r="N68" s="67">
        <f t="shared" si="3"/>
        <v>1000</v>
      </c>
      <c r="O68" s="111" t="s">
        <v>1230</v>
      </c>
      <c r="P68" s="111">
        <v>1</v>
      </c>
      <c r="Q68" s="464"/>
      <c r="R68" s="23">
        <f t="shared" si="11"/>
        <v>200</v>
      </c>
      <c r="S68" s="23">
        <f t="shared" si="4"/>
        <v>20000</v>
      </c>
      <c r="T68" s="23">
        <f t="shared" si="5"/>
        <v>-19000</v>
      </c>
      <c r="U68" s="23">
        <f t="shared" si="6"/>
        <v>0</v>
      </c>
      <c r="V68" s="10">
        <f t="shared" si="7"/>
        <v>80000</v>
      </c>
      <c r="W68" s="10">
        <f t="shared" si="8"/>
        <v>0</v>
      </c>
      <c r="X68" s="10">
        <f t="shared" si="9"/>
        <v>0</v>
      </c>
    </row>
    <row r="69" spans="1:24" s="9" customFormat="1" ht="13.5" customHeight="1" x14ac:dyDescent="0.2">
      <c r="A69" s="64">
        <f t="shared" si="10"/>
        <v>65</v>
      </c>
      <c r="B69" s="495" t="s">
        <v>1231</v>
      </c>
      <c r="C69" s="163">
        <v>37916</v>
      </c>
      <c r="D69" s="175">
        <v>1000000</v>
      </c>
      <c r="E69" s="462"/>
      <c r="F69" s="67">
        <f t="shared" ref="F69:F132" si="15">+D69+E69</f>
        <v>1000000</v>
      </c>
      <c r="G69" s="67">
        <v>999000</v>
      </c>
      <c r="H69" s="67">
        <f t="shared" si="12"/>
        <v>1000</v>
      </c>
      <c r="I69" s="68">
        <v>5</v>
      </c>
      <c r="J69" s="68">
        <v>0.2</v>
      </c>
      <c r="K69" s="68">
        <v>0</v>
      </c>
      <c r="L69" s="110">
        <f t="shared" si="14"/>
        <v>0</v>
      </c>
      <c r="M69" s="67">
        <f t="shared" si="13"/>
        <v>999000</v>
      </c>
      <c r="N69" s="67">
        <f t="shared" ref="N69:N132" si="16">+F69-M69</f>
        <v>1000</v>
      </c>
      <c r="O69" s="111" t="s">
        <v>1232</v>
      </c>
      <c r="P69" s="111">
        <v>1</v>
      </c>
      <c r="Q69" s="464"/>
      <c r="R69" s="23">
        <f t="shared" si="11"/>
        <v>200</v>
      </c>
      <c r="S69" s="23">
        <f t="shared" ref="S69:S132" si="17">D69*0.05</f>
        <v>50000</v>
      </c>
      <c r="T69" s="23">
        <f t="shared" ref="T69:T132" si="18">N69-S69</f>
        <v>-49000</v>
      </c>
      <c r="U69" s="23">
        <f t="shared" ref="U69:U132" si="19">N69-1000</f>
        <v>0</v>
      </c>
      <c r="V69" s="10">
        <f t="shared" ref="V69:V132" si="20">F69/I69</f>
        <v>200000</v>
      </c>
      <c r="W69" s="10">
        <f t="shared" ref="W69:W132" si="21">ROUND(IF(H69&lt;=1000,0,V69/12*3),0)</f>
        <v>0</v>
      </c>
      <c r="X69" s="10">
        <f t="shared" ref="X69:X132" si="22">L69-W69</f>
        <v>0</v>
      </c>
    </row>
    <row r="70" spans="1:24" s="9" customFormat="1" ht="13.5" customHeight="1" x14ac:dyDescent="0.2">
      <c r="A70" s="64">
        <f t="shared" ref="A70:A133" si="23">+A69+1</f>
        <v>66</v>
      </c>
      <c r="B70" s="495" t="s">
        <v>1233</v>
      </c>
      <c r="C70" s="163">
        <v>37917</v>
      </c>
      <c r="D70" s="175">
        <v>6000000</v>
      </c>
      <c r="E70" s="462"/>
      <c r="F70" s="67">
        <f t="shared" si="15"/>
        <v>6000000</v>
      </c>
      <c r="G70" s="67">
        <v>5999000</v>
      </c>
      <c r="H70" s="67">
        <f t="shared" si="12"/>
        <v>1000</v>
      </c>
      <c r="I70" s="68">
        <v>5</v>
      </c>
      <c r="J70" s="68">
        <v>0.2</v>
      </c>
      <c r="K70" s="68">
        <v>0</v>
      </c>
      <c r="L70" s="110">
        <f t="shared" si="14"/>
        <v>0</v>
      </c>
      <c r="M70" s="67">
        <f t="shared" si="13"/>
        <v>5999000</v>
      </c>
      <c r="N70" s="67">
        <f t="shared" si="16"/>
        <v>1000</v>
      </c>
      <c r="O70" s="111" t="s">
        <v>234</v>
      </c>
      <c r="P70" s="111">
        <v>1</v>
      </c>
      <c r="Q70" s="464"/>
      <c r="R70" s="23">
        <f t="shared" si="11"/>
        <v>200</v>
      </c>
      <c r="S70" s="23">
        <f t="shared" si="17"/>
        <v>300000</v>
      </c>
      <c r="T70" s="23">
        <f t="shared" si="18"/>
        <v>-299000</v>
      </c>
      <c r="U70" s="23">
        <f t="shared" si="19"/>
        <v>0</v>
      </c>
      <c r="V70" s="10">
        <f t="shared" si="20"/>
        <v>1200000</v>
      </c>
      <c r="W70" s="10">
        <f t="shared" si="21"/>
        <v>0</v>
      </c>
      <c r="X70" s="10">
        <f t="shared" si="22"/>
        <v>0</v>
      </c>
    </row>
    <row r="71" spans="1:24" s="9" customFormat="1" ht="13.5" customHeight="1" x14ac:dyDescent="0.2">
      <c r="A71" s="64">
        <f t="shared" si="23"/>
        <v>67</v>
      </c>
      <c r="B71" s="495" t="s">
        <v>1234</v>
      </c>
      <c r="C71" s="163">
        <v>37925</v>
      </c>
      <c r="D71" s="175">
        <v>250000</v>
      </c>
      <c r="E71" s="462"/>
      <c r="F71" s="67">
        <f t="shared" si="15"/>
        <v>250000</v>
      </c>
      <c r="G71" s="67">
        <v>249000</v>
      </c>
      <c r="H71" s="67">
        <f t="shared" si="12"/>
        <v>1000</v>
      </c>
      <c r="I71" s="68">
        <v>5</v>
      </c>
      <c r="J71" s="68">
        <v>0.2</v>
      </c>
      <c r="K71" s="68">
        <v>0</v>
      </c>
      <c r="L71" s="110">
        <f t="shared" si="14"/>
        <v>0</v>
      </c>
      <c r="M71" s="67">
        <f t="shared" si="13"/>
        <v>249000</v>
      </c>
      <c r="N71" s="67">
        <f t="shared" si="16"/>
        <v>1000</v>
      </c>
      <c r="O71" s="111" t="s">
        <v>1235</v>
      </c>
      <c r="P71" s="111">
        <v>1</v>
      </c>
      <c r="Q71" s="464"/>
      <c r="R71" s="23">
        <f t="shared" ref="R71:R134" si="24">+N71*J71</f>
        <v>200</v>
      </c>
      <c r="S71" s="23">
        <f t="shared" si="17"/>
        <v>12500</v>
      </c>
      <c r="T71" s="23">
        <f t="shared" si="18"/>
        <v>-11500</v>
      </c>
      <c r="U71" s="23">
        <f t="shared" si="19"/>
        <v>0</v>
      </c>
      <c r="V71" s="10">
        <f t="shared" si="20"/>
        <v>50000</v>
      </c>
      <c r="W71" s="10">
        <f t="shared" si="21"/>
        <v>0</v>
      </c>
      <c r="X71" s="10">
        <f t="shared" si="22"/>
        <v>0</v>
      </c>
    </row>
    <row r="72" spans="1:24" s="9" customFormat="1" ht="13.5" customHeight="1" x14ac:dyDescent="0.2">
      <c r="A72" s="64">
        <f t="shared" si="23"/>
        <v>68</v>
      </c>
      <c r="B72" s="495" t="s">
        <v>1236</v>
      </c>
      <c r="C72" s="163">
        <v>37925</v>
      </c>
      <c r="D72" s="175">
        <v>12000000</v>
      </c>
      <c r="E72" s="462"/>
      <c r="F72" s="67">
        <f t="shared" si="15"/>
        <v>12000000</v>
      </c>
      <c r="G72" s="67">
        <v>11999000</v>
      </c>
      <c r="H72" s="67">
        <f t="shared" si="12"/>
        <v>1000</v>
      </c>
      <c r="I72" s="68">
        <v>5</v>
      </c>
      <c r="J72" s="68">
        <v>0.2</v>
      </c>
      <c r="K72" s="68">
        <v>0</v>
      </c>
      <c r="L72" s="110">
        <f t="shared" si="14"/>
        <v>0</v>
      </c>
      <c r="M72" s="67">
        <f t="shared" si="13"/>
        <v>11999000</v>
      </c>
      <c r="N72" s="67">
        <f t="shared" si="16"/>
        <v>1000</v>
      </c>
      <c r="O72" s="111" t="s">
        <v>1215</v>
      </c>
      <c r="P72" s="111">
        <v>1</v>
      </c>
      <c r="Q72" s="464"/>
      <c r="R72" s="23">
        <f t="shared" si="24"/>
        <v>200</v>
      </c>
      <c r="S72" s="23">
        <f t="shared" si="17"/>
        <v>600000</v>
      </c>
      <c r="T72" s="23">
        <f t="shared" si="18"/>
        <v>-599000</v>
      </c>
      <c r="U72" s="23">
        <f t="shared" si="19"/>
        <v>0</v>
      </c>
      <c r="V72" s="10">
        <f t="shared" si="20"/>
        <v>2400000</v>
      </c>
      <c r="W72" s="10">
        <f t="shared" si="21"/>
        <v>0</v>
      </c>
      <c r="X72" s="10">
        <f t="shared" si="22"/>
        <v>0</v>
      </c>
    </row>
    <row r="73" spans="1:24" s="9" customFormat="1" ht="13.5" customHeight="1" x14ac:dyDescent="0.2">
      <c r="A73" s="64">
        <f t="shared" si="23"/>
        <v>69</v>
      </c>
      <c r="B73" s="495" t="s">
        <v>1237</v>
      </c>
      <c r="C73" s="163">
        <v>37952</v>
      </c>
      <c r="D73" s="175">
        <v>500000</v>
      </c>
      <c r="E73" s="462"/>
      <c r="F73" s="67">
        <f t="shared" si="15"/>
        <v>500000</v>
      </c>
      <c r="G73" s="67">
        <v>499000</v>
      </c>
      <c r="H73" s="67">
        <f t="shared" si="12"/>
        <v>1000</v>
      </c>
      <c r="I73" s="68">
        <v>5</v>
      </c>
      <c r="J73" s="68">
        <v>0.2</v>
      </c>
      <c r="K73" s="68">
        <v>0</v>
      </c>
      <c r="L73" s="110">
        <f t="shared" si="14"/>
        <v>0</v>
      </c>
      <c r="M73" s="67">
        <f t="shared" si="13"/>
        <v>499000</v>
      </c>
      <c r="N73" s="67">
        <f t="shared" si="16"/>
        <v>1000</v>
      </c>
      <c r="O73" s="111" t="s">
        <v>706</v>
      </c>
      <c r="P73" s="111">
        <v>1</v>
      </c>
      <c r="Q73" s="464"/>
      <c r="R73" s="23">
        <f t="shared" si="24"/>
        <v>200</v>
      </c>
      <c r="S73" s="23">
        <f t="shared" si="17"/>
        <v>25000</v>
      </c>
      <c r="T73" s="23">
        <f t="shared" si="18"/>
        <v>-24000</v>
      </c>
      <c r="U73" s="23">
        <f t="shared" si="19"/>
        <v>0</v>
      </c>
      <c r="V73" s="10">
        <f t="shared" si="20"/>
        <v>100000</v>
      </c>
      <c r="W73" s="10">
        <f t="shared" si="21"/>
        <v>0</v>
      </c>
      <c r="X73" s="10">
        <f t="shared" si="22"/>
        <v>0</v>
      </c>
    </row>
    <row r="74" spans="1:24" s="9" customFormat="1" ht="13.5" customHeight="1" x14ac:dyDescent="0.2">
      <c r="A74" s="64">
        <f t="shared" si="23"/>
        <v>70</v>
      </c>
      <c r="B74" s="495" t="s">
        <v>1238</v>
      </c>
      <c r="C74" s="163">
        <v>37986</v>
      </c>
      <c r="D74" s="175">
        <v>3200000</v>
      </c>
      <c r="E74" s="462"/>
      <c r="F74" s="67">
        <f t="shared" si="15"/>
        <v>3200000</v>
      </c>
      <c r="G74" s="67">
        <v>3199000</v>
      </c>
      <c r="H74" s="67">
        <f t="shared" si="12"/>
        <v>1000</v>
      </c>
      <c r="I74" s="68">
        <v>5</v>
      </c>
      <c r="J74" s="68">
        <v>0.2</v>
      </c>
      <c r="K74" s="68">
        <v>0</v>
      </c>
      <c r="L74" s="110">
        <f t="shared" si="14"/>
        <v>0</v>
      </c>
      <c r="M74" s="67">
        <f t="shared" si="13"/>
        <v>3199000</v>
      </c>
      <c r="N74" s="67">
        <f t="shared" si="16"/>
        <v>1000</v>
      </c>
      <c r="O74" s="111" t="s">
        <v>1215</v>
      </c>
      <c r="P74" s="111"/>
      <c r="Q74" s="464"/>
      <c r="R74" s="23">
        <f t="shared" si="24"/>
        <v>200</v>
      </c>
      <c r="S74" s="23">
        <f t="shared" si="17"/>
        <v>160000</v>
      </c>
      <c r="T74" s="23">
        <f t="shared" si="18"/>
        <v>-159000</v>
      </c>
      <c r="U74" s="23">
        <f t="shared" si="19"/>
        <v>0</v>
      </c>
      <c r="V74" s="10">
        <f t="shared" si="20"/>
        <v>640000</v>
      </c>
      <c r="W74" s="10">
        <f t="shared" si="21"/>
        <v>0</v>
      </c>
      <c r="X74" s="10">
        <f t="shared" si="22"/>
        <v>0</v>
      </c>
    </row>
    <row r="75" spans="1:24" s="9" customFormat="1" ht="13.5" customHeight="1" x14ac:dyDescent="0.2">
      <c r="A75" s="64">
        <f t="shared" si="23"/>
        <v>71</v>
      </c>
      <c r="B75" s="495" t="s">
        <v>1239</v>
      </c>
      <c r="C75" s="163">
        <v>37986</v>
      </c>
      <c r="D75" s="175">
        <v>3500000</v>
      </c>
      <c r="E75" s="462"/>
      <c r="F75" s="67">
        <f t="shared" si="15"/>
        <v>3500000</v>
      </c>
      <c r="G75" s="67">
        <v>3499000</v>
      </c>
      <c r="H75" s="67">
        <f t="shared" si="12"/>
        <v>1000</v>
      </c>
      <c r="I75" s="68">
        <v>5</v>
      </c>
      <c r="J75" s="68">
        <v>0.2</v>
      </c>
      <c r="K75" s="68">
        <v>0</v>
      </c>
      <c r="L75" s="110">
        <f t="shared" si="14"/>
        <v>0</v>
      </c>
      <c r="M75" s="67">
        <f t="shared" si="13"/>
        <v>3499000</v>
      </c>
      <c r="N75" s="67">
        <f t="shared" si="16"/>
        <v>1000</v>
      </c>
      <c r="O75" s="111" t="s">
        <v>1215</v>
      </c>
      <c r="P75" s="111">
        <v>1</v>
      </c>
      <c r="Q75" s="464"/>
      <c r="R75" s="23">
        <f t="shared" si="24"/>
        <v>200</v>
      </c>
      <c r="S75" s="23">
        <f t="shared" si="17"/>
        <v>175000</v>
      </c>
      <c r="T75" s="23">
        <f t="shared" si="18"/>
        <v>-174000</v>
      </c>
      <c r="U75" s="23">
        <f t="shared" si="19"/>
        <v>0</v>
      </c>
      <c r="V75" s="10">
        <f t="shared" si="20"/>
        <v>700000</v>
      </c>
      <c r="W75" s="10">
        <f t="shared" si="21"/>
        <v>0</v>
      </c>
      <c r="X75" s="10">
        <f t="shared" si="22"/>
        <v>0</v>
      </c>
    </row>
    <row r="76" spans="1:24" s="9" customFormat="1" ht="13.5" customHeight="1" x14ac:dyDescent="0.2">
      <c r="A76" s="64">
        <f t="shared" si="23"/>
        <v>72</v>
      </c>
      <c r="B76" s="495" t="s">
        <v>1167</v>
      </c>
      <c r="C76" s="163">
        <v>37986</v>
      </c>
      <c r="D76" s="175">
        <v>30000000</v>
      </c>
      <c r="E76" s="462"/>
      <c r="F76" s="67">
        <f t="shared" si="15"/>
        <v>30000000</v>
      </c>
      <c r="G76" s="67">
        <v>29999000</v>
      </c>
      <c r="H76" s="67">
        <f t="shared" si="12"/>
        <v>1000</v>
      </c>
      <c r="I76" s="68">
        <v>5</v>
      </c>
      <c r="J76" s="68">
        <v>0.2</v>
      </c>
      <c r="K76" s="68">
        <v>0</v>
      </c>
      <c r="L76" s="110">
        <f t="shared" si="14"/>
        <v>0</v>
      </c>
      <c r="M76" s="67">
        <f t="shared" si="13"/>
        <v>29999000</v>
      </c>
      <c r="N76" s="67">
        <f t="shared" si="16"/>
        <v>1000</v>
      </c>
      <c r="O76" s="180" t="s">
        <v>1168</v>
      </c>
      <c r="P76" s="111"/>
      <c r="Q76" s="503"/>
      <c r="R76" s="23">
        <f t="shared" si="24"/>
        <v>200</v>
      </c>
      <c r="S76" s="23">
        <f t="shared" si="17"/>
        <v>1500000</v>
      </c>
      <c r="T76" s="23">
        <f t="shared" si="18"/>
        <v>-1499000</v>
      </c>
      <c r="U76" s="23">
        <f t="shared" si="19"/>
        <v>0</v>
      </c>
      <c r="V76" s="10">
        <f t="shared" si="20"/>
        <v>6000000</v>
      </c>
      <c r="W76" s="10">
        <f t="shared" si="21"/>
        <v>0</v>
      </c>
      <c r="X76" s="10">
        <f t="shared" si="22"/>
        <v>0</v>
      </c>
    </row>
    <row r="77" spans="1:24" s="9" customFormat="1" ht="13.5" customHeight="1" x14ac:dyDescent="0.2">
      <c r="A77" s="64">
        <f t="shared" si="23"/>
        <v>73</v>
      </c>
      <c r="B77" s="65" t="s">
        <v>1240</v>
      </c>
      <c r="C77" s="66" t="s">
        <v>1241</v>
      </c>
      <c r="D77" s="175">
        <v>4000000</v>
      </c>
      <c r="E77" s="462"/>
      <c r="F77" s="67">
        <f t="shared" si="15"/>
        <v>4000000</v>
      </c>
      <c r="G77" s="67">
        <v>3999000</v>
      </c>
      <c r="H77" s="67">
        <f t="shared" si="12"/>
        <v>1000</v>
      </c>
      <c r="I77" s="68">
        <v>5</v>
      </c>
      <c r="J77" s="68">
        <v>0.2</v>
      </c>
      <c r="K77" s="68">
        <v>0</v>
      </c>
      <c r="L77" s="110">
        <f t="shared" si="14"/>
        <v>0</v>
      </c>
      <c r="M77" s="67">
        <f t="shared" si="13"/>
        <v>3999000</v>
      </c>
      <c r="N77" s="67">
        <f t="shared" si="16"/>
        <v>1000</v>
      </c>
      <c r="O77" s="111" t="s">
        <v>1242</v>
      </c>
      <c r="P77" s="111">
        <v>4</v>
      </c>
      <c r="Q77" s="70"/>
      <c r="R77" s="23">
        <f t="shared" si="24"/>
        <v>200</v>
      </c>
      <c r="S77" s="23">
        <f t="shared" si="17"/>
        <v>200000</v>
      </c>
      <c r="T77" s="23">
        <f t="shared" si="18"/>
        <v>-199000</v>
      </c>
      <c r="U77" s="23">
        <f t="shared" si="19"/>
        <v>0</v>
      </c>
      <c r="V77" s="10">
        <f t="shared" si="20"/>
        <v>800000</v>
      </c>
      <c r="W77" s="10">
        <f t="shared" si="21"/>
        <v>0</v>
      </c>
      <c r="X77" s="10">
        <f t="shared" si="22"/>
        <v>0</v>
      </c>
    </row>
    <row r="78" spans="1:24" s="9" customFormat="1" ht="13.5" customHeight="1" x14ac:dyDescent="0.2">
      <c r="A78" s="64">
        <f t="shared" si="23"/>
        <v>74</v>
      </c>
      <c r="B78" s="65" t="s">
        <v>1243</v>
      </c>
      <c r="C78" s="66" t="s">
        <v>1244</v>
      </c>
      <c r="D78" s="175">
        <v>1000000</v>
      </c>
      <c r="E78" s="462"/>
      <c r="F78" s="67">
        <f t="shared" si="15"/>
        <v>1000000</v>
      </c>
      <c r="G78" s="67">
        <v>999000</v>
      </c>
      <c r="H78" s="67">
        <f t="shared" si="12"/>
        <v>1000</v>
      </c>
      <c r="I78" s="68">
        <v>5</v>
      </c>
      <c r="J78" s="68">
        <v>0.2</v>
      </c>
      <c r="K78" s="68">
        <v>0</v>
      </c>
      <c r="L78" s="110">
        <f t="shared" si="14"/>
        <v>0</v>
      </c>
      <c r="M78" s="67">
        <f t="shared" si="13"/>
        <v>999000</v>
      </c>
      <c r="N78" s="67">
        <f t="shared" si="16"/>
        <v>1000</v>
      </c>
      <c r="O78" s="111" t="s">
        <v>1245</v>
      </c>
      <c r="P78" s="111">
        <v>1</v>
      </c>
      <c r="Q78" s="70"/>
      <c r="R78" s="23">
        <f t="shared" si="24"/>
        <v>200</v>
      </c>
      <c r="S78" s="23">
        <f t="shared" si="17"/>
        <v>50000</v>
      </c>
      <c r="T78" s="23">
        <f t="shared" si="18"/>
        <v>-49000</v>
      </c>
      <c r="U78" s="23">
        <f t="shared" si="19"/>
        <v>0</v>
      </c>
      <c r="V78" s="10">
        <f t="shared" si="20"/>
        <v>200000</v>
      </c>
      <c r="W78" s="10">
        <f t="shared" si="21"/>
        <v>0</v>
      </c>
      <c r="X78" s="10">
        <f t="shared" si="22"/>
        <v>0</v>
      </c>
    </row>
    <row r="79" spans="1:24" s="9" customFormat="1" ht="13.5" customHeight="1" x14ac:dyDescent="0.2">
      <c r="A79" s="64">
        <f t="shared" si="23"/>
        <v>75</v>
      </c>
      <c r="B79" s="65" t="s">
        <v>1246</v>
      </c>
      <c r="C79" s="66" t="s">
        <v>1247</v>
      </c>
      <c r="D79" s="175">
        <v>500000</v>
      </c>
      <c r="E79" s="462"/>
      <c r="F79" s="67">
        <f t="shared" si="15"/>
        <v>500000</v>
      </c>
      <c r="G79" s="67">
        <v>499000</v>
      </c>
      <c r="H79" s="67">
        <f t="shared" si="12"/>
        <v>1000</v>
      </c>
      <c r="I79" s="68">
        <v>5</v>
      </c>
      <c r="J79" s="68">
        <v>0.2</v>
      </c>
      <c r="K79" s="68">
        <v>0</v>
      </c>
      <c r="L79" s="110">
        <f t="shared" si="14"/>
        <v>0</v>
      </c>
      <c r="M79" s="67">
        <f t="shared" si="13"/>
        <v>499000</v>
      </c>
      <c r="N79" s="67">
        <f t="shared" si="16"/>
        <v>1000</v>
      </c>
      <c r="O79" s="111" t="s">
        <v>706</v>
      </c>
      <c r="P79" s="111">
        <v>1</v>
      </c>
      <c r="Q79" s="70"/>
      <c r="R79" s="23">
        <f t="shared" si="24"/>
        <v>200</v>
      </c>
      <c r="S79" s="23">
        <f t="shared" si="17"/>
        <v>25000</v>
      </c>
      <c r="T79" s="23">
        <f t="shared" si="18"/>
        <v>-24000</v>
      </c>
      <c r="U79" s="23">
        <f t="shared" si="19"/>
        <v>0</v>
      </c>
      <c r="V79" s="10">
        <f t="shared" si="20"/>
        <v>100000</v>
      </c>
      <c r="W79" s="10">
        <f t="shared" si="21"/>
        <v>0</v>
      </c>
      <c r="X79" s="10">
        <f t="shared" si="22"/>
        <v>0</v>
      </c>
    </row>
    <row r="80" spans="1:24" s="9" customFormat="1" ht="13.5" customHeight="1" x14ac:dyDescent="0.2">
      <c r="A80" s="64">
        <f t="shared" si="23"/>
        <v>76</v>
      </c>
      <c r="B80" s="65" t="s">
        <v>1248</v>
      </c>
      <c r="C80" s="66" t="s">
        <v>1247</v>
      </c>
      <c r="D80" s="175">
        <v>780000</v>
      </c>
      <c r="E80" s="462"/>
      <c r="F80" s="67">
        <f t="shared" si="15"/>
        <v>780000</v>
      </c>
      <c r="G80" s="67">
        <v>779000</v>
      </c>
      <c r="H80" s="67">
        <f t="shared" si="12"/>
        <v>1000</v>
      </c>
      <c r="I80" s="68">
        <v>5</v>
      </c>
      <c r="J80" s="68">
        <v>0.2</v>
      </c>
      <c r="K80" s="68">
        <v>0</v>
      </c>
      <c r="L80" s="110">
        <f t="shared" si="14"/>
        <v>0</v>
      </c>
      <c r="M80" s="67">
        <f t="shared" si="13"/>
        <v>779000</v>
      </c>
      <c r="N80" s="67">
        <f t="shared" si="16"/>
        <v>1000</v>
      </c>
      <c r="O80" s="111" t="s">
        <v>706</v>
      </c>
      <c r="P80" s="111">
        <v>1</v>
      </c>
      <c r="Q80" s="70"/>
      <c r="R80" s="23">
        <f t="shared" si="24"/>
        <v>200</v>
      </c>
      <c r="S80" s="23">
        <f t="shared" si="17"/>
        <v>39000</v>
      </c>
      <c r="T80" s="23">
        <f t="shared" si="18"/>
        <v>-38000</v>
      </c>
      <c r="U80" s="23">
        <f t="shared" si="19"/>
        <v>0</v>
      </c>
      <c r="V80" s="10">
        <f t="shared" si="20"/>
        <v>156000</v>
      </c>
      <c r="W80" s="10">
        <f t="shared" si="21"/>
        <v>0</v>
      </c>
      <c r="X80" s="10">
        <f t="shared" si="22"/>
        <v>0</v>
      </c>
    </row>
    <row r="81" spans="1:24" s="9" customFormat="1" ht="13.5" customHeight="1" x14ac:dyDescent="0.2">
      <c r="A81" s="64">
        <f t="shared" si="23"/>
        <v>77</v>
      </c>
      <c r="B81" s="65" t="s">
        <v>1249</v>
      </c>
      <c r="C81" s="66" t="s">
        <v>1250</v>
      </c>
      <c r="D81" s="175">
        <v>600000</v>
      </c>
      <c r="E81" s="462"/>
      <c r="F81" s="67">
        <f t="shared" si="15"/>
        <v>600000</v>
      </c>
      <c r="G81" s="67">
        <v>599000</v>
      </c>
      <c r="H81" s="67">
        <f t="shared" si="12"/>
        <v>1000</v>
      </c>
      <c r="I81" s="68">
        <v>5</v>
      </c>
      <c r="J81" s="68">
        <v>0.2</v>
      </c>
      <c r="K81" s="68">
        <v>0</v>
      </c>
      <c r="L81" s="110"/>
      <c r="M81" s="67">
        <f t="shared" si="13"/>
        <v>599000</v>
      </c>
      <c r="N81" s="67">
        <f t="shared" si="16"/>
        <v>1000</v>
      </c>
      <c r="O81" s="111" t="s">
        <v>706</v>
      </c>
      <c r="P81" s="111">
        <v>1</v>
      </c>
      <c r="Q81" s="70"/>
      <c r="R81" s="23">
        <f t="shared" si="24"/>
        <v>200</v>
      </c>
      <c r="S81" s="23">
        <f t="shared" si="17"/>
        <v>30000</v>
      </c>
      <c r="T81" s="23">
        <f t="shared" si="18"/>
        <v>-29000</v>
      </c>
      <c r="U81" s="23">
        <f t="shared" si="19"/>
        <v>0</v>
      </c>
      <c r="V81" s="10">
        <f t="shared" si="20"/>
        <v>120000</v>
      </c>
      <c r="W81" s="10">
        <f t="shared" si="21"/>
        <v>0</v>
      </c>
      <c r="X81" s="10">
        <f t="shared" si="22"/>
        <v>0</v>
      </c>
    </row>
    <row r="82" spans="1:24" s="9" customFormat="1" ht="13.5" customHeight="1" x14ac:dyDescent="0.2">
      <c r="A82" s="64">
        <f t="shared" si="23"/>
        <v>78</v>
      </c>
      <c r="B82" s="65" t="s">
        <v>1251</v>
      </c>
      <c r="C82" s="66" t="s">
        <v>1252</v>
      </c>
      <c r="D82" s="175">
        <v>600000</v>
      </c>
      <c r="E82" s="462"/>
      <c r="F82" s="67">
        <f t="shared" si="15"/>
        <v>600000</v>
      </c>
      <c r="G82" s="67">
        <v>599000</v>
      </c>
      <c r="H82" s="67">
        <f t="shared" si="12"/>
        <v>1000</v>
      </c>
      <c r="I82" s="68">
        <v>5</v>
      </c>
      <c r="J82" s="68">
        <v>0.2</v>
      </c>
      <c r="K82" s="68">
        <v>0</v>
      </c>
      <c r="L82" s="110"/>
      <c r="M82" s="67">
        <f t="shared" si="13"/>
        <v>599000</v>
      </c>
      <c r="N82" s="67">
        <f t="shared" si="16"/>
        <v>1000</v>
      </c>
      <c r="O82" s="111" t="s">
        <v>1232</v>
      </c>
      <c r="P82" s="111">
        <v>1</v>
      </c>
      <c r="Q82" s="70"/>
      <c r="R82" s="23">
        <f t="shared" si="24"/>
        <v>200</v>
      </c>
      <c r="S82" s="23">
        <f t="shared" si="17"/>
        <v>30000</v>
      </c>
      <c r="T82" s="23">
        <f t="shared" si="18"/>
        <v>-29000</v>
      </c>
      <c r="U82" s="23">
        <f t="shared" si="19"/>
        <v>0</v>
      </c>
      <c r="V82" s="10">
        <f t="shared" si="20"/>
        <v>120000</v>
      </c>
      <c r="W82" s="10">
        <f t="shared" si="21"/>
        <v>0</v>
      </c>
      <c r="X82" s="10">
        <f t="shared" si="22"/>
        <v>0</v>
      </c>
    </row>
    <row r="83" spans="1:24" s="9" customFormat="1" ht="13.5" customHeight="1" x14ac:dyDescent="0.2">
      <c r="A83" s="64">
        <f t="shared" si="23"/>
        <v>79</v>
      </c>
      <c r="B83" s="65" t="s">
        <v>1240</v>
      </c>
      <c r="C83" s="66" t="s">
        <v>1253</v>
      </c>
      <c r="D83" s="175">
        <v>4000000</v>
      </c>
      <c r="E83" s="462"/>
      <c r="F83" s="67">
        <f t="shared" si="15"/>
        <v>4000000</v>
      </c>
      <c r="G83" s="67">
        <v>3999000</v>
      </c>
      <c r="H83" s="67">
        <f t="shared" si="12"/>
        <v>1000</v>
      </c>
      <c r="I83" s="68">
        <v>5</v>
      </c>
      <c r="J83" s="68">
        <v>0.2</v>
      </c>
      <c r="K83" s="68">
        <v>0</v>
      </c>
      <c r="L83" s="110"/>
      <c r="M83" s="67">
        <f t="shared" si="13"/>
        <v>3999000</v>
      </c>
      <c r="N83" s="67">
        <f t="shared" si="16"/>
        <v>1000</v>
      </c>
      <c r="O83" s="111" t="s">
        <v>1242</v>
      </c>
      <c r="P83" s="111">
        <v>4</v>
      </c>
      <c r="Q83" s="70"/>
      <c r="R83" s="23">
        <f t="shared" si="24"/>
        <v>200</v>
      </c>
      <c r="S83" s="23">
        <f t="shared" si="17"/>
        <v>200000</v>
      </c>
      <c r="T83" s="23">
        <f t="shared" si="18"/>
        <v>-199000</v>
      </c>
      <c r="U83" s="23">
        <f t="shared" si="19"/>
        <v>0</v>
      </c>
      <c r="V83" s="10">
        <f t="shared" si="20"/>
        <v>800000</v>
      </c>
      <c r="W83" s="10">
        <f t="shared" si="21"/>
        <v>0</v>
      </c>
      <c r="X83" s="10">
        <f t="shared" si="22"/>
        <v>0</v>
      </c>
    </row>
    <row r="84" spans="1:24" s="9" customFormat="1" ht="13.5" customHeight="1" x14ac:dyDescent="0.2">
      <c r="A84" s="64">
        <f t="shared" si="23"/>
        <v>80</v>
      </c>
      <c r="B84" s="65" t="s">
        <v>1254</v>
      </c>
      <c r="C84" s="66" t="s">
        <v>1255</v>
      </c>
      <c r="D84" s="175">
        <v>360000</v>
      </c>
      <c r="E84" s="462"/>
      <c r="F84" s="67">
        <f t="shared" si="15"/>
        <v>360000</v>
      </c>
      <c r="G84" s="67">
        <v>359000</v>
      </c>
      <c r="H84" s="67">
        <f t="shared" si="12"/>
        <v>1000</v>
      </c>
      <c r="I84" s="68">
        <v>5</v>
      </c>
      <c r="J84" s="68">
        <v>0.2</v>
      </c>
      <c r="K84" s="68">
        <v>0</v>
      </c>
      <c r="L84" s="110"/>
      <c r="M84" s="67">
        <f t="shared" si="13"/>
        <v>359000</v>
      </c>
      <c r="N84" s="67">
        <f t="shared" si="16"/>
        <v>1000</v>
      </c>
      <c r="O84" s="111" t="s">
        <v>706</v>
      </c>
      <c r="P84" s="111">
        <v>1</v>
      </c>
      <c r="Q84" s="70"/>
      <c r="R84" s="23">
        <f t="shared" si="24"/>
        <v>200</v>
      </c>
      <c r="S84" s="23">
        <f t="shared" si="17"/>
        <v>18000</v>
      </c>
      <c r="T84" s="23">
        <f t="shared" si="18"/>
        <v>-17000</v>
      </c>
      <c r="U84" s="23">
        <f t="shared" si="19"/>
        <v>0</v>
      </c>
      <c r="V84" s="10">
        <f t="shared" si="20"/>
        <v>72000</v>
      </c>
      <c r="W84" s="10">
        <f t="shared" si="21"/>
        <v>0</v>
      </c>
      <c r="X84" s="10">
        <f t="shared" si="22"/>
        <v>0</v>
      </c>
    </row>
    <row r="85" spans="1:24" s="9" customFormat="1" ht="13.5" customHeight="1" x14ac:dyDescent="0.2">
      <c r="A85" s="64">
        <f t="shared" si="23"/>
        <v>81</v>
      </c>
      <c r="B85" s="65" t="s">
        <v>1256</v>
      </c>
      <c r="C85" s="66" t="s">
        <v>1255</v>
      </c>
      <c r="D85" s="175">
        <v>500000</v>
      </c>
      <c r="E85" s="462"/>
      <c r="F85" s="67">
        <f t="shared" si="15"/>
        <v>500000</v>
      </c>
      <c r="G85" s="67">
        <v>499000</v>
      </c>
      <c r="H85" s="67">
        <f t="shared" si="12"/>
        <v>1000</v>
      </c>
      <c r="I85" s="68">
        <v>5</v>
      </c>
      <c r="J85" s="68">
        <v>0.2</v>
      </c>
      <c r="K85" s="68">
        <v>0</v>
      </c>
      <c r="L85" s="110"/>
      <c r="M85" s="67">
        <f t="shared" si="13"/>
        <v>499000</v>
      </c>
      <c r="N85" s="67">
        <f t="shared" si="16"/>
        <v>1000</v>
      </c>
      <c r="O85" s="111" t="s">
        <v>706</v>
      </c>
      <c r="P85" s="111">
        <v>1</v>
      </c>
      <c r="Q85" s="70"/>
      <c r="R85" s="23">
        <f t="shared" si="24"/>
        <v>200</v>
      </c>
      <c r="S85" s="23">
        <f t="shared" si="17"/>
        <v>25000</v>
      </c>
      <c r="T85" s="23">
        <f t="shared" si="18"/>
        <v>-24000</v>
      </c>
      <c r="U85" s="23">
        <f t="shared" si="19"/>
        <v>0</v>
      </c>
      <c r="V85" s="10">
        <f t="shared" si="20"/>
        <v>100000</v>
      </c>
      <c r="W85" s="10">
        <f t="shared" si="21"/>
        <v>0</v>
      </c>
      <c r="X85" s="10">
        <f t="shared" si="22"/>
        <v>0</v>
      </c>
    </row>
    <row r="86" spans="1:24" s="9" customFormat="1" ht="13.5" customHeight="1" x14ac:dyDescent="0.2">
      <c r="A86" s="64">
        <f t="shared" si="23"/>
        <v>82</v>
      </c>
      <c r="B86" s="65" t="s">
        <v>1257</v>
      </c>
      <c r="C86" s="66" t="s">
        <v>1255</v>
      </c>
      <c r="D86" s="175">
        <v>500000</v>
      </c>
      <c r="E86" s="462"/>
      <c r="F86" s="67">
        <f t="shared" si="15"/>
        <v>500000</v>
      </c>
      <c r="G86" s="67">
        <v>499000</v>
      </c>
      <c r="H86" s="67">
        <f t="shared" si="12"/>
        <v>1000</v>
      </c>
      <c r="I86" s="68">
        <v>5</v>
      </c>
      <c r="J86" s="68">
        <v>0.2</v>
      </c>
      <c r="K86" s="68">
        <v>0</v>
      </c>
      <c r="L86" s="110"/>
      <c r="M86" s="67">
        <f t="shared" si="13"/>
        <v>499000</v>
      </c>
      <c r="N86" s="67">
        <f t="shared" si="16"/>
        <v>1000</v>
      </c>
      <c r="O86" s="111" t="s">
        <v>706</v>
      </c>
      <c r="P86" s="111">
        <v>1</v>
      </c>
      <c r="Q86" s="70"/>
      <c r="R86" s="23">
        <f t="shared" si="24"/>
        <v>200</v>
      </c>
      <c r="S86" s="23">
        <f t="shared" si="17"/>
        <v>25000</v>
      </c>
      <c r="T86" s="23">
        <f t="shared" si="18"/>
        <v>-24000</v>
      </c>
      <c r="U86" s="23">
        <f t="shared" si="19"/>
        <v>0</v>
      </c>
      <c r="V86" s="10">
        <f t="shared" si="20"/>
        <v>100000</v>
      </c>
      <c r="W86" s="10">
        <f t="shared" si="21"/>
        <v>0</v>
      </c>
      <c r="X86" s="10">
        <f t="shared" si="22"/>
        <v>0</v>
      </c>
    </row>
    <row r="87" spans="1:24" s="9" customFormat="1" ht="13.5" customHeight="1" x14ac:dyDescent="0.2">
      <c r="A87" s="64">
        <f t="shared" si="23"/>
        <v>83</v>
      </c>
      <c r="B87" s="65" t="s">
        <v>1251</v>
      </c>
      <c r="C87" s="66" t="s">
        <v>1255</v>
      </c>
      <c r="D87" s="175">
        <v>1600000</v>
      </c>
      <c r="E87" s="462"/>
      <c r="F87" s="67">
        <f t="shared" si="15"/>
        <v>1600000</v>
      </c>
      <c r="G87" s="67">
        <v>1599000</v>
      </c>
      <c r="H87" s="67">
        <f t="shared" si="12"/>
        <v>1000</v>
      </c>
      <c r="I87" s="68">
        <v>5</v>
      </c>
      <c r="J87" s="68">
        <v>0.2</v>
      </c>
      <c r="K87" s="68">
        <v>0</v>
      </c>
      <c r="L87" s="110"/>
      <c r="M87" s="67">
        <f t="shared" si="13"/>
        <v>1599000</v>
      </c>
      <c r="N87" s="67">
        <f t="shared" si="16"/>
        <v>1000</v>
      </c>
      <c r="O87" s="111" t="s">
        <v>706</v>
      </c>
      <c r="P87" s="111">
        <v>1</v>
      </c>
      <c r="Q87" s="70"/>
      <c r="R87" s="23">
        <f t="shared" si="24"/>
        <v>200</v>
      </c>
      <c r="S87" s="23">
        <f t="shared" si="17"/>
        <v>80000</v>
      </c>
      <c r="T87" s="23">
        <f t="shared" si="18"/>
        <v>-79000</v>
      </c>
      <c r="U87" s="23">
        <f t="shared" si="19"/>
        <v>0</v>
      </c>
      <c r="V87" s="10">
        <f t="shared" si="20"/>
        <v>320000</v>
      </c>
      <c r="W87" s="10">
        <f t="shared" si="21"/>
        <v>0</v>
      </c>
      <c r="X87" s="10">
        <f t="shared" si="22"/>
        <v>0</v>
      </c>
    </row>
    <row r="88" spans="1:24" s="9" customFormat="1" ht="13.5" customHeight="1" x14ac:dyDescent="0.2">
      <c r="A88" s="64">
        <f t="shared" si="23"/>
        <v>84</v>
      </c>
      <c r="B88" s="65" t="s">
        <v>1258</v>
      </c>
      <c r="C88" s="66" t="s">
        <v>1255</v>
      </c>
      <c r="D88" s="175">
        <v>135000</v>
      </c>
      <c r="E88" s="462"/>
      <c r="F88" s="67">
        <f t="shared" si="15"/>
        <v>135000</v>
      </c>
      <c r="G88" s="67">
        <v>134000</v>
      </c>
      <c r="H88" s="67">
        <f t="shared" si="12"/>
        <v>1000</v>
      </c>
      <c r="I88" s="68">
        <v>5</v>
      </c>
      <c r="J88" s="68">
        <v>0.2</v>
      </c>
      <c r="K88" s="68">
        <v>0</v>
      </c>
      <c r="L88" s="110"/>
      <c r="M88" s="67">
        <f t="shared" si="13"/>
        <v>134000</v>
      </c>
      <c r="N88" s="67">
        <f t="shared" si="16"/>
        <v>1000</v>
      </c>
      <c r="O88" s="111" t="s">
        <v>706</v>
      </c>
      <c r="P88" s="111">
        <v>1</v>
      </c>
      <c r="Q88" s="70"/>
      <c r="R88" s="23">
        <f t="shared" si="24"/>
        <v>200</v>
      </c>
      <c r="S88" s="23">
        <f t="shared" si="17"/>
        <v>6750</v>
      </c>
      <c r="T88" s="23">
        <f t="shared" si="18"/>
        <v>-5750</v>
      </c>
      <c r="U88" s="23">
        <f t="shared" si="19"/>
        <v>0</v>
      </c>
      <c r="V88" s="10">
        <f t="shared" si="20"/>
        <v>27000</v>
      </c>
      <c r="W88" s="10">
        <f t="shared" si="21"/>
        <v>0</v>
      </c>
      <c r="X88" s="10">
        <f t="shared" si="22"/>
        <v>0</v>
      </c>
    </row>
    <row r="89" spans="1:24" s="9" customFormat="1" ht="13.5" customHeight="1" x14ac:dyDescent="0.2">
      <c r="A89" s="64">
        <f t="shared" si="23"/>
        <v>85</v>
      </c>
      <c r="B89" s="65" t="s">
        <v>1259</v>
      </c>
      <c r="C89" s="66" t="s">
        <v>1260</v>
      </c>
      <c r="D89" s="175">
        <v>2000000</v>
      </c>
      <c r="E89" s="462"/>
      <c r="F89" s="67">
        <f t="shared" si="15"/>
        <v>2000000</v>
      </c>
      <c r="G89" s="67">
        <v>1999000</v>
      </c>
      <c r="H89" s="67">
        <f t="shared" si="12"/>
        <v>1000</v>
      </c>
      <c r="I89" s="68">
        <v>5</v>
      </c>
      <c r="J89" s="68">
        <v>0.2</v>
      </c>
      <c r="K89" s="68">
        <v>0</v>
      </c>
      <c r="L89" s="110"/>
      <c r="M89" s="67">
        <f t="shared" si="13"/>
        <v>1999000</v>
      </c>
      <c r="N89" s="67">
        <f t="shared" si="16"/>
        <v>1000</v>
      </c>
      <c r="O89" s="111" t="s">
        <v>1261</v>
      </c>
      <c r="P89" s="111">
        <v>50</v>
      </c>
      <c r="Q89" s="70"/>
      <c r="R89" s="23">
        <f t="shared" si="24"/>
        <v>200</v>
      </c>
      <c r="S89" s="23">
        <f t="shared" si="17"/>
        <v>100000</v>
      </c>
      <c r="T89" s="23">
        <f t="shared" si="18"/>
        <v>-99000</v>
      </c>
      <c r="U89" s="23">
        <f t="shared" si="19"/>
        <v>0</v>
      </c>
      <c r="V89" s="10">
        <f t="shared" si="20"/>
        <v>400000</v>
      </c>
      <c r="W89" s="10">
        <f t="shared" si="21"/>
        <v>0</v>
      </c>
      <c r="X89" s="10">
        <f t="shared" si="22"/>
        <v>0</v>
      </c>
    </row>
    <row r="90" spans="1:24" s="9" customFormat="1" ht="13.5" customHeight="1" x14ac:dyDescent="0.2">
      <c r="A90" s="64">
        <f t="shared" si="23"/>
        <v>86</v>
      </c>
      <c r="B90" s="65" t="s">
        <v>1246</v>
      </c>
      <c r="C90" s="66" t="s">
        <v>1262</v>
      </c>
      <c r="D90" s="175">
        <v>450000</v>
      </c>
      <c r="E90" s="462"/>
      <c r="F90" s="67">
        <f t="shared" si="15"/>
        <v>450000</v>
      </c>
      <c r="G90" s="67">
        <v>449000</v>
      </c>
      <c r="H90" s="67">
        <f t="shared" si="12"/>
        <v>1000</v>
      </c>
      <c r="I90" s="68">
        <v>5</v>
      </c>
      <c r="J90" s="68">
        <v>0.2</v>
      </c>
      <c r="K90" s="68">
        <v>0</v>
      </c>
      <c r="L90" s="110"/>
      <c r="M90" s="67">
        <f t="shared" si="13"/>
        <v>449000</v>
      </c>
      <c r="N90" s="67">
        <f t="shared" si="16"/>
        <v>1000</v>
      </c>
      <c r="O90" s="111" t="s">
        <v>706</v>
      </c>
      <c r="P90" s="111">
        <v>1</v>
      </c>
      <c r="Q90" s="70"/>
      <c r="R90" s="23">
        <f t="shared" si="24"/>
        <v>200</v>
      </c>
      <c r="S90" s="23">
        <f t="shared" si="17"/>
        <v>22500</v>
      </c>
      <c r="T90" s="23">
        <f t="shared" si="18"/>
        <v>-21500</v>
      </c>
      <c r="U90" s="23">
        <f t="shared" si="19"/>
        <v>0</v>
      </c>
      <c r="V90" s="10">
        <f t="shared" si="20"/>
        <v>90000</v>
      </c>
      <c r="W90" s="10">
        <f t="shared" si="21"/>
        <v>0</v>
      </c>
      <c r="X90" s="10">
        <f t="shared" si="22"/>
        <v>0</v>
      </c>
    </row>
    <row r="91" spans="1:24" s="9" customFormat="1" ht="13.5" customHeight="1" x14ac:dyDescent="0.2">
      <c r="A91" s="64">
        <f t="shared" si="23"/>
        <v>87</v>
      </c>
      <c r="B91" s="65" t="s">
        <v>1240</v>
      </c>
      <c r="C91" s="66" t="s">
        <v>1263</v>
      </c>
      <c r="D91" s="175">
        <v>800000</v>
      </c>
      <c r="E91" s="462"/>
      <c r="F91" s="67">
        <f t="shared" si="15"/>
        <v>800000</v>
      </c>
      <c r="G91" s="67">
        <v>799000</v>
      </c>
      <c r="H91" s="67">
        <f t="shared" si="12"/>
        <v>1000</v>
      </c>
      <c r="I91" s="68">
        <v>5</v>
      </c>
      <c r="J91" s="68">
        <v>0.2</v>
      </c>
      <c r="K91" s="68">
        <v>0</v>
      </c>
      <c r="L91" s="110"/>
      <c r="M91" s="67">
        <f t="shared" si="13"/>
        <v>799000</v>
      </c>
      <c r="N91" s="67">
        <f t="shared" si="16"/>
        <v>1000</v>
      </c>
      <c r="O91" s="111" t="s">
        <v>1242</v>
      </c>
      <c r="P91" s="111">
        <v>1</v>
      </c>
      <c r="Q91" s="70"/>
      <c r="R91" s="23">
        <f t="shared" si="24"/>
        <v>200</v>
      </c>
      <c r="S91" s="23">
        <f t="shared" si="17"/>
        <v>40000</v>
      </c>
      <c r="T91" s="23">
        <f t="shared" si="18"/>
        <v>-39000</v>
      </c>
      <c r="U91" s="23">
        <f t="shared" si="19"/>
        <v>0</v>
      </c>
      <c r="V91" s="10">
        <f t="shared" si="20"/>
        <v>160000</v>
      </c>
      <c r="W91" s="10">
        <f t="shared" si="21"/>
        <v>0</v>
      </c>
      <c r="X91" s="10">
        <f t="shared" si="22"/>
        <v>0</v>
      </c>
    </row>
    <row r="92" spans="1:24" s="9" customFormat="1" ht="13.5" customHeight="1" x14ac:dyDescent="0.2">
      <c r="A92" s="64">
        <f t="shared" si="23"/>
        <v>88</v>
      </c>
      <c r="B92" s="65" t="s">
        <v>1264</v>
      </c>
      <c r="C92" s="66" t="s">
        <v>1265</v>
      </c>
      <c r="D92" s="175">
        <v>150000</v>
      </c>
      <c r="E92" s="462"/>
      <c r="F92" s="67">
        <f t="shared" si="15"/>
        <v>150000</v>
      </c>
      <c r="G92" s="67">
        <v>149000</v>
      </c>
      <c r="H92" s="67">
        <f t="shared" si="12"/>
        <v>1000</v>
      </c>
      <c r="I92" s="68">
        <v>5</v>
      </c>
      <c r="J92" s="68">
        <v>0.2</v>
      </c>
      <c r="K92" s="68">
        <v>0</v>
      </c>
      <c r="L92" s="110"/>
      <c r="M92" s="67">
        <f t="shared" si="13"/>
        <v>149000</v>
      </c>
      <c r="N92" s="67">
        <f t="shared" si="16"/>
        <v>1000</v>
      </c>
      <c r="O92" s="111" t="s">
        <v>1266</v>
      </c>
      <c r="P92" s="111">
        <v>1</v>
      </c>
      <c r="Q92" s="70"/>
      <c r="R92" s="23">
        <f t="shared" si="24"/>
        <v>200</v>
      </c>
      <c r="S92" s="23">
        <f t="shared" si="17"/>
        <v>7500</v>
      </c>
      <c r="T92" s="23">
        <f t="shared" si="18"/>
        <v>-6500</v>
      </c>
      <c r="U92" s="23">
        <f t="shared" si="19"/>
        <v>0</v>
      </c>
      <c r="V92" s="10">
        <f t="shared" si="20"/>
        <v>30000</v>
      </c>
      <c r="W92" s="10">
        <f t="shared" si="21"/>
        <v>0</v>
      </c>
      <c r="X92" s="10">
        <f t="shared" si="22"/>
        <v>0</v>
      </c>
    </row>
    <row r="93" spans="1:24" s="9" customFormat="1" ht="13.5" customHeight="1" x14ac:dyDescent="0.2">
      <c r="A93" s="64">
        <f t="shared" si="23"/>
        <v>89</v>
      </c>
      <c r="B93" s="65" t="s">
        <v>1267</v>
      </c>
      <c r="C93" s="66" t="s">
        <v>1265</v>
      </c>
      <c r="D93" s="175">
        <v>300000</v>
      </c>
      <c r="E93" s="462"/>
      <c r="F93" s="67">
        <f t="shared" si="15"/>
        <v>300000</v>
      </c>
      <c r="G93" s="67">
        <v>299000</v>
      </c>
      <c r="H93" s="67">
        <f t="shared" si="12"/>
        <v>1000</v>
      </c>
      <c r="I93" s="68">
        <v>5</v>
      </c>
      <c r="J93" s="68">
        <v>0.2</v>
      </c>
      <c r="K93" s="68">
        <v>0</v>
      </c>
      <c r="L93" s="110"/>
      <c r="M93" s="67">
        <f t="shared" si="13"/>
        <v>299000</v>
      </c>
      <c r="N93" s="67">
        <f t="shared" si="16"/>
        <v>1000</v>
      </c>
      <c r="O93" s="111" t="s">
        <v>234</v>
      </c>
      <c r="P93" s="111">
        <v>1</v>
      </c>
      <c r="Q93" s="70"/>
      <c r="R93" s="23">
        <f t="shared" si="24"/>
        <v>200</v>
      </c>
      <c r="S93" s="23">
        <f t="shared" si="17"/>
        <v>15000</v>
      </c>
      <c r="T93" s="23">
        <f t="shared" si="18"/>
        <v>-14000</v>
      </c>
      <c r="U93" s="23">
        <f t="shared" si="19"/>
        <v>0</v>
      </c>
      <c r="V93" s="10">
        <f t="shared" si="20"/>
        <v>60000</v>
      </c>
      <c r="W93" s="10">
        <f t="shared" si="21"/>
        <v>0</v>
      </c>
      <c r="X93" s="10">
        <f t="shared" si="22"/>
        <v>0</v>
      </c>
    </row>
    <row r="94" spans="1:24" s="9" customFormat="1" ht="13.5" customHeight="1" x14ac:dyDescent="0.2">
      <c r="A94" s="64">
        <f t="shared" si="23"/>
        <v>90</v>
      </c>
      <c r="B94" s="65" t="s">
        <v>1268</v>
      </c>
      <c r="C94" s="66" t="s">
        <v>729</v>
      </c>
      <c r="D94" s="175">
        <v>850000</v>
      </c>
      <c r="E94" s="462"/>
      <c r="F94" s="67">
        <f t="shared" si="15"/>
        <v>850000</v>
      </c>
      <c r="G94" s="67">
        <v>849000</v>
      </c>
      <c r="H94" s="67">
        <f t="shared" si="12"/>
        <v>1000</v>
      </c>
      <c r="I94" s="68">
        <v>5</v>
      </c>
      <c r="J94" s="68">
        <v>0.2</v>
      </c>
      <c r="K94" s="68">
        <v>0</v>
      </c>
      <c r="L94" s="110"/>
      <c r="M94" s="67">
        <f t="shared" si="13"/>
        <v>849000</v>
      </c>
      <c r="N94" s="67">
        <f t="shared" si="16"/>
        <v>1000</v>
      </c>
      <c r="O94" s="111" t="s">
        <v>731</v>
      </c>
      <c r="P94" s="111">
        <v>1</v>
      </c>
      <c r="Q94" s="70"/>
      <c r="R94" s="23">
        <f t="shared" si="24"/>
        <v>200</v>
      </c>
      <c r="S94" s="23">
        <f t="shared" si="17"/>
        <v>42500</v>
      </c>
      <c r="T94" s="23">
        <f t="shared" si="18"/>
        <v>-41500</v>
      </c>
      <c r="U94" s="23">
        <f t="shared" si="19"/>
        <v>0</v>
      </c>
      <c r="V94" s="10">
        <f t="shared" si="20"/>
        <v>170000</v>
      </c>
      <c r="W94" s="10">
        <f t="shared" si="21"/>
        <v>0</v>
      </c>
      <c r="X94" s="10">
        <f t="shared" si="22"/>
        <v>0</v>
      </c>
    </row>
    <row r="95" spans="1:24" s="9" customFormat="1" ht="13.5" customHeight="1" x14ac:dyDescent="0.2">
      <c r="A95" s="64">
        <f t="shared" si="23"/>
        <v>91</v>
      </c>
      <c r="B95" s="65" t="s">
        <v>1269</v>
      </c>
      <c r="C95" s="66" t="s">
        <v>1270</v>
      </c>
      <c r="D95" s="175">
        <v>2600000</v>
      </c>
      <c r="E95" s="462"/>
      <c r="F95" s="67">
        <f t="shared" si="15"/>
        <v>2600000</v>
      </c>
      <c r="G95" s="67">
        <v>2599000</v>
      </c>
      <c r="H95" s="67">
        <f t="shared" si="12"/>
        <v>1000</v>
      </c>
      <c r="I95" s="68">
        <v>5</v>
      </c>
      <c r="J95" s="68">
        <v>0.2</v>
      </c>
      <c r="K95" s="68">
        <v>0</v>
      </c>
      <c r="L95" s="110"/>
      <c r="M95" s="67">
        <f t="shared" si="13"/>
        <v>2599000</v>
      </c>
      <c r="N95" s="67">
        <f t="shared" si="16"/>
        <v>1000</v>
      </c>
      <c r="O95" s="111" t="s">
        <v>1271</v>
      </c>
      <c r="P95" s="111">
        <v>1</v>
      </c>
      <c r="Q95" s="70"/>
      <c r="R95" s="23">
        <f t="shared" si="24"/>
        <v>200</v>
      </c>
      <c r="S95" s="23">
        <f t="shared" si="17"/>
        <v>130000</v>
      </c>
      <c r="T95" s="23">
        <f t="shared" si="18"/>
        <v>-129000</v>
      </c>
      <c r="U95" s="23">
        <f t="shared" si="19"/>
        <v>0</v>
      </c>
      <c r="V95" s="10">
        <f t="shared" si="20"/>
        <v>520000</v>
      </c>
      <c r="W95" s="10">
        <f t="shared" si="21"/>
        <v>0</v>
      </c>
      <c r="X95" s="10">
        <f t="shared" si="22"/>
        <v>0</v>
      </c>
    </row>
    <row r="96" spans="1:24" s="9" customFormat="1" ht="13.5" customHeight="1" x14ac:dyDescent="0.2">
      <c r="A96" s="64">
        <f t="shared" si="23"/>
        <v>92</v>
      </c>
      <c r="B96" s="65" t="s">
        <v>1240</v>
      </c>
      <c r="C96" s="66" t="s">
        <v>261</v>
      </c>
      <c r="D96" s="175">
        <v>1600000</v>
      </c>
      <c r="E96" s="462"/>
      <c r="F96" s="67">
        <f t="shared" si="15"/>
        <v>1600000</v>
      </c>
      <c r="G96" s="67">
        <v>1599000</v>
      </c>
      <c r="H96" s="67">
        <f t="shared" si="12"/>
        <v>1000</v>
      </c>
      <c r="I96" s="68">
        <v>5</v>
      </c>
      <c r="J96" s="68">
        <v>0.2</v>
      </c>
      <c r="K96" s="68">
        <v>0</v>
      </c>
      <c r="L96" s="110"/>
      <c r="M96" s="67">
        <f t="shared" si="13"/>
        <v>1599000</v>
      </c>
      <c r="N96" s="67">
        <f t="shared" si="16"/>
        <v>1000</v>
      </c>
      <c r="O96" s="111" t="s">
        <v>1242</v>
      </c>
      <c r="P96" s="111">
        <v>2</v>
      </c>
      <c r="Q96" s="70"/>
      <c r="R96" s="23">
        <f t="shared" si="24"/>
        <v>200</v>
      </c>
      <c r="S96" s="23">
        <f t="shared" si="17"/>
        <v>80000</v>
      </c>
      <c r="T96" s="23">
        <f t="shared" si="18"/>
        <v>-79000</v>
      </c>
      <c r="U96" s="23">
        <f t="shared" si="19"/>
        <v>0</v>
      </c>
      <c r="V96" s="10">
        <f t="shared" si="20"/>
        <v>320000</v>
      </c>
      <c r="W96" s="10">
        <f t="shared" si="21"/>
        <v>0</v>
      </c>
      <c r="X96" s="10">
        <f t="shared" si="22"/>
        <v>0</v>
      </c>
    </row>
    <row r="97" spans="1:24" s="9" customFormat="1" ht="13.5" customHeight="1" x14ac:dyDescent="0.2">
      <c r="A97" s="64">
        <f t="shared" si="23"/>
        <v>93</v>
      </c>
      <c r="B97" s="65" t="s">
        <v>1240</v>
      </c>
      <c r="C97" s="66" t="s">
        <v>261</v>
      </c>
      <c r="D97" s="175">
        <v>3200000</v>
      </c>
      <c r="E97" s="462"/>
      <c r="F97" s="67">
        <f t="shared" si="15"/>
        <v>3200000</v>
      </c>
      <c r="G97" s="67">
        <v>3199000</v>
      </c>
      <c r="H97" s="67">
        <f t="shared" si="12"/>
        <v>1000</v>
      </c>
      <c r="I97" s="68">
        <v>5</v>
      </c>
      <c r="J97" s="68">
        <v>0.2</v>
      </c>
      <c r="K97" s="68">
        <v>0</v>
      </c>
      <c r="L97" s="110"/>
      <c r="M97" s="67">
        <f t="shared" si="13"/>
        <v>3199000</v>
      </c>
      <c r="N97" s="67">
        <f t="shared" si="16"/>
        <v>1000</v>
      </c>
      <c r="O97" s="111" t="s">
        <v>1242</v>
      </c>
      <c r="P97" s="111">
        <v>4</v>
      </c>
      <c r="Q97" s="70"/>
      <c r="R97" s="23">
        <f t="shared" si="24"/>
        <v>200</v>
      </c>
      <c r="S97" s="23">
        <f t="shared" si="17"/>
        <v>160000</v>
      </c>
      <c r="T97" s="23">
        <f t="shared" si="18"/>
        <v>-159000</v>
      </c>
      <c r="U97" s="23">
        <f t="shared" si="19"/>
        <v>0</v>
      </c>
      <c r="V97" s="10">
        <f t="shared" si="20"/>
        <v>640000</v>
      </c>
      <c r="W97" s="10">
        <f t="shared" si="21"/>
        <v>0</v>
      </c>
      <c r="X97" s="10">
        <f t="shared" si="22"/>
        <v>0</v>
      </c>
    </row>
    <row r="98" spans="1:24" s="9" customFormat="1" ht="13.5" customHeight="1" x14ac:dyDescent="0.2">
      <c r="A98" s="64">
        <f t="shared" si="23"/>
        <v>94</v>
      </c>
      <c r="B98" s="65" t="s">
        <v>1272</v>
      </c>
      <c r="C98" s="66" t="s">
        <v>261</v>
      </c>
      <c r="D98" s="175">
        <v>7000000</v>
      </c>
      <c r="E98" s="462"/>
      <c r="F98" s="67">
        <f t="shared" si="15"/>
        <v>7000000</v>
      </c>
      <c r="G98" s="67">
        <v>6999000</v>
      </c>
      <c r="H98" s="67">
        <f t="shared" si="12"/>
        <v>1000</v>
      </c>
      <c r="I98" s="68">
        <v>5</v>
      </c>
      <c r="J98" s="68">
        <v>0.2</v>
      </c>
      <c r="K98" s="68">
        <v>0</v>
      </c>
      <c r="L98" s="110"/>
      <c r="M98" s="67">
        <f t="shared" si="13"/>
        <v>6999000</v>
      </c>
      <c r="N98" s="67">
        <f t="shared" si="16"/>
        <v>1000</v>
      </c>
      <c r="O98" s="111" t="s">
        <v>1215</v>
      </c>
      <c r="P98" s="111">
        <v>1</v>
      </c>
      <c r="Q98" s="70"/>
      <c r="R98" s="23">
        <f t="shared" si="24"/>
        <v>200</v>
      </c>
      <c r="S98" s="23">
        <f t="shared" si="17"/>
        <v>350000</v>
      </c>
      <c r="T98" s="23">
        <f t="shared" si="18"/>
        <v>-349000</v>
      </c>
      <c r="U98" s="23">
        <f t="shared" si="19"/>
        <v>0</v>
      </c>
      <c r="V98" s="10">
        <f t="shared" si="20"/>
        <v>1400000</v>
      </c>
      <c r="W98" s="10">
        <f t="shared" si="21"/>
        <v>0</v>
      </c>
      <c r="X98" s="10">
        <f t="shared" si="22"/>
        <v>0</v>
      </c>
    </row>
    <row r="99" spans="1:24" s="9" customFormat="1" ht="13.5" customHeight="1" x14ac:dyDescent="0.2">
      <c r="A99" s="64">
        <f t="shared" si="23"/>
        <v>95</v>
      </c>
      <c r="B99" s="65" t="s">
        <v>1273</v>
      </c>
      <c r="C99" s="66" t="s">
        <v>261</v>
      </c>
      <c r="D99" s="175">
        <v>125000</v>
      </c>
      <c r="E99" s="462"/>
      <c r="F99" s="67">
        <f t="shared" si="15"/>
        <v>125000</v>
      </c>
      <c r="G99" s="67">
        <v>124000</v>
      </c>
      <c r="H99" s="67">
        <f t="shared" si="12"/>
        <v>1000</v>
      </c>
      <c r="I99" s="68">
        <v>5</v>
      </c>
      <c r="J99" s="68">
        <v>0.2</v>
      </c>
      <c r="K99" s="68">
        <v>0</v>
      </c>
      <c r="L99" s="110"/>
      <c r="M99" s="67">
        <f t="shared" si="13"/>
        <v>124000</v>
      </c>
      <c r="N99" s="67">
        <f t="shared" si="16"/>
        <v>1000</v>
      </c>
      <c r="O99" s="111" t="s">
        <v>234</v>
      </c>
      <c r="P99" s="111">
        <v>5</v>
      </c>
      <c r="Q99" s="70"/>
      <c r="R99" s="23">
        <f t="shared" si="24"/>
        <v>200</v>
      </c>
      <c r="S99" s="23">
        <f t="shared" si="17"/>
        <v>6250</v>
      </c>
      <c r="T99" s="23">
        <f t="shared" si="18"/>
        <v>-5250</v>
      </c>
      <c r="U99" s="23">
        <f t="shared" si="19"/>
        <v>0</v>
      </c>
      <c r="V99" s="10">
        <f t="shared" si="20"/>
        <v>25000</v>
      </c>
      <c r="W99" s="10">
        <f t="shared" si="21"/>
        <v>0</v>
      </c>
      <c r="X99" s="10">
        <f t="shared" si="22"/>
        <v>0</v>
      </c>
    </row>
    <row r="100" spans="1:24" s="9" customFormat="1" ht="13.5" customHeight="1" x14ac:dyDescent="0.2">
      <c r="A100" s="64">
        <f t="shared" si="23"/>
        <v>96</v>
      </c>
      <c r="B100" s="65" t="s">
        <v>1274</v>
      </c>
      <c r="C100" s="66" t="s">
        <v>261</v>
      </c>
      <c r="D100" s="175">
        <v>1140000</v>
      </c>
      <c r="E100" s="462"/>
      <c r="F100" s="67">
        <f t="shared" si="15"/>
        <v>1140000</v>
      </c>
      <c r="G100" s="67">
        <v>1139000</v>
      </c>
      <c r="H100" s="67">
        <f t="shared" si="12"/>
        <v>1000</v>
      </c>
      <c r="I100" s="68">
        <v>5</v>
      </c>
      <c r="J100" s="68">
        <v>0.2</v>
      </c>
      <c r="K100" s="68">
        <v>0</v>
      </c>
      <c r="L100" s="110"/>
      <c r="M100" s="67">
        <f t="shared" si="13"/>
        <v>1139000</v>
      </c>
      <c r="N100" s="67">
        <f t="shared" si="16"/>
        <v>1000</v>
      </c>
      <c r="O100" s="111" t="s">
        <v>234</v>
      </c>
      <c r="P100" s="111">
        <v>19</v>
      </c>
      <c r="Q100" s="70"/>
      <c r="R100" s="23">
        <f t="shared" si="24"/>
        <v>200</v>
      </c>
      <c r="S100" s="23">
        <f t="shared" si="17"/>
        <v>57000</v>
      </c>
      <c r="T100" s="23">
        <f t="shared" si="18"/>
        <v>-56000</v>
      </c>
      <c r="U100" s="23">
        <f t="shared" si="19"/>
        <v>0</v>
      </c>
      <c r="V100" s="10">
        <f t="shared" si="20"/>
        <v>228000</v>
      </c>
      <c r="W100" s="10">
        <f t="shared" si="21"/>
        <v>0</v>
      </c>
      <c r="X100" s="10">
        <f t="shared" si="22"/>
        <v>0</v>
      </c>
    </row>
    <row r="101" spans="1:24" s="9" customFormat="1" ht="13.5" customHeight="1" x14ac:dyDescent="0.2">
      <c r="A101" s="64">
        <f t="shared" si="23"/>
        <v>97</v>
      </c>
      <c r="B101" s="65" t="s">
        <v>1275</v>
      </c>
      <c r="C101" s="66" t="s">
        <v>261</v>
      </c>
      <c r="D101" s="175">
        <v>550000</v>
      </c>
      <c r="E101" s="462"/>
      <c r="F101" s="67">
        <f t="shared" si="15"/>
        <v>550000</v>
      </c>
      <c r="G101" s="67">
        <v>549000</v>
      </c>
      <c r="H101" s="67">
        <f t="shared" si="12"/>
        <v>1000</v>
      </c>
      <c r="I101" s="68">
        <v>5</v>
      </c>
      <c r="J101" s="68">
        <v>0.2</v>
      </c>
      <c r="K101" s="68">
        <v>0</v>
      </c>
      <c r="L101" s="110"/>
      <c r="M101" s="67">
        <f t="shared" si="13"/>
        <v>549000</v>
      </c>
      <c r="N101" s="67">
        <f t="shared" si="16"/>
        <v>1000</v>
      </c>
      <c r="O101" s="111" t="s">
        <v>234</v>
      </c>
      <c r="P101" s="111">
        <v>1</v>
      </c>
      <c r="Q101" s="70"/>
      <c r="R101" s="23">
        <f t="shared" si="24"/>
        <v>200</v>
      </c>
      <c r="S101" s="23">
        <f t="shared" si="17"/>
        <v>27500</v>
      </c>
      <c r="T101" s="23">
        <f t="shared" si="18"/>
        <v>-26500</v>
      </c>
      <c r="U101" s="23">
        <f t="shared" si="19"/>
        <v>0</v>
      </c>
      <c r="V101" s="10">
        <f t="shared" si="20"/>
        <v>110000</v>
      </c>
      <c r="W101" s="10">
        <f t="shared" si="21"/>
        <v>0</v>
      </c>
      <c r="X101" s="10">
        <f t="shared" si="22"/>
        <v>0</v>
      </c>
    </row>
    <row r="102" spans="1:24" s="9" customFormat="1" ht="13.5" customHeight="1" x14ac:dyDescent="0.2">
      <c r="A102" s="64">
        <f t="shared" si="23"/>
        <v>98</v>
      </c>
      <c r="B102" s="65" t="s">
        <v>1273</v>
      </c>
      <c r="C102" s="66" t="s">
        <v>261</v>
      </c>
      <c r="D102" s="175">
        <v>250000</v>
      </c>
      <c r="E102" s="462"/>
      <c r="F102" s="67">
        <f t="shared" si="15"/>
        <v>250000</v>
      </c>
      <c r="G102" s="67">
        <v>249000</v>
      </c>
      <c r="H102" s="67">
        <f t="shared" si="12"/>
        <v>1000</v>
      </c>
      <c r="I102" s="68">
        <v>5</v>
      </c>
      <c r="J102" s="68">
        <v>0.2</v>
      </c>
      <c r="K102" s="68">
        <v>0</v>
      </c>
      <c r="L102" s="110"/>
      <c r="M102" s="67">
        <f t="shared" si="13"/>
        <v>249000</v>
      </c>
      <c r="N102" s="67">
        <f t="shared" si="16"/>
        <v>1000</v>
      </c>
      <c r="O102" s="111" t="s">
        <v>234</v>
      </c>
      <c r="P102" s="111">
        <v>10</v>
      </c>
      <c r="Q102" s="70"/>
      <c r="R102" s="23">
        <f t="shared" si="24"/>
        <v>200</v>
      </c>
      <c r="S102" s="23">
        <f t="shared" si="17"/>
        <v>12500</v>
      </c>
      <c r="T102" s="23">
        <f t="shared" si="18"/>
        <v>-11500</v>
      </c>
      <c r="U102" s="23">
        <f t="shared" si="19"/>
        <v>0</v>
      </c>
      <c r="V102" s="10">
        <f t="shared" si="20"/>
        <v>50000</v>
      </c>
      <c r="W102" s="10">
        <f t="shared" si="21"/>
        <v>0</v>
      </c>
      <c r="X102" s="10">
        <f t="shared" si="22"/>
        <v>0</v>
      </c>
    </row>
    <row r="103" spans="1:24" s="9" customFormat="1" ht="13.5" customHeight="1" x14ac:dyDescent="0.2">
      <c r="A103" s="64">
        <f t="shared" si="23"/>
        <v>99</v>
      </c>
      <c r="B103" s="65" t="s">
        <v>1258</v>
      </c>
      <c r="C103" s="66" t="s">
        <v>264</v>
      </c>
      <c r="D103" s="175">
        <v>180000</v>
      </c>
      <c r="E103" s="462"/>
      <c r="F103" s="67">
        <f t="shared" si="15"/>
        <v>180000</v>
      </c>
      <c r="G103" s="67">
        <v>179000</v>
      </c>
      <c r="H103" s="67">
        <f t="shared" si="12"/>
        <v>1000</v>
      </c>
      <c r="I103" s="68">
        <v>5</v>
      </c>
      <c r="J103" s="68">
        <v>0.2</v>
      </c>
      <c r="K103" s="68">
        <v>0</v>
      </c>
      <c r="L103" s="110"/>
      <c r="M103" s="67">
        <f t="shared" si="13"/>
        <v>179000</v>
      </c>
      <c r="N103" s="67">
        <f t="shared" si="16"/>
        <v>1000</v>
      </c>
      <c r="O103" s="111" t="s">
        <v>1276</v>
      </c>
      <c r="P103" s="111">
        <v>6</v>
      </c>
      <c r="Q103" s="70"/>
      <c r="R103" s="23">
        <f t="shared" si="24"/>
        <v>200</v>
      </c>
      <c r="S103" s="23">
        <f t="shared" si="17"/>
        <v>9000</v>
      </c>
      <c r="T103" s="23">
        <f t="shared" si="18"/>
        <v>-8000</v>
      </c>
      <c r="U103" s="23">
        <f t="shared" si="19"/>
        <v>0</v>
      </c>
      <c r="V103" s="10">
        <f t="shared" si="20"/>
        <v>36000</v>
      </c>
      <c r="W103" s="10">
        <f t="shared" si="21"/>
        <v>0</v>
      </c>
      <c r="X103" s="10">
        <f t="shared" si="22"/>
        <v>0</v>
      </c>
    </row>
    <row r="104" spans="1:24" s="9" customFormat="1" ht="13.5" customHeight="1" x14ac:dyDescent="0.2">
      <c r="A104" s="64">
        <f t="shared" si="23"/>
        <v>100</v>
      </c>
      <c r="B104" s="65" t="s">
        <v>1277</v>
      </c>
      <c r="C104" s="66" t="s">
        <v>1278</v>
      </c>
      <c r="D104" s="175">
        <v>600000</v>
      </c>
      <c r="E104" s="462"/>
      <c r="F104" s="67">
        <f t="shared" si="15"/>
        <v>600000</v>
      </c>
      <c r="G104" s="67">
        <v>599000</v>
      </c>
      <c r="H104" s="67">
        <f t="shared" si="12"/>
        <v>1000</v>
      </c>
      <c r="I104" s="68">
        <v>5</v>
      </c>
      <c r="J104" s="68">
        <v>0.2</v>
      </c>
      <c r="K104" s="68">
        <v>0</v>
      </c>
      <c r="L104" s="110"/>
      <c r="M104" s="67">
        <f t="shared" si="13"/>
        <v>599000</v>
      </c>
      <c r="N104" s="67">
        <f t="shared" si="16"/>
        <v>1000</v>
      </c>
      <c r="O104" s="111" t="s">
        <v>1232</v>
      </c>
      <c r="P104" s="111">
        <v>1</v>
      </c>
      <c r="Q104" s="70"/>
      <c r="R104" s="23">
        <f t="shared" si="24"/>
        <v>200</v>
      </c>
      <c r="S104" s="23">
        <f t="shared" si="17"/>
        <v>30000</v>
      </c>
      <c r="T104" s="23">
        <f t="shared" si="18"/>
        <v>-29000</v>
      </c>
      <c r="U104" s="23">
        <f t="shared" si="19"/>
        <v>0</v>
      </c>
      <c r="V104" s="10">
        <f t="shared" si="20"/>
        <v>120000</v>
      </c>
      <c r="W104" s="10">
        <f t="shared" si="21"/>
        <v>0</v>
      </c>
      <c r="X104" s="10">
        <f t="shared" si="22"/>
        <v>0</v>
      </c>
    </row>
    <row r="105" spans="1:24" s="9" customFormat="1" ht="13.5" customHeight="1" x14ac:dyDescent="0.2">
      <c r="A105" s="64">
        <f t="shared" si="23"/>
        <v>101</v>
      </c>
      <c r="B105" s="65" t="s">
        <v>1279</v>
      </c>
      <c r="C105" s="66" t="s">
        <v>1280</v>
      </c>
      <c r="D105" s="175">
        <v>137500</v>
      </c>
      <c r="E105" s="462"/>
      <c r="F105" s="67">
        <f t="shared" si="15"/>
        <v>137500</v>
      </c>
      <c r="G105" s="67">
        <v>136500</v>
      </c>
      <c r="H105" s="67">
        <f t="shared" si="12"/>
        <v>1000</v>
      </c>
      <c r="I105" s="68">
        <v>5</v>
      </c>
      <c r="J105" s="68">
        <v>0.2</v>
      </c>
      <c r="K105" s="68">
        <v>0</v>
      </c>
      <c r="L105" s="110"/>
      <c r="M105" s="67">
        <f t="shared" si="13"/>
        <v>136500</v>
      </c>
      <c r="N105" s="67">
        <f t="shared" si="16"/>
        <v>1000</v>
      </c>
      <c r="O105" s="111" t="s">
        <v>1281</v>
      </c>
      <c r="P105" s="111">
        <v>1</v>
      </c>
      <c r="Q105" s="70"/>
      <c r="R105" s="23">
        <f t="shared" si="24"/>
        <v>200</v>
      </c>
      <c r="S105" s="23">
        <f t="shared" si="17"/>
        <v>6875</v>
      </c>
      <c r="T105" s="23">
        <f t="shared" si="18"/>
        <v>-5875</v>
      </c>
      <c r="U105" s="23">
        <f t="shared" si="19"/>
        <v>0</v>
      </c>
      <c r="V105" s="10">
        <f t="shared" si="20"/>
        <v>27500</v>
      </c>
      <c r="W105" s="10">
        <f t="shared" si="21"/>
        <v>0</v>
      </c>
      <c r="X105" s="10">
        <f t="shared" si="22"/>
        <v>0</v>
      </c>
    </row>
    <row r="106" spans="1:24" s="9" customFormat="1" ht="13.5" customHeight="1" x14ac:dyDescent="0.2">
      <c r="A106" s="64">
        <f t="shared" si="23"/>
        <v>102</v>
      </c>
      <c r="B106" s="65" t="s">
        <v>1267</v>
      </c>
      <c r="C106" s="66" t="s">
        <v>1282</v>
      </c>
      <c r="D106" s="175">
        <v>300000</v>
      </c>
      <c r="E106" s="462"/>
      <c r="F106" s="67">
        <f t="shared" si="15"/>
        <v>300000</v>
      </c>
      <c r="G106" s="67">
        <v>299000</v>
      </c>
      <c r="H106" s="67">
        <f t="shared" si="12"/>
        <v>1000</v>
      </c>
      <c r="I106" s="68">
        <v>5</v>
      </c>
      <c r="J106" s="68">
        <v>0.2</v>
      </c>
      <c r="K106" s="68">
        <v>0</v>
      </c>
      <c r="L106" s="110"/>
      <c r="M106" s="67">
        <f t="shared" si="13"/>
        <v>299000</v>
      </c>
      <c r="N106" s="67">
        <f t="shared" si="16"/>
        <v>1000</v>
      </c>
      <c r="O106" s="111" t="s">
        <v>234</v>
      </c>
      <c r="P106" s="111">
        <v>1</v>
      </c>
      <c r="Q106" s="70"/>
      <c r="R106" s="23">
        <f t="shared" si="24"/>
        <v>200</v>
      </c>
      <c r="S106" s="23">
        <f t="shared" si="17"/>
        <v>15000</v>
      </c>
      <c r="T106" s="23">
        <f t="shared" si="18"/>
        <v>-14000</v>
      </c>
      <c r="U106" s="23">
        <f t="shared" si="19"/>
        <v>0</v>
      </c>
      <c r="V106" s="10">
        <f t="shared" si="20"/>
        <v>60000</v>
      </c>
      <c r="W106" s="10">
        <f t="shared" si="21"/>
        <v>0</v>
      </c>
      <c r="X106" s="10">
        <f t="shared" si="22"/>
        <v>0</v>
      </c>
    </row>
    <row r="107" spans="1:24" s="9" customFormat="1" ht="13.5" customHeight="1" x14ac:dyDescent="0.2">
      <c r="A107" s="64">
        <f t="shared" si="23"/>
        <v>103</v>
      </c>
      <c r="B107" s="65" t="s">
        <v>1283</v>
      </c>
      <c r="C107" s="66" t="s">
        <v>1284</v>
      </c>
      <c r="D107" s="175">
        <v>4200000</v>
      </c>
      <c r="E107" s="462"/>
      <c r="F107" s="67">
        <f t="shared" si="15"/>
        <v>4200000</v>
      </c>
      <c r="G107" s="67">
        <v>4199000</v>
      </c>
      <c r="H107" s="67">
        <f t="shared" si="12"/>
        <v>1000</v>
      </c>
      <c r="I107" s="68">
        <v>5</v>
      </c>
      <c r="J107" s="68">
        <v>0.2</v>
      </c>
      <c r="K107" s="68">
        <v>0</v>
      </c>
      <c r="L107" s="110"/>
      <c r="M107" s="67">
        <f t="shared" si="13"/>
        <v>4199000</v>
      </c>
      <c r="N107" s="67">
        <f t="shared" si="16"/>
        <v>1000</v>
      </c>
      <c r="O107" s="111" t="s">
        <v>1215</v>
      </c>
      <c r="P107" s="111">
        <v>1</v>
      </c>
      <c r="Q107" s="70"/>
      <c r="R107" s="23">
        <f t="shared" si="24"/>
        <v>200</v>
      </c>
      <c r="S107" s="23">
        <f t="shared" si="17"/>
        <v>210000</v>
      </c>
      <c r="T107" s="23">
        <f t="shared" si="18"/>
        <v>-209000</v>
      </c>
      <c r="U107" s="23">
        <f t="shared" si="19"/>
        <v>0</v>
      </c>
      <c r="V107" s="10">
        <f t="shared" si="20"/>
        <v>840000</v>
      </c>
      <c r="W107" s="10">
        <f t="shared" si="21"/>
        <v>0</v>
      </c>
      <c r="X107" s="10">
        <f t="shared" si="22"/>
        <v>0</v>
      </c>
    </row>
    <row r="108" spans="1:24" s="9" customFormat="1" ht="13.5" customHeight="1" x14ac:dyDescent="0.2">
      <c r="A108" s="64">
        <f t="shared" si="23"/>
        <v>104</v>
      </c>
      <c r="B108" s="65" t="s">
        <v>1285</v>
      </c>
      <c r="C108" s="66" t="s">
        <v>1284</v>
      </c>
      <c r="D108" s="175">
        <v>3800000</v>
      </c>
      <c r="E108" s="462"/>
      <c r="F108" s="67">
        <f t="shared" si="15"/>
        <v>3800000</v>
      </c>
      <c r="G108" s="67">
        <v>3799000</v>
      </c>
      <c r="H108" s="67">
        <f t="shared" ref="H108:H168" si="25">+F108-G108</f>
        <v>1000</v>
      </c>
      <c r="I108" s="68">
        <v>5</v>
      </c>
      <c r="J108" s="68">
        <v>0.2</v>
      </c>
      <c r="K108" s="68">
        <v>0</v>
      </c>
      <c r="L108" s="110"/>
      <c r="M108" s="67">
        <f t="shared" ref="M108:M171" si="26">+G108+L108</f>
        <v>3799000</v>
      </c>
      <c r="N108" s="67">
        <f t="shared" si="16"/>
        <v>1000</v>
      </c>
      <c r="O108" s="111" t="s">
        <v>1215</v>
      </c>
      <c r="P108" s="111">
        <v>1</v>
      </c>
      <c r="Q108" s="70"/>
      <c r="R108" s="23">
        <f t="shared" si="24"/>
        <v>200</v>
      </c>
      <c r="S108" s="23">
        <f t="shared" si="17"/>
        <v>190000</v>
      </c>
      <c r="T108" s="23">
        <f t="shared" si="18"/>
        <v>-189000</v>
      </c>
      <c r="U108" s="23">
        <f t="shared" si="19"/>
        <v>0</v>
      </c>
      <c r="V108" s="10">
        <f t="shared" si="20"/>
        <v>760000</v>
      </c>
      <c r="W108" s="10">
        <f t="shared" si="21"/>
        <v>0</v>
      </c>
      <c r="X108" s="10">
        <f t="shared" si="22"/>
        <v>0</v>
      </c>
    </row>
    <row r="109" spans="1:24" s="9" customFormat="1" ht="13.5" customHeight="1" x14ac:dyDescent="0.2">
      <c r="A109" s="64">
        <f t="shared" si="23"/>
        <v>105</v>
      </c>
      <c r="B109" s="65" t="s">
        <v>1286</v>
      </c>
      <c r="C109" s="66" t="s">
        <v>1284</v>
      </c>
      <c r="D109" s="175">
        <v>7500000</v>
      </c>
      <c r="E109" s="462"/>
      <c r="F109" s="67">
        <f t="shared" si="15"/>
        <v>7500000</v>
      </c>
      <c r="G109" s="67">
        <v>7499000</v>
      </c>
      <c r="H109" s="67">
        <f t="shared" si="25"/>
        <v>1000</v>
      </c>
      <c r="I109" s="68">
        <v>5</v>
      </c>
      <c r="J109" s="68">
        <v>0.2</v>
      </c>
      <c r="K109" s="68">
        <v>0</v>
      </c>
      <c r="L109" s="110"/>
      <c r="M109" s="67">
        <f t="shared" si="26"/>
        <v>7499000</v>
      </c>
      <c r="N109" s="67">
        <f t="shared" si="16"/>
        <v>1000</v>
      </c>
      <c r="O109" s="111" t="s">
        <v>1215</v>
      </c>
      <c r="P109" s="111">
        <v>1</v>
      </c>
      <c r="Q109" s="70"/>
      <c r="R109" s="23">
        <f t="shared" si="24"/>
        <v>200</v>
      </c>
      <c r="S109" s="23">
        <f t="shared" si="17"/>
        <v>375000</v>
      </c>
      <c r="T109" s="23">
        <f t="shared" si="18"/>
        <v>-374000</v>
      </c>
      <c r="U109" s="23">
        <f t="shared" si="19"/>
        <v>0</v>
      </c>
      <c r="V109" s="10">
        <f t="shared" si="20"/>
        <v>1500000</v>
      </c>
      <c r="W109" s="10">
        <f t="shared" si="21"/>
        <v>0</v>
      </c>
      <c r="X109" s="10">
        <f t="shared" si="22"/>
        <v>0</v>
      </c>
    </row>
    <row r="110" spans="1:24" s="9" customFormat="1" ht="13.5" customHeight="1" x14ac:dyDescent="0.2">
      <c r="A110" s="64">
        <f t="shared" si="23"/>
        <v>106</v>
      </c>
      <c r="B110" s="65" t="s">
        <v>1287</v>
      </c>
      <c r="C110" s="66" t="s">
        <v>1284</v>
      </c>
      <c r="D110" s="175">
        <v>13000000</v>
      </c>
      <c r="E110" s="462"/>
      <c r="F110" s="67">
        <f t="shared" si="15"/>
        <v>13000000</v>
      </c>
      <c r="G110" s="67">
        <v>12999000</v>
      </c>
      <c r="H110" s="67">
        <f t="shared" si="25"/>
        <v>1000</v>
      </c>
      <c r="I110" s="68">
        <v>5</v>
      </c>
      <c r="J110" s="68">
        <v>0.2</v>
      </c>
      <c r="K110" s="68">
        <v>0</v>
      </c>
      <c r="L110" s="110"/>
      <c r="M110" s="67">
        <f t="shared" si="26"/>
        <v>12999000</v>
      </c>
      <c r="N110" s="67">
        <f t="shared" si="16"/>
        <v>1000</v>
      </c>
      <c r="O110" s="111" t="s">
        <v>1215</v>
      </c>
      <c r="P110" s="111">
        <v>1</v>
      </c>
      <c r="Q110" s="70"/>
      <c r="R110" s="23">
        <f t="shared" si="24"/>
        <v>200</v>
      </c>
      <c r="S110" s="23">
        <f t="shared" si="17"/>
        <v>650000</v>
      </c>
      <c r="T110" s="23">
        <f t="shared" si="18"/>
        <v>-649000</v>
      </c>
      <c r="U110" s="23">
        <f t="shared" si="19"/>
        <v>0</v>
      </c>
      <c r="V110" s="10">
        <f t="shared" si="20"/>
        <v>2600000</v>
      </c>
      <c r="W110" s="10">
        <f t="shared" si="21"/>
        <v>0</v>
      </c>
      <c r="X110" s="10">
        <f t="shared" si="22"/>
        <v>0</v>
      </c>
    </row>
    <row r="111" spans="1:24" s="9" customFormat="1" ht="13.5" customHeight="1" x14ac:dyDescent="0.2">
      <c r="A111" s="64">
        <f t="shared" si="23"/>
        <v>107</v>
      </c>
      <c r="B111" s="65" t="s">
        <v>1288</v>
      </c>
      <c r="C111" s="66" t="s">
        <v>1289</v>
      </c>
      <c r="D111" s="175">
        <v>650000</v>
      </c>
      <c r="E111" s="462"/>
      <c r="F111" s="67">
        <f t="shared" si="15"/>
        <v>650000</v>
      </c>
      <c r="G111" s="67">
        <v>649000</v>
      </c>
      <c r="H111" s="67">
        <f t="shared" si="25"/>
        <v>1000</v>
      </c>
      <c r="I111" s="68">
        <v>5</v>
      </c>
      <c r="J111" s="68">
        <v>0.2</v>
      </c>
      <c r="K111" s="68">
        <v>0</v>
      </c>
      <c r="L111" s="110"/>
      <c r="M111" s="67">
        <f t="shared" si="26"/>
        <v>649000</v>
      </c>
      <c r="N111" s="67">
        <f t="shared" si="16"/>
        <v>1000</v>
      </c>
      <c r="O111" s="111" t="s">
        <v>1290</v>
      </c>
      <c r="P111" s="111">
        <v>1</v>
      </c>
      <c r="Q111" s="70"/>
      <c r="R111" s="23">
        <f t="shared" si="24"/>
        <v>200</v>
      </c>
      <c r="S111" s="23">
        <f t="shared" si="17"/>
        <v>32500</v>
      </c>
      <c r="T111" s="23">
        <f t="shared" si="18"/>
        <v>-31500</v>
      </c>
      <c r="U111" s="23">
        <f t="shared" si="19"/>
        <v>0</v>
      </c>
      <c r="V111" s="10">
        <f t="shared" si="20"/>
        <v>130000</v>
      </c>
      <c r="W111" s="10">
        <f t="shared" si="21"/>
        <v>0</v>
      </c>
      <c r="X111" s="10">
        <f t="shared" si="22"/>
        <v>0</v>
      </c>
    </row>
    <row r="112" spans="1:24" s="9" customFormat="1" ht="13.5" customHeight="1" x14ac:dyDescent="0.2">
      <c r="A112" s="64">
        <f t="shared" si="23"/>
        <v>108</v>
      </c>
      <c r="B112" s="65" t="s">
        <v>1291</v>
      </c>
      <c r="C112" s="66" t="s">
        <v>1289</v>
      </c>
      <c r="D112" s="175">
        <v>580000</v>
      </c>
      <c r="E112" s="462"/>
      <c r="F112" s="67">
        <f t="shared" si="15"/>
        <v>580000</v>
      </c>
      <c r="G112" s="67">
        <v>579000</v>
      </c>
      <c r="H112" s="67">
        <f t="shared" si="25"/>
        <v>1000</v>
      </c>
      <c r="I112" s="68">
        <v>5</v>
      </c>
      <c r="J112" s="68">
        <v>0.2</v>
      </c>
      <c r="K112" s="68">
        <v>0</v>
      </c>
      <c r="L112" s="110"/>
      <c r="M112" s="67">
        <f t="shared" si="26"/>
        <v>579000</v>
      </c>
      <c r="N112" s="67">
        <f t="shared" si="16"/>
        <v>1000</v>
      </c>
      <c r="O112" s="111" t="s">
        <v>1290</v>
      </c>
      <c r="P112" s="111">
        <v>1</v>
      </c>
      <c r="Q112" s="70"/>
      <c r="R112" s="23">
        <f t="shared" si="24"/>
        <v>200</v>
      </c>
      <c r="S112" s="23">
        <f t="shared" si="17"/>
        <v>29000</v>
      </c>
      <c r="T112" s="23">
        <f t="shared" si="18"/>
        <v>-28000</v>
      </c>
      <c r="U112" s="23">
        <f t="shared" si="19"/>
        <v>0</v>
      </c>
      <c r="V112" s="10">
        <f t="shared" si="20"/>
        <v>116000</v>
      </c>
      <c r="W112" s="10">
        <f t="shared" si="21"/>
        <v>0</v>
      </c>
      <c r="X112" s="10">
        <f t="shared" si="22"/>
        <v>0</v>
      </c>
    </row>
    <row r="113" spans="1:24" s="9" customFormat="1" ht="13.5" customHeight="1" x14ac:dyDescent="0.2">
      <c r="A113" s="64">
        <f t="shared" si="23"/>
        <v>109</v>
      </c>
      <c r="B113" s="65" t="s">
        <v>1292</v>
      </c>
      <c r="C113" s="66" t="s">
        <v>266</v>
      </c>
      <c r="D113" s="175">
        <v>630000</v>
      </c>
      <c r="E113" s="462"/>
      <c r="F113" s="67">
        <f t="shared" si="15"/>
        <v>630000</v>
      </c>
      <c r="G113" s="67">
        <v>629000</v>
      </c>
      <c r="H113" s="67">
        <f t="shared" si="25"/>
        <v>1000</v>
      </c>
      <c r="I113" s="68">
        <v>5</v>
      </c>
      <c r="J113" s="68">
        <v>0.2</v>
      </c>
      <c r="K113" s="68">
        <v>0</v>
      </c>
      <c r="L113" s="110"/>
      <c r="M113" s="67">
        <f t="shared" si="26"/>
        <v>629000</v>
      </c>
      <c r="N113" s="67">
        <f t="shared" si="16"/>
        <v>1000</v>
      </c>
      <c r="O113" s="180" t="s">
        <v>1293</v>
      </c>
      <c r="P113" s="111">
        <v>3</v>
      </c>
      <c r="Q113" s="70"/>
      <c r="R113" s="23">
        <f t="shared" si="24"/>
        <v>200</v>
      </c>
      <c r="S113" s="23">
        <f t="shared" si="17"/>
        <v>31500</v>
      </c>
      <c r="T113" s="23">
        <f t="shared" si="18"/>
        <v>-30500</v>
      </c>
      <c r="U113" s="23">
        <f t="shared" si="19"/>
        <v>0</v>
      </c>
      <c r="V113" s="10">
        <f t="shared" si="20"/>
        <v>126000</v>
      </c>
      <c r="W113" s="10">
        <f t="shared" si="21"/>
        <v>0</v>
      </c>
      <c r="X113" s="10">
        <f t="shared" si="22"/>
        <v>0</v>
      </c>
    </row>
    <row r="114" spans="1:24" s="9" customFormat="1" ht="13.5" customHeight="1" x14ac:dyDescent="0.2">
      <c r="A114" s="64">
        <f t="shared" si="23"/>
        <v>110</v>
      </c>
      <c r="B114" s="65" t="s">
        <v>1294</v>
      </c>
      <c r="C114" s="66" t="s">
        <v>1295</v>
      </c>
      <c r="D114" s="175">
        <v>3700800</v>
      </c>
      <c r="E114" s="462"/>
      <c r="F114" s="67">
        <f t="shared" si="15"/>
        <v>3700800</v>
      </c>
      <c r="G114" s="67">
        <v>3699800</v>
      </c>
      <c r="H114" s="67">
        <f t="shared" si="25"/>
        <v>1000</v>
      </c>
      <c r="I114" s="68">
        <v>5</v>
      </c>
      <c r="J114" s="68">
        <v>0.2</v>
      </c>
      <c r="K114" s="68">
        <v>0</v>
      </c>
      <c r="L114" s="110"/>
      <c r="M114" s="67">
        <f t="shared" si="26"/>
        <v>3699800</v>
      </c>
      <c r="N114" s="67">
        <f t="shared" si="16"/>
        <v>1000</v>
      </c>
      <c r="O114" s="505" t="s">
        <v>1296</v>
      </c>
      <c r="P114" s="111">
        <v>4</v>
      </c>
      <c r="Q114" s="70"/>
      <c r="R114" s="23">
        <f t="shared" si="24"/>
        <v>200</v>
      </c>
      <c r="S114" s="23">
        <f t="shared" si="17"/>
        <v>185040</v>
      </c>
      <c r="T114" s="23">
        <f t="shared" si="18"/>
        <v>-184040</v>
      </c>
      <c r="U114" s="23">
        <f t="shared" si="19"/>
        <v>0</v>
      </c>
      <c r="V114" s="10">
        <f t="shared" si="20"/>
        <v>740160</v>
      </c>
      <c r="W114" s="10">
        <f t="shared" si="21"/>
        <v>0</v>
      </c>
      <c r="X114" s="10">
        <f t="shared" si="22"/>
        <v>0</v>
      </c>
    </row>
    <row r="115" spans="1:24" s="9" customFormat="1" ht="13.5" customHeight="1" x14ac:dyDescent="0.2">
      <c r="A115" s="64">
        <f t="shared" si="23"/>
        <v>111</v>
      </c>
      <c r="B115" s="65" t="s">
        <v>1297</v>
      </c>
      <c r="C115" s="66" t="s">
        <v>1298</v>
      </c>
      <c r="D115" s="175">
        <v>950000</v>
      </c>
      <c r="E115" s="462"/>
      <c r="F115" s="67">
        <f t="shared" si="15"/>
        <v>950000</v>
      </c>
      <c r="G115" s="67">
        <v>949000</v>
      </c>
      <c r="H115" s="67">
        <f t="shared" si="25"/>
        <v>1000</v>
      </c>
      <c r="I115" s="68">
        <v>5</v>
      </c>
      <c r="J115" s="68">
        <v>0.2</v>
      </c>
      <c r="K115" s="68">
        <v>0</v>
      </c>
      <c r="L115" s="110"/>
      <c r="M115" s="67">
        <f t="shared" si="26"/>
        <v>949000</v>
      </c>
      <c r="N115" s="67">
        <f t="shared" si="16"/>
        <v>1000</v>
      </c>
      <c r="O115" s="111" t="s">
        <v>1299</v>
      </c>
      <c r="P115" s="111">
        <v>1</v>
      </c>
      <c r="Q115" s="70"/>
      <c r="R115" s="23">
        <f t="shared" si="24"/>
        <v>200</v>
      </c>
      <c r="S115" s="23">
        <f t="shared" si="17"/>
        <v>47500</v>
      </c>
      <c r="T115" s="23">
        <f t="shared" si="18"/>
        <v>-46500</v>
      </c>
      <c r="U115" s="23">
        <f t="shared" si="19"/>
        <v>0</v>
      </c>
      <c r="V115" s="10">
        <f t="shared" si="20"/>
        <v>190000</v>
      </c>
      <c r="W115" s="10">
        <f t="shared" si="21"/>
        <v>0</v>
      </c>
      <c r="X115" s="10">
        <f t="shared" si="22"/>
        <v>0</v>
      </c>
    </row>
    <row r="116" spans="1:24" s="9" customFormat="1" ht="13.5" customHeight="1" x14ac:dyDescent="0.2">
      <c r="A116" s="64">
        <f t="shared" si="23"/>
        <v>112</v>
      </c>
      <c r="B116" s="65" t="s">
        <v>1300</v>
      </c>
      <c r="C116" s="66" t="s">
        <v>1301</v>
      </c>
      <c r="D116" s="175">
        <v>600000</v>
      </c>
      <c r="E116" s="462"/>
      <c r="F116" s="67">
        <f t="shared" si="15"/>
        <v>600000</v>
      </c>
      <c r="G116" s="67">
        <v>599000</v>
      </c>
      <c r="H116" s="67">
        <f t="shared" si="25"/>
        <v>1000</v>
      </c>
      <c r="I116" s="68">
        <v>5</v>
      </c>
      <c r="J116" s="68">
        <v>0.2</v>
      </c>
      <c r="K116" s="68">
        <v>0</v>
      </c>
      <c r="L116" s="110"/>
      <c r="M116" s="67">
        <f t="shared" si="26"/>
        <v>599000</v>
      </c>
      <c r="N116" s="67">
        <f t="shared" si="16"/>
        <v>1000</v>
      </c>
      <c r="O116" s="111" t="s">
        <v>1302</v>
      </c>
      <c r="P116" s="111">
        <v>1</v>
      </c>
      <c r="Q116" s="70"/>
      <c r="R116" s="23">
        <f t="shared" si="24"/>
        <v>200</v>
      </c>
      <c r="S116" s="23">
        <f t="shared" si="17"/>
        <v>30000</v>
      </c>
      <c r="T116" s="23">
        <f t="shared" si="18"/>
        <v>-29000</v>
      </c>
      <c r="U116" s="23">
        <f t="shared" si="19"/>
        <v>0</v>
      </c>
      <c r="V116" s="10">
        <f t="shared" si="20"/>
        <v>120000</v>
      </c>
      <c r="W116" s="10">
        <f t="shared" si="21"/>
        <v>0</v>
      </c>
      <c r="X116" s="10">
        <f t="shared" si="22"/>
        <v>0</v>
      </c>
    </row>
    <row r="117" spans="1:24" s="9" customFormat="1" ht="13.5" customHeight="1" x14ac:dyDescent="0.2">
      <c r="A117" s="64">
        <f t="shared" si="23"/>
        <v>113</v>
      </c>
      <c r="B117" s="65" t="s">
        <v>1303</v>
      </c>
      <c r="C117" s="66" t="s">
        <v>1304</v>
      </c>
      <c r="D117" s="175">
        <v>1200000</v>
      </c>
      <c r="E117" s="462"/>
      <c r="F117" s="67">
        <f t="shared" si="15"/>
        <v>1200000</v>
      </c>
      <c r="G117" s="67">
        <v>1199000</v>
      </c>
      <c r="H117" s="67">
        <f t="shared" si="25"/>
        <v>1000</v>
      </c>
      <c r="I117" s="68">
        <v>5</v>
      </c>
      <c r="J117" s="68">
        <v>0.2</v>
      </c>
      <c r="K117" s="68">
        <v>0</v>
      </c>
      <c r="L117" s="110"/>
      <c r="M117" s="67">
        <f t="shared" si="26"/>
        <v>1199000</v>
      </c>
      <c r="N117" s="67">
        <f t="shared" si="16"/>
        <v>1000</v>
      </c>
      <c r="O117" s="111" t="s">
        <v>1305</v>
      </c>
      <c r="P117" s="111">
        <v>1</v>
      </c>
      <c r="Q117" s="70"/>
      <c r="R117" s="23">
        <f t="shared" si="24"/>
        <v>200</v>
      </c>
      <c r="S117" s="23">
        <f t="shared" si="17"/>
        <v>60000</v>
      </c>
      <c r="T117" s="23">
        <f t="shared" si="18"/>
        <v>-59000</v>
      </c>
      <c r="U117" s="23">
        <f t="shared" si="19"/>
        <v>0</v>
      </c>
      <c r="V117" s="10">
        <f t="shared" si="20"/>
        <v>240000</v>
      </c>
      <c r="W117" s="10">
        <f t="shared" si="21"/>
        <v>0</v>
      </c>
      <c r="X117" s="10">
        <f t="shared" si="22"/>
        <v>0</v>
      </c>
    </row>
    <row r="118" spans="1:24" s="9" customFormat="1" ht="13.5" customHeight="1" x14ac:dyDescent="0.2">
      <c r="A118" s="64">
        <f t="shared" si="23"/>
        <v>114</v>
      </c>
      <c r="B118" s="65" t="s">
        <v>1306</v>
      </c>
      <c r="C118" s="66" t="s">
        <v>1307</v>
      </c>
      <c r="D118" s="175">
        <v>12000000</v>
      </c>
      <c r="E118" s="462"/>
      <c r="F118" s="67">
        <f t="shared" si="15"/>
        <v>12000000</v>
      </c>
      <c r="G118" s="67">
        <v>11999000</v>
      </c>
      <c r="H118" s="67">
        <f t="shared" si="25"/>
        <v>1000</v>
      </c>
      <c r="I118" s="68">
        <v>5</v>
      </c>
      <c r="J118" s="68">
        <v>0.2</v>
      </c>
      <c r="K118" s="68">
        <v>0</v>
      </c>
      <c r="L118" s="110"/>
      <c r="M118" s="67">
        <f t="shared" si="26"/>
        <v>11999000</v>
      </c>
      <c r="N118" s="67">
        <f t="shared" si="16"/>
        <v>1000</v>
      </c>
      <c r="O118" s="111" t="s">
        <v>1215</v>
      </c>
      <c r="P118" s="111">
        <v>1</v>
      </c>
      <c r="Q118" s="70"/>
      <c r="R118" s="23">
        <f t="shared" si="24"/>
        <v>200</v>
      </c>
      <c r="S118" s="23">
        <f t="shared" si="17"/>
        <v>600000</v>
      </c>
      <c r="T118" s="23">
        <f t="shared" si="18"/>
        <v>-599000</v>
      </c>
      <c r="U118" s="23">
        <f t="shared" si="19"/>
        <v>0</v>
      </c>
      <c r="V118" s="10">
        <f t="shared" si="20"/>
        <v>2400000</v>
      </c>
      <c r="W118" s="10">
        <f t="shared" si="21"/>
        <v>0</v>
      </c>
      <c r="X118" s="10">
        <f t="shared" si="22"/>
        <v>0</v>
      </c>
    </row>
    <row r="119" spans="1:24" s="9" customFormat="1" ht="13.5" customHeight="1" x14ac:dyDescent="0.2">
      <c r="A119" s="64">
        <f t="shared" si="23"/>
        <v>115</v>
      </c>
      <c r="B119" s="65" t="s">
        <v>1308</v>
      </c>
      <c r="C119" s="66" t="s">
        <v>1307</v>
      </c>
      <c r="D119" s="175">
        <v>6300000</v>
      </c>
      <c r="E119" s="462"/>
      <c r="F119" s="67">
        <f t="shared" si="15"/>
        <v>6300000</v>
      </c>
      <c r="G119" s="67">
        <v>6299000</v>
      </c>
      <c r="H119" s="67">
        <f t="shared" si="25"/>
        <v>1000</v>
      </c>
      <c r="I119" s="68">
        <v>5</v>
      </c>
      <c r="J119" s="68">
        <v>0.2</v>
      </c>
      <c r="K119" s="68">
        <v>0</v>
      </c>
      <c r="L119" s="110"/>
      <c r="M119" s="67">
        <f t="shared" si="26"/>
        <v>6299000</v>
      </c>
      <c r="N119" s="67">
        <f t="shared" si="16"/>
        <v>1000</v>
      </c>
      <c r="O119" s="111" t="s">
        <v>1215</v>
      </c>
      <c r="P119" s="111">
        <v>1</v>
      </c>
      <c r="Q119" s="70"/>
      <c r="R119" s="23">
        <f t="shared" si="24"/>
        <v>200</v>
      </c>
      <c r="S119" s="23">
        <f t="shared" si="17"/>
        <v>315000</v>
      </c>
      <c r="T119" s="23">
        <f t="shared" si="18"/>
        <v>-314000</v>
      </c>
      <c r="U119" s="23">
        <f t="shared" si="19"/>
        <v>0</v>
      </c>
      <c r="V119" s="10">
        <f t="shared" si="20"/>
        <v>1260000</v>
      </c>
      <c r="W119" s="10">
        <f t="shared" si="21"/>
        <v>0</v>
      </c>
      <c r="X119" s="10">
        <f t="shared" si="22"/>
        <v>0</v>
      </c>
    </row>
    <row r="120" spans="1:24" s="9" customFormat="1" ht="13.5" customHeight="1" x14ac:dyDescent="0.2">
      <c r="A120" s="64">
        <f t="shared" si="23"/>
        <v>116</v>
      </c>
      <c r="B120" s="65" t="s">
        <v>1309</v>
      </c>
      <c r="C120" s="66" t="s">
        <v>1307</v>
      </c>
      <c r="D120" s="175">
        <v>5700000</v>
      </c>
      <c r="E120" s="462"/>
      <c r="F120" s="67">
        <f t="shared" si="15"/>
        <v>5700000</v>
      </c>
      <c r="G120" s="67">
        <v>5699000</v>
      </c>
      <c r="H120" s="67">
        <f t="shared" si="25"/>
        <v>1000</v>
      </c>
      <c r="I120" s="68">
        <v>5</v>
      </c>
      <c r="J120" s="68">
        <v>0.2</v>
      </c>
      <c r="K120" s="68">
        <v>0</v>
      </c>
      <c r="L120" s="110"/>
      <c r="M120" s="67">
        <f t="shared" si="26"/>
        <v>5699000</v>
      </c>
      <c r="N120" s="67">
        <f t="shared" si="16"/>
        <v>1000</v>
      </c>
      <c r="O120" s="111" t="s">
        <v>1215</v>
      </c>
      <c r="P120" s="111">
        <v>1</v>
      </c>
      <c r="Q120" s="70"/>
      <c r="R120" s="23">
        <f t="shared" si="24"/>
        <v>200</v>
      </c>
      <c r="S120" s="23">
        <f t="shared" si="17"/>
        <v>285000</v>
      </c>
      <c r="T120" s="23">
        <f t="shared" si="18"/>
        <v>-284000</v>
      </c>
      <c r="U120" s="23">
        <f t="shared" si="19"/>
        <v>0</v>
      </c>
      <c r="V120" s="10">
        <f t="shared" si="20"/>
        <v>1140000</v>
      </c>
      <c r="W120" s="10">
        <f t="shared" si="21"/>
        <v>0</v>
      </c>
      <c r="X120" s="10">
        <f t="shared" si="22"/>
        <v>0</v>
      </c>
    </row>
    <row r="121" spans="1:24" s="9" customFormat="1" ht="13.5" customHeight="1" x14ac:dyDescent="0.2">
      <c r="A121" s="64">
        <f t="shared" si="23"/>
        <v>117</v>
      </c>
      <c r="B121" s="65" t="s">
        <v>1193</v>
      </c>
      <c r="C121" s="66" t="s">
        <v>1310</v>
      </c>
      <c r="D121" s="175">
        <v>650000</v>
      </c>
      <c r="E121" s="462"/>
      <c r="F121" s="67">
        <f t="shared" si="15"/>
        <v>650000</v>
      </c>
      <c r="G121" s="67">
        <v>649000</v>
      </c>
      <c r="H121" s="67">
        <f t="shared" si="25"/>
        <v>1000</v>
      </c>
      <c r="I121" s="68">
        <v>5</v>
      </c>
      <c r="J121" s="68">
        <v>0.2</v>
      </c>
      <c r="K121" s="68">
        <v>0</v>
      </c>
      <c r="L121" s="110"/>
      <c r="M121" s="67">
        <f t="shared" si="26"/>
        <v>649000</v>
      </c>
      <c r="N121" s="67">
        <f t="shared" si="16"/>
        <v>1000</v>
      </c>
      <c r="O121" s="111" t="s">
        <v>1276</v>
      </c>
      <c r="P121" s="111">
        <v>1</v>
      </c>
      <c r="Q121" s="70"/>
      <c r="R121" s="23">
        <f t="shared" si="24"/>
        <v>200</v>
      </c>
      <c r="S121" s="23">
        <f t="shared" si="17"/>
        <v>32500</v>
      </c>
      <c r="T121" s="23">
        <f t="shared" si="18"/>
        <v>-31500</v>
      </c>
      <c r="U121" s="23">
        <f t="shared" si="19"/>
        <v>0</v>
      </c>
      <c r="V121" s="10">
        <f t="shared" si="20"/>
        <v>130000</v>
      </c>
      <c r="W121" s="10">
        <f t="shared" si="21"/>
        <v>0</v>
      </c>
      <c r="X121" s="10">
        <f t="shared" si="22"/>
        <v>0</v>
      </c>
    </row>
    <row r="122" spans="1:24" s="9" customFormat="1" ht="13.5" customHeight="1" x14ac:dyDescent="0.2">
      <c r="A122" s="64">
        <f t="shared" si="23"/>
        <v>118</v>
      </c>
      <c r="B122" s="65" t="s">
        <v>1311</v>
      </c>
      <c r="C122" s="66" t="s">
        <v>1312</v>
      </c>
      <c r="D122" s="175">
        <v>440000</v>
      </c>
      <c r="E122" s="462"/>
      <c r="F122" s="67">
        <f t="shared" si="15"/>
        <v>440000</v>
      </c>
      <c r="G122" s="67">
        <v>439000</v>
      </c>
      <c r="H122" s="67">
        <f t="shared" si="25"/>
        <v>1000</v>
      </c>
      <c r="I122" s="68">
        <v>5</v>
      </c>
      <c r="J122" s="68">
        <v>0.2</v>
      </c>
      <c r="K122" s="68">
        <v>0</v>
      </c>
      <c r="L122" s="110"/>
      <c r="M122" s="67">
        <f t="shared" si="26"/>
        <v>439000</v>
      </c>
      <c r="N122" s="67">
        <f t="shared" si="16"/>
        <v>1000</v>
      </c>
      <c r="O122" s="111" t="s">
        <v>221</v>
      </c>
      <c r="P122" s="111">
        <v>1</v>
      </c>
      <c r="Q122" s="70"/>
      <c r="R122" s="23">
        <f t="shared" si="24"/>
        <v>200</v>
      </c>
      <c r="S122" s="23">
        <f t="shared" si="17"/>
        <v>22000</v>
      </c>
      <c r="T122" s="23">
        <f t="shared" si="18"/>
        <v>-21000</v>
      </c>
      <c r="U122" s="23">
        <f t="shared" si="19"/>
        <v>0</v>
      </c>
      <c r="V122" s="10">
        <f t="shared" si="20"/>
        <v>88000</v>
      </c>
      <c r="W122" s="10">
        <f t="shared" si="21"/>
        <v>0</v>
      </c>
      <c r="X122" s="10">
        <f t="shared" si="22"/>
        <v>0</v>
      </c>
    </row>
    <row r="123" spans="1:24" s="9" customFormat="1" ht="13.5" customHeight="1" x14ac:dyDescent="0.2">
      <c r="A123" s="64">
        <f t="shared" si="23"/>
        <v>119</v>
      </c>
      <c r="B123" s="65" t="s">
        <v>1313</v>
      </c>
      <c r="C123" s="66" t="s">
        <v>1314</v>
      </c>
      <c r="D123" s="175">
        <v>311000</v>
      </c>
      <c r="E123" s="462"/>
      <c r="F123" s="67">
        <f t="shared" si="15"/>
        <v>311000</v>
      </c>
      <c r="G123" s="67">
        <v>310000</v>
      </c>
      <c r="H123" s="67">
        <f t="shared" si="25"/>
        <v>1000</v>
      </c>
      <c r="I123" s="68">
        <v>5</v>
      </c>
      <c r="J123" s="68">
        <v>0.2</v>
      </c>
      <c r="K123" s="68">
        <v>0</v>
      </c>
      <c r="L123" s="110"/>
      <c r="M123" s="67">
        <f t="shared" si="26"/>
        <v>310000</v>
      </c>
      <c r="N123" s="67">
        <f t="shared" si="16"/>
        <v>1000</v>
      </c>
      <c r="O123" s="111" t="s">
        <v>1315</v>
      </c>
      <c r="P123" s="111">
        <v>1</v>
      </c>
      <c r="Q123" s="70"/>
      <c r="R123" s="23">
        <f t="shared" si="24"/>
        <v>200</v>
      </c>
      <c r="S123" s="23">
        <f t="shared" si="17"/>
        <v>15550</v>
      </c>
      <c r="T123" s="23">
        <f t="shared" si="18"/>
        <v>-14550</v>
      </c>
      <c r="U123" s="23">
        <f t="shared" si="19"/>
        <v>0</v>
      </c>
      <c r="V123" s="10">
        <f t="shared" si="20"/>
        <v>62200</v>
      </c>
      <c r="W123" s="10">
        <f t="shared" si="21"/>
        <v>0</v>
      </c>
      <c r="X123" s="10">
        <f t="shared" si="22"/>
        <v>0</v>
      </c>
    </row>
    <row r="124" spans="1:24" s="9" customFormat="1" ht="13.5" customHeight="1" x14ac:dyDescent="0.2">
      <c r="A124" s="64">
        <f t="shared" si="23"/>
        <v>120</v>
      </c>
      <c r="B124" s="65" t="s">
        <v>1316</v>
      </c>
      <c r="C124" s="66" t="s">
        <v>1314</v>
      </c>
      <c r="D124" s="175">
        <v>240000</v>
      </c>
      <c r="E124" s="462"/>
      <c r="F124" s="67">
        <f t="shared" si="15"/>
        <v>240000</v>
      </c>
      <c r="G124" s="67">
        <v>239000</v>
      </c>
      <c r="H124" s="67">
        <f t="shared" si="25"/>
        <v>1000</v>
      </c>
      <c r="I124" s="68">
        <v>5</v>
      </c>
      <c r="J124" s="68">
        <v>0.2</v>
      </c>
      <c r="K124" s="68">
        <v>0</v>
      </c>
      <c r="L124" s="110"/>
      <c r="M124" s="67">
        <f t="shared" si="26"/>
        <v>239000</v>
      </c>
      <c r="N124" s="67">
        <f t="shared" si="16"/>
        <v>1000</v>
      </c>
      <c r="O124" s="111" t="s">
        <v>1276</v>
      </c>
      <c r="P124" s="111">
        <v>2</v>
      </c>
      <c r="Q124" s="70"/>
      <c r="R124" s="23">
        <f t="shared" si="24"/>
        <v>200</v>
      </c>
      <c r="S124" s="23">
        <f t="shared" si="17"/>
        <v>12000</v>
      </c>
      <c r="T124" s="23">
        <f t="shared" si="18"/>
        <v>-11000</v>
      </c>
      <c r="U124" s="23">
        <f t="shared" si="19"/>
        <v>0</v>
      </c>
      <c r="V124" s="10">
        <f t="shared" si="20"/>
        <v>48000</v>
      </c>
      <c r="W124" s="10">
        <f t="shared" si="21"/>
        <v>0</v>
      </c>
      <c r="X124" s="10">
        <f t="shared" si="22"/>
        <v>0</v>
      </c>
    </row>
    <row r="125" spans="1:24" s="9" customFormat="1" ht="13.5" customHeight="1" x14ac:dyDescent="0.2">
      <c r="A125" s="64">
        <f t="shared" si="23"/>
        <v>121</v>
      </c>
      <c r="B125" s="65" t="s">
        <v>1317</v>
      </c>
      <c r="C125" s="66" t="s">
        <v>1318</v>
      </c>
      <c r="D125" s="175">
        <v>300000</v>
      </c>
      <c r="E125" s="462"/>
      <c r="F125" s="67">
        <f t="shared" si="15"/>
        <v>300000</v>
      </c>
      <c r="G125" s="67">
        <v>299000</v>
      </c>
      <c r="H125" s="67">
        <f t="shared" si="25"/>
        <v>1000</v>
      </c>
      <c r="I125" s="68">
        <v>5</v>
      </c>
      <c r="J125" s="68">
        <v>0.2</v>
      </c>
      <c r="K125" s="68">
        <v>0</v>
      </c>
      <c r="L125" s="110"/>
      <c r="M125" s="67">
        <f t="shared" si="26"/>
        <v>299000</v>
      </c>
      <c r="N125" s="67">
        <f t="shared" si="16"/>
        <v>1000</v>
      </c>
      <c r="O125" s="111" t="s">
        <v>1319</v>
      </c>
      <c r="P125" s="111">
        <v>1</v>
      </c>
      <c r="Q125" s="70"/>
      <c r="R125" s="23">
        <f t="shared" si="24"/>
        <v>200</v>
      </c>
      <c r="S125" s="23">
        <f t="shared" si="17"/>
        <v>15000</v>
      </c>
      <c r="T125" s="23">
        <f t="shared" si="18"/>
        <v>-14000</v>
      </c>
      <c r="U125" s="23">
        <f t="shared" si="19"/>
        <v>0</v>
      </c>
      <c r="V125" s="10">
        <f t="shared" si="20"/>
        <v>60000</v>
      </c>
      <c r="W125" s="10">
        <f t="shared" si="21"/>
        <v>0</v>
      </c>
      <c r="X125" s="10">
        <f t="shared" si="22"/>
        <v>0</v>
      </c>
    </row>
    <row r="126" spans="1:24" s="9" customFormat="1" ht="13.5" customHeight="1" x14ac:dyDescent="0.2">
      <c r="A126" s="64">
        <f t="shared" si="23"/>
        <v>122</v>
      </c>
      <c r="B126" s="65" t="s">
        <v>1320</v>
      </c>
      <c r="C126" s="66" t="s">
        <v>1321</v>
      </c>
      <c r="D126" s="175">
        <v>118876000</v>
      </c>
      <c r="E126" s="462"/>
      <c r="F126" s="67">
        <f t="shared" si="15"/>
        <v>118876000</v>
      </c>
      <c r="G126" s="67">
        <v>118875000</v>
      </c>
      <c r="H126" s="67">
        <f t="shared" si="25"/>
        <v>1000</v>
      </c>
      <c r="I126" s="68">
        <v>5</v>
      </c>
      <c r="J126" s="68">
        <v>0.2</v>
      </c>
      <c r="K126" s="68">
        <v>0</v>
      </c>
      <c r="L126" s="110"/>
      <c r="M126" s="67">
        <f t="shared" si="26"/>
        <v>118875000</v>
      </c>
      <c r="N126" s="67">
        <f t="shared" si="16"/>
        <v>1000</v>
      </c>
      <c r="O126" s="111" t="s">
        <v>1322</v>
      </c>
      <c r="P126" s="111">
        <v>1</v>
      </c>
      <c r="Q126" s="70"/>
      <c r="R126" s="23">
        <f t="shared" si="24"/>
        <v>200</v>
      </c>
      <c r="S126" s="23">
        <f t="shared" si="17"/>
        <v>5943800</v>
      </c>
      <c r="T126" s="23">
        <f t="shared" si="18"/>
        <v>-5942800</v>
      </c>
      <c r="U126" s="23">
        <f t="shared" si="19"/>
        <v>0</v>
      </c>
      <c r="V126" s="10">
        <f t="shared" si="20"/>
        <v>23775200</v>
      </c>
      <c r="W126" s="10">
        <f t="shared" si="21"/>
        <v>0</v>
      </c>
      <c r="X126" s="10">
        <f t="shared" si="22"/>
        <v>0</v>
      </c>
    </row>
    <row r="127" spans="1:24" s="9" customFormat="1" ht="13.5" customHeight="1" x14ac:dyDescent="0.2">
      <c r="A127" s="64">
        <f t="shared" si="23"/>
        <v>123</v>
      </c>
      <c r="B127" s="65" t="s">
        <v>1323</v>
      </c>
      <c r="C127" s="66" t="s">
        <v>1321</v>
      </c>
      <c r="D127" s="175">
        <v>8520000</v>
      </c>
      <c r="E127" s="462"/>
      <c r="F127" s="67">
        <f t="shared" si="15"/>
        <v>8520000</v>
      </c>
      <c r="G127" s="67">
        <v>8519000</v>
      </c>
      <c r="H127" s="67">
        <f t="shared" si="25"/>
        <v>1000</v>
      </c>
      <c r="I127" s="68">
        <v>5</v>
      </c>
      <c r="J127" s="68">
        <v>0.2</v>
      </c>
      <c r="K127" s="68">
        <v>0</v>
      </c>
      <c r="L127" s="110"/>
      <c r="M127" s="67">
        <f t="shared" si="26"/>
        <v>8519000</v>
      </c>
      <c r="N127" s="67">
        <f t="shared" si="16"/>
        <v>1000</v>
      </c>
      <c r="O127" s="111" t="s">
        <v>1290</v>
      </c>
      <c r="P127" s="111">
        <v>1</v>
      </c>
      <c r="Q127" s="181"/>
      <c r="R127" s="23">
        <f t="shared" si="24"/>
        <v>200</v>
      </c>
      <c r="S127" s="23">
        <f t="shared" si="17"/>
        <v>426000</v>
      </c>
      <c r="T127" s="23">
        <f t="shared" si="18"/>
        <v>-425000</v>
      </c>
      <c r="U127" s="23">
        <f t="shared" si="19"/>
        <v>0</v>
      </c>
      <c r="V127" s="10">
        <f t="shared" si="20"/>
        <v>1704000</v>
      </c>
      <c r="W127" s="10">
        <f t="shared" si="21"/>
        <v>0</v>
      </c>
      <c r="X127" s="10">
        <f t="shared" si="22"/>
        <v>0</v>
      </c>
    </row>
    <row r="128" spans="1:24" s="9" customFormat="1" ht="13.5" customHeight="1" x14ac:dyDescent="0.2">
      <c r="A128" s="64">
        <f t="shared" si="23"/>
        <v>124</v>
      </c>
      <c r="B128" s="495" t="s">
        <v>1324</v>
      </c>
      <c r="C128" s="163">
        <v>38352</v>
      </c>
      <c r="D128" s="175">
        <v>20197942</v>
      </c>
      <c r="E128" s="462"/>
      <c r="F128" s="67">
        <f t="shared" si="15"/>
        <v>20197942</v>
      </c>
      <c r="G128" s="67">
        <v>20196942</v>
      </c>
      <c r="H128" s="67">
        <f t="shared" si="25"/>
        <v>1000</v>
      </c>
      <c r="I128" s="68">
        <v>5</v>
      </c>
      <c r="J128" s="68">
        <v>0.2</v>
      </c>
      <c r="K128" s="68">
        <v>0</v>
      </c>
      <c r="L128" s="110"/>
      <c r="M128" s="67">
        <f t="shared" si="26"/>
        <v>20196942</v>
      </c>
      <c r="N128" s="67">
        <f t="shared" si="16"/>
        <v>1000</v>
      </c>
      <c r="O128" s="180" t="s">
        <v>1168</v>
      </c>
      <c r="P128" s="111">
        <v>1</v>
      </c>
      <c r="Q128" s="181"/>
      <c r="R128" s="23">
        <f t="shared" si="24"/>
        <v>200</v>
      </c>
      <c r="S128" s="23">
        <f t="shared" si="17"/>
        <v>1009897.1000000001</v>
      </c>
      <c r="T128" s="23">
        <f t="shared" si="18"/>
        <v>-1008897.1000000001</v>
      </c>
      <c r="U128" s="23">
        <f t="shared" si="19"/>
        <v>0</v>
      </c>
      <c r="V128" s="10">
        <f t="shared" si="20"/>
        <v>4039588.4</v>
      </c>
      <c r="W128" s="10">
        <f t="shared" si="21"/>
        <v>0</v>
      </c>
      <c r="X128" s="10">
        <f t="shared" si="22"/>
        <v>0</v>
      </c>
    </row>
    <row r="129" spans="1:24" s="9" customFormat="1" ht="13.5" customHeight="1" x14ac:dyDescent="0.2">
      <c r="A129" s="64">
        <f t="shared" si="23"/>
        <v>125</v>
      </c>
      <c r="B129" s="77" t="s">
        <v>1325</v>
      </c>
      <c r="C129" s="66" t="s">
        <v>1326</v>
      </c>
      <c r="D129" s="175">
        <v>6900000</v>
      </c>
      <c r="E129" s="462"/>
      <c r="F129" s="67">
        <f t="shared" si="15"/>
        <v>6900000</v>
      </c>
      <c r="G129" s="67">
        <v>6899000</v>
      </c>
      <c r="H129" s="67">
        <f t="shared" si="25"/>
        <v>1000</v>
      </c>
      <c r="I129" s="68">
        <v>5</v>
      </c>
      <c r="J129" s="68">
        <v>0.2</v>
      </c>
      <c r="K129" s="68">
        <v>0</v>
      </c>
      <c r="L129" s="110"/>
      <c r="M129" s="67">
        <f t="shared" si="26"/>
        <v>6899000</v>
      </c>
      <c r="N129" s="67">
        <f t="shared" si="16"/>
        <v>1000</v>
      </c>
      <c r="O129" s="111" t="s">
        <v>1327</v>
      </c>
      <c r="P129" s="111">
        <v>300</v>
      </c>
      <c r="Q129" s="464"/>
      <c r="R129" s="23">
        <f t="shared" si="24"/>
        <v>200</v>
      </c>
      <c r="S129" s="23">
        <f t="shared" si="17"/>
        <v>345000</v>
      </c>
      <c r="T129" s="23">
        <f t="shared" si="18"/>
        <v>-344000</v>
      </c>
      <c r="U129" s="23">
        <f t="shared" si="19"/>
        <v>0</v>
      </c>
      <c r="V129" s="10">
        <f t="shared" si="20"/>
        <v>1380000</v>
      </c>
      <c r="W129" s="10">
        <f t="shared" si="21"/>
        <v>0</v>
      </c>
      <c r="X129" s="10">
        <f t="shared" si="22"/>
        <v>0</v>
      </c>
    </row>
    <row r="130" spans="1:24" s="9" customFormat="1" ht="13.5" customHeight="1" x14ac:dyDescent="0.2">
      <c r="A130" s="64">
        <f t="shared" si="23"/>
        <v>126</v>
      </c>
      <c r="B130" s="77" t="s">
        <v>1328</v>
      </c>
      <c r="C130" s="66" t="s">
        <v>1329</v>
      </c>
      <c r="D130" s="175">
        <v>800000</v>
      </c>
      <c r="E130" s="462"/>
      <c r="F130" s="67">
        <f t="shared" si="15"/>
        <v>800000</v>
      </c>
      <c r="G130" s="67">
        <v>799000</v>
      </c>
      <c r="H130" s="67">
        <f t="shared" si="25"/>
        <v>1000</v>
      </c>
      <c r="I130" s="68">
        <v>5</v>
      </c>
      <c r="J130" s="68">
        <v>0.2</v>
      </c>
      <c r="K130" s="68">
        <v>0</v>
      </c>
      <c r="L130" s="110"/>
      <c r="M130" s="67">
        <f t="shared" si="26"/>
        <v>799000</v>
      </c>
      <c r="N130" s="67">
        <f t="shared" si="16"/>
        <v>1000</v>
      </c>
      <c r="O130" s="111" t="s">
        <v>1330</v>
      </c>
      <c r="P130" s="111">
        <v>1</v>
      </c>
      <c r="Q130" s="464"/>
      <c r="R130" s="23">
        <f t="shared" si="24"/>
        <v>200</v>
      </c>
      <c r="S130" s="23">
        <f t="shared" si="17"/>
        <v>40000</v>
      </c>
      <c r="T130" s="23">
        <f t="shared" si="18"/>
        <v>-39000</v>
      </c>
      <c r="U130" s="23">
        <f t="shared" si="19"/>
        <v>0</v>
      </c>
      <c r="V130" s="10">
        <f t="shared" si="20"/>
        <v>160000</v>
      </c>
      <c r="W130" s="10">
        <f t="shared" si="21"/>
        <v>0</v>
      </c>
      <c r="X130" s="10">
        <f t="shared" si="22"/>
        <v>0</v>
      </c>
    </row>
    <row r="131" spans="1:24" s="9" customFormat="1" ht="13.5" customHeight="1" x14ac:dyDescent="0.2">
      <c r="A131" s="64">
        <f t="shared" si="23"/>
        <v>127</v>
      </c>
      <c r="B131" s="77" t="s">
        <v>1331</v>
      </c>
      <c r="C131" s="66" t="s">
        <v>1332</v>
      </c>
      <c r="D131" s="175">
        <v>600000</v>
      </c>
      <c r="E131" s="462"/>
      <c r="F131" s="67">
        <f t="shared" si="15"/>
        <v>600000</v>
      </c>
      <c r="G131" s="67">
        <v>599000</v>
      </c>
      <c r="H131" s="67">
        <f t="shared" si="25"/>
        <v>1000</v>
      </c>
      <c r="I131" s="68">
        <v>5</v>
      </c>
      <c r="J131" s="68">
        <v>0.2</v>
      </c>
      <c r="K131" s="68">
        <v>0</v>
      </c>
      <c r="L131" s="110"/>
      <c r="M131" s="67">
        <f t="shared" si="26"/>
        <v>599000</v>
      </c>
      <c r="N131" s="67">
        <f t="shared" si="16"/>
        <v>1000</v>
      </c>
      <c r="O131" s="111" t="s">
        <v>1333</v>
      </c>
      <c r="P131" s="111">
        <v>1</v>
      </c>
      <c r="Q131" s="464"/>
      <c r="R131" s="23">
        <f t="shared" si="24"/>
        <v>200</v>
      </c>
      <c r="S131" s="23">
        <f t="shared" si="17"/>
        <v>30000</v>
      </c>
      <c r="T131" s="23">
        <f t="shared" si="18"/>
        <v>-29000</v>
      </c>
      <c r="U131" s="23">
        <f t="shared" si="19"/>
        <v>0</v>
      </c>
      <c r="V131" s="10">
        <f t="shared" si="20"/>
        <v>120000</v>
      </c>
      <c r="W131" s="10">
        <f t="shared" si="21"/>
        <v>0</v>
      </c>
      <c r="X131" s="10">
        <f t="shared" si="22"/>
        <v>0</v>
      </c>
    </row>
    <row r="132" spans="1:24" s="9" customFormat="1" ht="13.5" customHeight="1" x14ac:dyDescent="0.2">
      <c r="A132" s="64">
        <f t="shared" si="23"/>
        <v>128</v>
      </c>
      <c r="B132" s="77" t="s">
        <v>1334</v>
      </c>
      <c r="C132" s="66" t="s">
        <v>782</v>
      </c>
      <c r="D132" s="175">
        <v>850000</v>
      </c>
      <c r="E132" s="462"/>
      <c r="F132" s="67">
        <f t="shared" si="15"/>
        <v>850000</v>
      </c>
      <c r="G132" s="67">
        <v>849000</v>
      </c>
      <c r="H132" s="67">
        <f t="shared" si="25"/>
        <v>1000</v>
      </c>
      <c r="I132" s="68">
        <v>5</v>
      </c>
      <c r="J132" s="68">
        <v>0.2</v>
      </c>
      <c r="K132" s="68">
        <v>0</v>
      </c>
      <c r="L132" s="110"/>
      <c r="M132" s="67">
        <f t="shared" si="26"/>
        <v>849000</v>
      </c>
      <c r="N132" s="67">
        <f t="shared" si="16"/>
        <v>1000</v>
      </c>
      <c r="O132" s="111" t="s">
        <v>1225</v>
      </c>
      <c r="P132" s="111">
        <v>4</v>
      </c>
      <c r="Q132" s="464"/>
      <c r="R132" s="23">
        <f t="shared" si="24"/>
        <v>200</v>
      </c>
      <c r="S132" s="23">
        <f t="shared" si="17"/>
        <v>42500</v>
      </c>
      <c r="T132" s="23">
        <f t="shared" si="18"/>
        <v>-41500</v>
      </c>
      <c r="U132" s="23">
        <f t="shared" si="19"/>
        <v>0</v>
      </c>
      <c r="V132" s="10">
        <f t="shared" si="20"/>
        <v>170000</v>
      </c>
      <c r="W132" s="10">
        <f t="shared" si="21"/>
        <v>0</v>
      </c>
      <c r="X132" s="10">
        <f t="shared" si="22"/>
        <v>0</v>
      </c>
    </row>
    <row r="133" spans="1:24" s="9" customFormat="1" ht="13.5" customHeight="1" x14ac:dyDescent="0.2">
      <c r="A133" s="64">
        <f t="shared" si="23"/>
        <v>129</v>
      </c>
      <c r="B133" s="77" t="s">
        <v>1335</v>
      </c>
      <c r="C133" s="66" t="s">
        <v>782</v>
      </c>
      <c r="D133" s="175">
        <v>440000</v>
      </c>
      <c r="E133" s="462"/>
      <c r="F133" s="67">
        <f t="shared" ref="F133:F171" si="27">+D133+E133</f>
        <v>440000</v>
      </c>
      <c r="G133" s="67">
        <v>439000</v>
      </c>
      <c r="H133" s="67">
        <f t="shared" si="25"/>
        <v>1000</v>
      </c>
      <c r="I133" s="68">
        <v>5</v>
      </c>
      <c r="J133" s="68">
        <v>0.2</v>
      </c>
      <c r="K133" s="68">
        <v>0</v>
      </c>
      <c r="L133" s="110"/>
      <c r="M133" s="67">
        <f t="shared" si="26"/>
        <v>439000</v>
      </c>
      <c r="N133" s="67">
        <f t="shared" ref="N133:N196" si="28">+F133-M133</f>
        <v>1000</v>
      </c>
      <c r="O133" s="111" t="s">
        <v>276</v>
      </c>
      <c r="P133" s="111">
        <v>1</v>
      </c>
      <c r="Q133" s="464"/>
      <c r="R133" s="23">
        <f t="shared" si="24"/>
        <v>200</v>
      </c>
      <c r="S133" s="23">
        <f t="shared" ref="S133:S196" si="29">D133*0.05</f>
        <v>22000</v>
      </c>
      <c r="T133" s="23">
        <f t="shared" ref="T133:T196" si="30">N133-S133</f>
        <v>-21000</v>
      </c>
      <c r="U133" s="23">
        <f t="shared" ref="U133:U196" si="31">N133-1000</f>
        <v>0</v>
      </c>
      <c r="V133" s="10">
        <f t="shared" ref="V133:V196" si="32">F133/I133</f>
        <v>88000</v>
      </c>
      <c r="W133" s="10">
        <f t="shared" ref="W133:W196" si="33">ROUND(IF(H133&lt;=1000,0,V133/12*3),0)</f>
        <v>0</v>
      </c>
      <c r="X133" s="10">
        <f t="shared" ref="X133:X196" si="34">L133-W133</f>
        <v>0</v>
      </c>
    </row>
    <row r="134" spans="1:24" s="9" customFormat="1" ht="13.5" customHeight="1" x14ac:dyDescent="0.2">
      <c r="A134" s="64">
        <f t="shared" ref="A134:A197" si="35">+A133+1</f>
        <v>130</v>
      </c>
      <c r="B134" s="77" t="s">
        <v>1336</v>
      </c>
      <c r="C134" s="66" t="s">
        <v>1337</v>
      </c>
      <c r="D134" s="175">
        <v>5750000</v>
      </c>
      <c r="E134" s="462"/>
      <c r="F134" s="67">
        <f t="shared" si="27"/>
        <v>5750000</v>
      </c>
      <c r="G134" s="67">
        <v>5749000</v>
      </c>
      <c r="H134" s="67">
        <f t="shared" si="25"/>
        <v>1000</v>
      </c>
      <c r="I134" s="68">
        <v>5</v>
      </c>
      <c r="J134" s="68">
        <v>0.2</v>
      </c>
      <c r="K134" s="68">
        <v>0</v>
      </c>
      <c r="L134" s="110"/>
      <c r="M134" s="67">
        <f t="shared" si="26"/>
        <v>5749000</v>
      </c>
      <c r="N134" s="67">
        <f t="shared" si="28"/>
        <v>1000</v>
      </c>
      <c r="O134" s="111" t="s">
        <v>1338</v>
      </c>
      <c r="P134" s="111">
        <v>1</v>
      </c>
      <c r="Q134" s="464"/>
      <c r="R134" s="23">
        <f t="shared" si="24"/>
        <v>200</v>
      </c>
      <c r="S134" s="23">
        <f t="shared" si="29"/>
        <v>287500</v>
      </c>
      <c r="T134" s="23">
        <f t="shared" si="30"/>
        <v>-286500</v>
      </c>
      <c r="U134" s="23">
        <f t="shared" si="31"/>
        <v>0</v>
      </c>
      <c r="V134" s="10">
        <f t="shared" si="32"/>
        <v>1150000</v>
      </c>
      <c r="W134" s="10">
        <f t="shared" si="33"/>
        <v>0</v>
      </c>
      <c r="X134" s="10">
        <f t="shared" si="34"/>
        <v>0</v>
      </c>
    </row>
    <row r="135" spans="1:24" s="9" customFormat="1" ht="13.5" customHeight="1" x14ac:dyDescent="0.2">
      <c r="A135" s="64">
        <f t="shared" si="35"/>
        <v>131</v>
      </c>
      <c r="B135" s="77" t="s">
        <v>1339</v>
      </c>
      <c r="C135" s="66" t="s">
        <v>1340</v>
      </c>
      <c r="D135" s="175">
        <v>4500000</v>
      </c>
      <c r="E135" s="462"/>
      <c r="F135" s="67">
        <f t="shared" si="27"/>
        <v>4500000</v>
      </c>
      <c r="G135" s="67">
        <v>4499000</v>
      </c>
      <c r="H135" s="67">
        <f t="shared" si="25"/>
        <v>1000</v>
      </c>
      <c r="I135" s="68">
        <v>5</v>
      </c>
      <c r="J135" s="68">
        <v>0.2</v>
      </c>
      <c r="K135" s="68">
        <v>0</v>
      </c>
      <c r="L135" s="110"/>
      <c r="M135" s="67">
        <f t="shared" si="26"/>
        <v>4499000</v>
      </c>
      <c r="N135" s="67">
        <f t="shared" si="28"/>
        <v>1000</v>
      </c>
      <c r="O135" s="111" t="s">
        <v>1215</v>
      </c>
      <c r="P135" s="111">
        <v>1</v>
      </c>
      <c r="Q135" s="464"/>
      <c r="R135" s="23">
        <f t="shared" ref="R135:R161" si="36">+N135*J135</f>
        <v>200</v>
      </c>
      <c r="S135" s="23">
        <f t="shared" si="29"/>
        <v>225000</v>
      </c>
      <c r="T135" s="23">
        <f t="shared" si="30"/>
        <v>-224000</v>
      </c>
      <c r="U135" s="23">
        <f t="shared" si="31"/>
        <v>0</v>
      </c>
      <c r="V135" s="10">
        <f t="shared" si="32"/>
        <v>900000</v>
      </c>
      <c r="W135" s="10">
        <f t="shared" si="33"/>
        <v>0</v>
      </c>
      <c r="X135" s="10">
        <f t="shared" si="34"/>
        <v>0</v>
      </c>
    </row>
    <row r="136" spans="1:24" s="9" customFormat="1" ht="13.5" customHeight="1" x14ac:dyDescent="0.2">
      <c r="A136" s="64">
        <f t="shared" si="35"/>
        <v>132</v>
      </c>
      <c r="B136" s="77" t="s">
        <v>1341</v>
      </c>
      <c r="C136" s="66" t="s">
        <v>1342</v>
      </c>
      <c r="D136" s="175">
        <v>1160000</v>
      </c>
      <c r="E136" s="462"/>
      <c r="F136" s="67">
        <f t="shared" si="27"/>
        <v>1160000</v>
      </c>
      <c r="G136" s="67">
        <v>1159000</v>
      </c>
      <c r="H136" s="67">
        <f t="shared" si="25"/>
        <v>1000</v>
      </c>
      <c r="I136" s="68">
        <v>5</v>
      </c>
      <c r="J136" s="68">
        <v>0.2</v>
      </c>
      <c r="K136" s="68">
        <v>0</v>
      </c>
      <c r="L136" s="110"/>
      <c r="M136" s="67">
        <f t="shared" si="26"/>
        <v>1159000</v>
      </c>
      <c r="N136" s="67">
        <f t="shared" si="28"/>
        <v>1000</v>
      </c>
      <c r="O136" s="111" t="s">
        <v>1343</v>
      </c>
      <c r="P136" s="111">
        <v>20</v>
      </c>
      <c r="Q136" s="464"/>
      <c r="R136" s="23">
        <f t="shared" si="36"/>
        <v>200</v>
      </c>
      <c r="S136" s="23">
        <f t="shared" si="29"/>
        <v>58000</v>
      </c>
      <c r="T136" s="23">
        <f t="shared" si="30"/>
        <v>-57000</v>
      </c>
      <c r="U136" s="23">
        <f t="shared" si="31"/>
        <v>0</v>
      </c>
      <c r="V136" s="10">
        <f t="shared" si="32"/>
        <v>232000</v>
      </c>
      <c r="W136" s="10">
        <f t="shared" si="33"/>
        <v>0</v>
      </c>
      <c r="X136" s="10">
        <f t="shared" si="34"/>
        <v>0</v>
      </c>
    </row>
    <row r="137" spans="1:24" s="9" customFormat="1" ht="13.5" customHeight="1" x14ac:dyDescent="0.2">
      <c r="A137" s="64">
        <f t="shared" si="35"/>
        <v>133</v>
      </c>
      <c r="B137" s="77" t="s">
        <v>1344</v>
      </c>
      <c r="C137" s="66" t="s">
        <v>821</v>
      </c>
      <c r="D137" s="175">
        <v>235000</v>
      </c>
      <c r="E137" s="462"/>
      <c r="F137" s="67">
        <f t="shared" si="27"/>
        <v>235000</v>
      </c>
      <c r="G137" s="67">
        <v>234000</v>
      </c>
      <c r="H137" s="67">
        <f t="shared" si="25"/>
        <v>1000</v>
      </c>
      <c r="I137" s="68">
        <v>5</v>
      </c>
      <c r="J137" s="68">
        <v>0.2</v>
      </c>
      <c r="K137" s="68">
        <v>0</v>
      </c>
      <c r="L137" s="110"/>
      <c r="M137" s="67">
        <f t="shared" si="26"/>
        <v>234000</v>
      </c>
      <c r="N137" s="67">
        <f t="shared" si="28"/>
        <v>1000</v>
      </c>
      <c r="O137" s="111" t="s">
        <v>1345</v>
      </c>
      <c r="P137" s="111">
        <v>1</v>
      </c>
      <c r="Q137" s="464"/>
      <c r="R137" s="23">
        <f t="shared" si="36"/>
        <v>200</v>
      </c>
      <c r="S137" s="23">
        <f t="shared" si="29"/>
        <v>11750</v>
      </c>
      <c r="T137" s="23">
        <f t="shared" si="30"/>
        <v>-10750</v>
      </c>
      <c r="U137" s="23">
        <f t="shared" si="31"/>
        <v>0</v>
      </c>
      <c r="V137" s="10">
        <f t="shared" si="32"/>
        <v>47000</v>
      </c>
      <c r="W137" s="10">
        <f t="shared" si="33"/>
        <v>0</v>
      </c>
      <c r="X137" s="10">
        <f t="shared" si="34"/>
        <v>0</v>
      </c>
    </row>
    <row r="138" spans="1:24" s="9" customFormat="1" ht="13.5" customHeight="1" x14ac:dyDescent="0.2">
      <c r="A138" s="64">
        <f t="shared" si="35"/>
        <v>134</v>
      </c>
      <c r="B138" s="77" t="s">
        <v>1346</v>
      </c>
      <c r="C138" s="66" t="s">
        <v>821</v>
      </c>
      <c r="D138" s="175">
        <v>120000</v>
      </c>
      <c r="E138" s="462"/>
      <c r="F138" s="67">
        <f t="shared" si="27"/>
        <v>120000</v>
      </c>
      <c r="G138" s="67">
        <v>119000</v>
      </c>
      <c r="H138" s="67">
        <f t="shared" si="25"/>
        <v>1000</v>
      </c>
      <c r="I138" s="68">
        <v>5</v>
      </c>
      <c r="J138" s="68">
        <v>0.2</v>
      </c>
      <c r="K138" s="68">
        <v>0</v>
      </c>
      <c r="L138" s="110"/>
      <c r="M138" s="67">
        <f t="shared" si="26"/>
        <v>119000</v>
      </c>
      <c r="N138" s="67">
        <f t="shared" si="28"/>
        <v>1000</v>
      </c>
      <c r="O138" s="111" t="s">
        <v>1345</v>
      </c>
      <c r="P138" s="111">
        <v>1</v>
      </c>
      <c r="Q138" s="464"/>
      <c r="R138" s="23">
        <f t="shared" si="36"/>
        <v>200</v>
      </c>
      <c r="S138" s="23">
        <f t="shared" si="29"/>
        <v>6000</v>
      </c>
      <c r="T138" s="23">
        <f t="shared" si="30"/>
        <v>-5000</v>
      </c>
      <c r="U138" s="23">
        <f t="shared" si="31"/>
        <v>0</v>
      </c>
      <c r="V138" s="10">
        <f t="shared" si="32"/>
        <v>24000</v>
      </c>
      <c r="W138" s="10">
        <f t="shared" si="33"/>
        <v>0</v>
      </c>
      <c r="X138" s="10">
        <f t="shared" si="34"/>
        <v>0</v>
      </c>
    </row>
    <row r="139" spans="1:24" s="9" customFormat="1" ht="13.5" customHeight="1" x14ac:dyDescent="0.2">
      <c r="A139" s="64">
        <f t="shared" si="35"/>
        <v>135</v>
      </c>
      <c r="B139" s="77" t="s">
        <v>1347</v>
      </c>
      <c r="C139" s="66" t="s">
        <v>1348</v>
      </c>
      <c r="D139" s="175">
        <v>500000</v>
      </c>
      <c r="E139" s="462"/>
      <c r="F139" s="67">
        <f t="shared" si="27"/>
        <v>500000</v>
      </c>
      <c r="G139" s="67">
        <v>499000</v>
      </c>
      <c r="H139" s="67">
        <f t="shared" si="25"/>
        <v>1000</v>
      </c>
      <c r="I139" s="68">
        <v>5</v>
      </c>
      <c r="J139" s="68">
        <v>0.2</v>
      </c>
      <c r="K139" s="68">
        <v>0</v>
      </c>
      <c r="L139" s="110"/>
      <c r="M139" s="67">
        <f t="shared" si="26"/>
        <v>499000</v>
      </c>
      <c r="N139" s="67">
        <f t="shared" si="28"/>
        <v>1000</v>
      </c>
      <c r="O139" s="111" t="s">
        <v>1349</v>
      </c>
      <c r="P139" s="111">
        <v>1</v>
      </c>
      <c r="Q139" s="464"/>
      <c r="R139" s="23">
        <f t="shared" si="36"/>
        <v>200</v>
      </c>
      <c r="S139" s="23">
        <f t="shared" si="29"/>
        <v>25000</v>
      </c>
      <c r="T139" s="23">
        <f t="shared" si="30"/>
        <v>-24000</v>
      </c>
      <c r="U139" s="23">
        <f t="shared" si="31"/>
        <v>0</v>
      </c>
      <c r="V139" s="10">
        <f t="shared" si="32"/>
        <v>100000</v>
      </c>
      <c r="W139" s="10">
        <f t="shared" si="33"/>
        <v>0</v>
      </c>
      <c r="X139" s="10">
        <f t="shared" si="34"/>
        <v>0</v>
      </c>
    </row>
    <row r="140" spans="1:24" s="9" customFormat="1" ht="13.5" customHeight="1" x14ac:dyDescent="0.2">
      <c r="A140" s="64">
        <f t="shared" si="35"/>
        <v>136</v>
      </c>
      <c r="B140" s="77" t="s">
        <v>1350</v>
      </c>
      <c r="C140" s="66" t="s">
        <v>1348</v>
      </c>
      <c r="D140" s="175">
        <v>700000</v>
      </c>
      <c r="E140" s="462"/>
      <c r="F140" s="67">
        <f t="shared" si="27"/>
        <v>700000</v>
      </c>
      <c r="G140" s="67">
        <v>699000</v>
      </c>
      <c r="H140" s="67">
        <f t="shared" si="25"/>
        <v>1000</v>
      </c>
      <c r="I140" s="68">
        <v>5</v>
      </c>
      <c r="J140" s="68">
        <v>0.2</v>
      </c>
      <c r="K140" s="68">
        <v>0</v>
      </c>
      <c r="L140" s="110"/>
      <c r="M140" s="67">
        <f t="shared" si="26"/>
        <v>699000</v>
      </c>
      <c r="N140" s="67">
        <f t="shared" si="28"/>
        <v>1000</v>
      </c>
      <c r="O140" s="111" t="s">
        <v>1351</v>
      </c>
      <c r="P140" s="111">
        <v>2</v>
      </c>
      <c r="Q140" s="464"/>
      <c r="R140" s="23">
        <f t="shared" si="36"/>
        <v>200</v>
      </c>
      <c r="S140" s="23">
        <f t="shared" si="29"/>
        <v>35000</v>
      </c>
      <c r="T140" s="23">
        <f t="shared" si="30"/>
        <v>-34000</v>
      </c>
      <c r="U140" s="23">
        <f t="shared" si="31"/>
        <v>0</v>
      </c>
      <c r="V140" s="10">
        <f t="shared" si="32"/>
        <v>140000</v>
      </c>
      <c r="W140" s="10">
        <f t="shared" si="33"/>
        <v>0</v>
      </c>
      <c r="X140" s="10">
        <f t="shared" si="34"/>
        <v>0</v>
      </c>
    </row>
    <row r="141" spans="1:24" s="9" customFormat="1" ht="13.5" customHeight="1" x14ac:dyDescent="0.2">
      <c r="A141" s="64">
        <f t="shared" si="35"/>
        <v>137</v>
      </c>
      <c r="B141" s="77" t="s">
        <v>1352</v>
      </c>
      <c r="C141" s="66" t="s">
        <v>1353</v>
      </c>
      <c r="D141" s="175">
        <v>260000</v>
      </c>
      <c r="E141" s="462"/>
      <c r="F141" s="67">
        <f t="shared" si="27"/>
        <v>260000</v>
      </c>
      <c r="G141" s="67">
        <v>259000</v>
      </c>
      <c r="H141" s="67">
        <f t="shared" si="25"/>
        <v>1000</v>
      </c>
      <c r="I141" s="68">
        <v>5</v>
      </c>
      <c r="J141" s="68">
        <v>0.2</v>
      </c>
      <c r="K141" s="68">
        <v>0</v>
      </c>
      <c r="L141" s="110"/>
      <c r="M141" s="67">
        <f t="shared" si="26"/>
        <v>259000</v>
      </c>
      <c r="N141" s="67">
        <f t="shared" si="28"/>
        <v>1000</v>
      </c>
      <c r="O141" s="111" t="s">
        <v>1354</v>
      </c>
      <c r="P141" s="111">
        <v>1</v>
      </c>
      <c r="Q141" s="464"/>
      <c r="R141" s="23">
        <f t="shared" si="36"/>
        <v>200</v>
      </c>
      <c r="S141" s="23">
        <f t="shared" si="29"/>
        <v>13000</v>
      </c>
      <c r="T141" s="23">
        <f t="shared" si="30"/>
        <v>-12000</v>
      </c>
      <c r="U141" s="23">
        <f t="shared" si="31"/>
        <v>0</v>
      </c>
      <c r="V141" s="10">
        <f t="shared" si="32"/>
        <v>52000</v>
      </c>
      <c r="W141" s="10">
        <f t="shared" si="33"/>
        <v>0</v>
      </c>
      <c r="X141" s="10">
        <f t="shared" si="34"/>
        <v>0</v>
      </c>
    </row>
    <row r="142" spans="1:24" s="9" customFormat="1" ht="13.5" customHeight="1" x14ac:dyDescent="0.2">
      <c r="A142" s="64">
        <f t="shared" si="35"/>
        <v>138</v>
      </c>
      <c r="B142" s="77" t="s">
        <v>1355</v>
      </c>
      <c r="C142" s="66" t="s">
        <v>840</v>
      </c>
      <c r="D142" s="175">
        <v>3000000</v>
      </c>
      <c r="E142" s="462"/>
      <c r="F142" s="67">
        <f t="shared" si="27"/>
        <v>3000000</v>
      </c>
      <c r="G142" s="67">
        <v>2999000</v>
      </c>
      <c r="H142" s="67">
        <f t="shared" si="25"/>
        <v>1000</v>
      </c>
      <c r="I142" s="68">
        <v>5</v>
      </c>
      <c r="J142" s="68">
        <v>0.2</v>
      </c>
      <c r="K142" s="68">
        <v>0</v>
      </c>
      <c r="L142" s="110"/>
      <c r="M142" s="67">
        <f t="shared" si="26"/>
        <v>2999000</v>
      </c>
      <c r="N142" s="67">
        <f t="shared" si="28"/>
        <v>1000</v>
      </c>
      <c r="O142" s="111" t="s">
        <v>1215</v>
      </c>
      <c r="P142" s="111">
        <v>1</v>
      </c>
      <c r="Q142" s="464"/>
      <c r="R142" s="23">
        <f t="shared" si="36"/>
        <v>200</v>
      </c>
      <c r="S142" s="23">
        <f t="shared" si="29"/>
        <v>150000</v>
      </c>
      <c r="T142" s="23">
        <f t="shared" si="30"/>
        <v>-149000</v>
      </c>
      <c r="U142" s="23">
        <f t="shared" si="31"/>
        <v>0</v>
      </c>
      <c r="V142" s="10">
        <f t="shared" si="32"/>
        <v>600000</v>
      </c>
      <c r="W142" s="10">
        <f t="shared" si="33"/>
        <v>0</v>
      </c>
      <c r="X142" s="10">
        <f t="shared" si="34"/>
        <v>0</v>
      </c>
    </row>
    <row r="143" spans="1:24" s="9" customFormat="1" ht="13.5" customHeight="1" x14ac:dyDescent="0.2">
      <c r="A143" s="64">
        <f t="shared" si="35"/>
        <v>139</v>
      </c>
      <c r="B143" s="77" t="s">
        <v>304</v>
      </c>
      <c r="C143" s="66" t="s">
        <v>1356</v>
      </c>
      <c r="D143" s="175">
        <v>1300000</v>
      </c>
      <c r="E143" s="462"/>
      <c r="F143" s="67">
        <f t="shared" si="27"/>
        <v>1300000</v>
      </c>
      <c r="G143" s="67">
        <v>1299000</v>
      </c>
      <c r="H143" s="67">
        <f t="shared" si="25"/>
        <v>1000</v>
      </c>
      <c r="I143" s="68">
        <v>5</v>
      </c>
      <c r="J143" s="68">
        <v>0.2</v>
      </c>
      <c r="K143" s="68">
        <v>0</v>
      </c>
      <c r="L143" s="110"/>
      <c r="M143" s="67">
        <f t="shared" si="26"/>
        <v>1299000</v>
      </c>
      <c r="N143" s="67">
        <f t="shared" si="28"/>
        <v>1000</v>
      </c>
      <c r="O143" s="111" t="s">
        <v>221</v>
      </c>
      <c r="P143" s="111">
        <v>1</v>
      </c>
      <c r="Q143" s="464"/>
      <c r="R143" s="23">
        <f t="shared" si="36"/>
        <v>200</v>
      </c>
      <c r="S143" s="23">
        <f t="shared" si="29"/>
        <v>65000</v>
      </c>
      <c r="T143" s="23">
        <f t="shared" si="30"/>
        <v>-64000</v>
      </c>
      <c r="U143" s="23">
        <f t="shared" si="31"/>
        <v>0</v>
      </c>
      <c r="V143" s="10">
        <f t="shared" si="32"/>
        <v>260000</v>
      </c>
      <c r="W143" s="10">
        <f t="shared" si="33"/>
        <v>0</v>
      </c>
      <c r="X143" s="10">
        <f t="shared" si="34"/>
        <v>0</v>
      </c>
    </row>
    <row r="144" spans="1:24" s="9" customFormat="1" ht="13.5" customHeight="1" x14ac:dyDescent="0.2">
      <c r="A144" s="64">
        <f t="shared" si="35"/>
        <v>140</v>
      </c>
      <c r="B144" s="77" t="s">
        <v>1357</v>
      </c>
      <c r="C144" s="66" t="s">
        <v>1358</v>
      </c>
      <c r="D144" s="175">
        <v>330000</v>
      </c>
      <c r="E144" s="462"/>
      <c r="F144" s="67">
        <f t="shared" si="27"/>
        <v>330000</v>
      </c>
      <c r="G144" s="67">
        <v>329000</v>
      </c>
      <c r="H144" s="67">
        <f t="shared" si="25"/>
        <v>1000</v>
      </c>
      <c r="I144" s="68">
        <v>5</v>
      </c>
      <c r="J144" s="68">
        <v>0.2</v>
      </c>
      <c r="K144" s="68">
        <v>0</v>
      </c>
      <c r="L144" s="110"/>
      <c r="M144" s="67">
        <f t="shared" si="26"/>
        <v>329000</v>
      </c>
      <c r="N144" s="67">
        <f t="shared" si="28"/>
        <v>1000</v>
      </c>
      <c r="O144" s="111" t="s">
        <v>1359</v>
      </c>
      <c r="P144" s="111">
        <v>3</v>
      </c>
      <c r="Q144" s="464"/>
      <c r="R144" s="23">
        <f t="shared" si="36"/>
        <v>200</v>
      </c>
      <c r="S144" s="23">
        <f t="shared" si="29"/>
        <v>16500</v>
      </c>
      <c r="T144" s="23">
        <f t="shared" si="30"/>
        <v>-15500</v>
      </c>
      <c r="U144" s="23">
        <f t="shared" si="31"/>
        <v>0</v>
      </c>
      <c r="V144" s="10">
        <f t="shared" si="32"/>
        <v>66000</v>
      </c>
      <c r="W144" s="10">
        <f t="shared" si="33"/>
        <v>0</v>
      </c>
      <c r="X144" s="10">
        <f t="shared" si="34"/>
        <v>0</v>
      </c>
    </row>
    <row r="145" spans="1:24" s="9" customFormat="1" ht="13.5" customHeight="1" x14ac:dyDescent="0.2">
      <c r="A145" s="64">
        <f t="shared" si="35"/>
        <v>141</v>
      </c>
      <c r="B145" s="77" t="s">
        <v>1360</v>
      </c>
      <c r="C145" s="66" t="s">
        <v>1361</v>
      </c>
      <c r="D145" s="175">
        <v>1036500</v>
      </c>
      <c r="E145" s="462"/>
      <c r="F145" s="67">
        <f t="shared" si="27"/>
        <v>1036500</v>
      </c>
      <c r="G145" s="67">
        <v>1035500</v>
      </c>
      <c r="H145" s="67">
        <f t="shared" si="25"/>
        <v>1000</v>
      </c>
      <c r="I145" s="68">
        <v>5</v>
      </c>
      <c r="J145" s="68">
        <v>0.2</v>
      </c>
      <c r="K145" s="68">
        <v>0</v>
      </c>
      <c r="L145" s="110"/>
      <c r="M145" s="67">
        <f t="shared" si="26"/>
        <v>1035500</v>
      </c>
      <c r="N145" s="67">
        <f t="shared" si="28"/>
        <v>1000</v>
      </c>
      <c r="O145" s="111" t="s">
        <v>1232</v>
      </c>
      <c r="P145" s="111">
        <v>3</v>
      </c>
      <c r="Q145" s="506"/>
      <c r="R145" s="23">
        <f t="shared" si="36"/>
        <v>200</v>
      </c>
      <c r="S145" s="23">
        <f t="shared" si="29"/>
        <v>51825</v>
      </c>
      <c r="T145" s="23">
        <f t="shared" si="30"/>
        <v>-50825</v>
      </c>
      <c r="U145" s="23">
        <f t="shared" si="31"/>
        <v>0</v>
      </c>
      <c r="V145" s="10">
        <f t="shared" si="32"/>
        <v>207300</v>
      </c>
      <c r="W145" s="10">
        <f t="shared" si="33"/>
        <v>0</v>
      </c>
      <c r="X145" s="10">
        <f t="shared" si="34"/>
        <v>0</v>
      </c>
    </row>
    <row r="146" spans="1:24" s="9" customFormat="1" ht="13.5" customHeight="1" x14ac:dyDescent="0.2">
      <c r="A146" s="64">
        <f t="shared" si="35"/>
        <v>142</v>
      </c>
      <c r="B146" s="77" t="s">
        <v>1362</v>
      </c>
      <c r="C146" s="66" t="s">
        <v>1363</v>
      </c>
      <c r="D146" s="175">
        <v>15000000</v>
      </c>
      <c r="E146" s="462"/>
      <c r="F146" s="67">
        <f t="shared" si="27"/>
        <v>15000000</v>
      </c>
      <c r="G146" s="67">
        <v>14999000</v>
      </c>
      <c r="H146" s="67">
        <f t="shared" si="25"/>
        <v>1000</v>
      </c>
      <c r="I146" s="68">
        <v>5</v>
      </c>
      <c r="J146" s="68">
        <v>0.2</v>
      </c>
      <c r="K146" s="68">
        <v>0</v>
      </c>
      <c r="L146" s="110"/>
      <c r="M146" s="67">
        <f t="shared" si="26"/>
        <v>14999000</v>
      </c>
      <c r="N146" s="67">
        <f t="shared" si="28"/>
        <v>1000</v>
      </c>
      <c r="O146" s="111" t="s">
        <v>1322</v>
      </c>
      <c r="P146" s="111">
        <v>1</v>
      </c>
      <c r="Q146" s="464"/>
      <c r="R146" s="23">
        <f t="shared" si="36"/>
        <v>200</v>
      </c>
      <c r="S146" s="23">
        <f t="shared" si="29"/>
        <v>750000</v>
      </c>
      <c r="T146" s="23">
        <f t="shared" si="30"/>
        <v>-749000</v>
      </c>
      <c r="U146" s="23">
        <f t="shared" si="31"/>
        <v>0</v>
      </c>
      <c r="V146" s="10">
        <f t="shared" si="32"/>
        <v>3000000</v>
      </c>
      <c r="W146" s="10">
        <f t="shared" si="33"/>
        <v>0</v>
      </c>
      <c r="X146" s="10">
        <f t="shared" si="34"/>
        <v>0</v>
      </c>
    </row>
    <row r="147" spans="1:24" s="9" customFormat="1" ht="13.5" customHeight="1" x14ac:dyDescent="0.2">
      <c r="A147" s="64">
        <f t="shared" si="35"/>
        <v>143</v>
      </c>
      <c r="B147" s="77" t="s">
        <v>1364</v>
      </c>
      <c r="C147" s="66" t="s">
        <v>845</v>
      </c>
      <c r="D147" s="175">
        <v>1100000</v>
      </c>
      <c r="E147" s="462"/>
      <c r="F147" s="67">
        <f t="shared" si="27"/>
        <v>1100000</v>
      </c>
      <c r="G147" s="67">
        <v>1099000</v>
      </c>
      <c r="H147" s="67">
        <f t="shared" si="25"/>
        <v>1000</v>
      </c>
      <c r="I147" s="68">
        <v>5</v>
      </c>
      <c r="J147" s="68">
        <v>0.2</v>
      </c>
      <c r="K147" s="68">
        <v>0</v>
      </c>
      <c r="L147" s="110"/>
      <c r="M147" s="67">
        <f t="shared" si="26"/>
        <v>1099000</v>
      </c>
      <c r="N147" s="67">
        <f t="shared" si="28"/>
        <v>1000</v>
      </c>
      <c r="O147" s="111" t="s">
        <v>1365</v>
      </c>
      <c r="P147" s="111">
        <v>1</v>
      </c>
      <c r="Q147" s="464"/>
      <c r="R147" s="23">
        <f t="shared" si="36"/>
        <v>200</v>
      </c>
      <c r="S147" s="23">
        <f t="shared" si="29"/>
        <v>55000</v>
      </c>
      <c r="T147" s="23">
        <f t="shared" si="30"/>
        <v>-54000</v>
      </c>
      <c r="U147" s="23">
        <f t="shared" si="31"/>
        <v>0</v>
      </c>
      <c r="V147" s="10">
        <f t="shared" si="32"/>
        <v>220000</v>
      </c>
      <c r="W147" s="10">
        <f t="shared" si="33"/>
        <v>0</v>
      </c>
      <c r="X147" s="10">
        <f t="shared" si="34"/>
        <v>0</v>
      </c>
    </row>
    <row r="148" spans="1:24" s="9" customFormat="1" ht="13.5" customHeight="1" x14ac:dyDescent="0.2">
      <c r="A148" s="754">
        <f t="shared" si="35"/>
        <v>144</v>
      </c>
      <c r="B148" s="767" t="s">
        <v>1366</v>
      </c>
      <c r="C148" s="768" t="s">
        <v>845</v>
      </c>
      <c r="D148" s="769">
        <v>0</v>
      </c>
      <c r="E148" s="770"/>
      <c r="F148" s="757">
        <f t="shared" si="27"/>
        <v>0</v>
      </c>
      <c r="G148" s="757"/>
      <c r="H148" s="757"/>
      <c r="I148" s="759">
        <v>5</v>
      </c>
      <c r="J148" s="759">
        <v>0.2</v>
      </c>
      <c r="K148" s="759">
        <v>0</v>
      </c>
      <c r="L148" s="758"/>
      <c r="M148" s="757"/>
      <c r="N148" s="757"/>
      <c r="O148" s="760" t="s">
        <v>211</v>
      </c>
      <c r="P148" s="760">
        <v>1</v>
      </c>
      <c r="Q148" s="771" t="s">
        <v>2942</v>
      </c>
      <c r="R148" s="23">
        <f t="shared" si="36"/>
        <v>0</v>
      </c>
      <c r="S148" s="23">
        <f t="shared" si="29"/>
        <v>0</v>
      </c>
      <c r="T148" s="23">
        <f t="shared" si="30"/>
        <v>0</v>
      </c>
      <c r="U148" s="23">
        <f t="shared" si="31"/>
        <v>-1000</v>
      </c>
      <c r="V148" s="10">
        <f t="shared" si="32"/>
        <v>0</v>
      </c>
      <c r="W148" s="10">
        <f t="shared" si="33"/>
        <v>0</v>
      </c>
      <c r="X148" s="10">
        <f t="shared" si="34"/>
        <v>0</v>
      </c>
    </row>
    <row r="149" spans="1:24" s="9" customFormat="1" ht="13.5" customHeight="1" x14ac:dyDescent="0.2">
      <c r="A149" s="64">
        <f t="shared" si="35"/>
        <v>145</v>
      </c>
      <c r="B149" s="77" t="s">
        <v>1367</v>
      </c>
      <c r="C149" s="66" t="s">
        <v>288</v>
      </c>
      <c r="D149" s="175">
        <v>3500000</v>
      </c>
      <c r="E149" s="462"/>
      <c r="F149" s="67">
        <f t="shared" si="27"/>
        <v>3500000</v>
      </c>
      <c r="G149" s="67">
        <v>3499000</v>
      </c>
      <c r="H149" s="67">
        <f t="shared" si="25"/>
        <v>1000</v>
      </c>
      <c r="I149" s="68">
        <v>5</v>
      </c>
      <c r="J149" s="68">
        <v>0.2</v>
      </c>
      <c r="K149" s="68">
        <v>0</v>
      </c>
      <c r="L149" s="110"/>
      <c r="M149" s="67">
        <f t="shared" si="26"/>
        <v>3499000</v>
      </c>
      <c r="N149" s="67">
        <f t="shared" si="28"/>
        <v>1000</v>
      </c>
      <c r="O149" s="111" t="s">
        <v>1215</v>
      </c>
      <c r="P149" s="111">
        <v>1</v>
      </c>
      <c r="Q149" s="464"/>
      <c r="R149" s="23">
        <f t="shared" si="36"/>
        <v>200</v>
      </c>
      <c r="S149" s="23">
        <f t="shared" si="29"/>
        <v>175000</v>
      </c>
      <c r="T149" s="23">
        <f t="shared" si="30"/>
        <v>-174000</v>
      </c>
      <c r="U149" s="23">
        <f t="shared" si="31"/>
        <v>0</v>
      </c>
      <c r="V149" s="10">
        <f t="shared" si="32"/>
        <v>700000</v>
      </c>
      <c r="W149" s="10">
        <f t="shared" si="33"/>
        <v>0</v>
      </c>
      <c r="X149" s="10">
        <f t="shared" si="34"/>
        <v>0</v>
      </c>
    </row>
    <row r="150" spans="1:24" s="9" customFormat="1" ht="13.5" customHeight="1" x14ac:dyDescent="0.2">
      <c r="A150" s="64">
        <f t="shared" si="35"/>
        <v>146</v>
      </c>
      <c r="B150" s="77" t="s">
        <v>1368</v>
      </c>
      <c r="C150" s="66" t="s">
        <v>1369</v>
      </c>
      <c r="D150" s="175">
        <v>800000</v>
      </c>
      <c r="E150" s="462"/>
      <c r="F150" s="67">
        <f t="shared" si="27"/>
        <v>800000</v>
      </c>
      <c r="G150" s="67">
        <v>799000</v>
      </c>
      <c r="H150" s="67">
        <f t="shared" si="25"/>
        <v>1000</v>
      </c>
      <c r="I150" s="68">
        <v>5</v>
      </c>
      <c r="J150" s="68">
        <v>0.2</v>
      </c>
      <c r="K150" s="68">
        <v>0</v>
      </c>
      <c r="L150" s="110"/>
      <c r="M150" s="67">
        <f t="shared" si="26"/>
        <v>799000</v>
      </c>
      <c r="N150" s="67">
        <f t="shared" si="28"/>
        <v>1000</v>
      </c>
      <c r="O150" s="111" t="s">
        <v>706</v>
      </c>
      <c r="P150" s="111">
        <v>1</v>
      </c>
      <c r="Q150" s="464"/>
      <c r="R150" s="23">
        <f t="shared" si="36"/>
        <v>200</v>
      </c>
      <c r="S150" s="23">
        <f t="shared" si="29"/>
        <v>40000</v>
      </c>
      <c r="T150" s="23">
        <f t="shared" si="30"/>
        <v>-39000</v>
      </c>
      <c r="U150" s="23">
        <f t="shared" si="31"/>
        <v>0</v>
      </c>
      <c r="V150" s="10">
        <f t="shared" si="32"/>
        <v>160000</v>
      </c>
      <c r="W150" s="10">
        <f t="shared" si="33"/>
        <v>0</v>
      </c>
      <c r="X150" s="10">
        <f t="shared" si="34"/>
        <v>0</v>
      </c>
    </row>
    <row r="151" spans="1:24" s="9" customFormat="1" ht="13.5" customHeight="1" x14ac:dyDescent="0.2">
      <c r="A151" s="64">
        <f t="shared" si="35"/>
        <v>147</v>
      </c>
      <c r="B151" s="77" t="s">
        <v>1370</v>
      </c>
      <c r="C151" s="66" t="s">
        <v>1371</v>
      </c>
      <c r="D151" s="175">
        <v>6200000</v>
      </c>
      <c r="E151" s="462"/>
      <c r="F151" s="67">
        <f t="shared" si="27"/>
        <v>6200000</v>
      </c>
      <c r="G151" s="67">
        <v>6199000</v>
      </c>
      <c r="H151" s="67">
        <f t="shared" si="25"/>
        <v>1000</v>
      </c>
      <c r="I151" s="68">
        <v>5</v>
      </c>
      <c r="J151" s="68">
        <v>0.2</v>
      </c>
      <c r="K151" s="68">
        <v>0</v>
      </c>
      <c r="L151" s="110"/>
      <c r="M151" s="67">
        <f t="shared" si="26"/>
        <v>6199000</v>
      </c>
      <c r="N151" s="67">
        <f t="shared" si="28"/>
        <v>1000</v>
      </c>
      <c r="O151" s="111" t="s">
        <v>1372</v>
      </c>
      <c r="P151" s="111">
        <v>1</v>
      </c>
      <c r="Q151" s="464"/>
      <c r="R151" s="23">
        <f t="shared" si="36"/>
        <v>200</v>
      </c>
      <c r="S151" s="23">
        <f t="shared" si="29"/>
        <v>310000</v>
      </c>
      <c r="T151" s="23">
        <f t="shared" si="30"/>
        <v>-309000</v>
      </c>
      <c r="U151" s="23">
        <f t="shared" si="31"/>
        <v>0</v>
      </c>
      <c r="V151" s="10">
        <f t="shared" si="32"/>
        <v>1240000</v>
      </c>
      <c r="W151" s="10">
        <f t="shared" si="33"/>
        <v>0</v>
      </c>
      <c r="X151" s="10">
        <f t="shared" si="34"/>
        <v>0</v>
      </c>
    </row>
    <row r="152" spans="1:24" s="9" customFormat="1" ht="13.5" customHeight="1" x14ac:dyDescent="0.2">
      <c r="A152" s="64">
        <f t="shared" si="35"/>
        <v>148</v>
      </c>
      <c r="B152" s="77" t="s">
        <v>1373</v>
      </c>
      <c r="C152" s="66" t="s">
        <v>1371</v>
      </c>
      <c r="D152" s="175">
        <v>4200000</v>
      </c>
      <c r="E152" s="462"/>
      <c r="F152" s="67">
        <f t="shared" si="27"/>
        <v>4200000</v>
      </c>
      <c r="G152" s="67">
        <v>4199000</v>
      </c>
      <c r="H152" s="67">
        <f t="shared" si="25"/>
        <v>1000</v>
      </c>
      <c r="I152" s="68">
        <v>5</v>
      </c>
      <c r="J152" s="68">
        <v>0.2</v>
      </c>
      <c r="K152" s="68">
        <v>0</v>
      </c>
      <c r="L152" s="110"/>
      <c r="M152" s="67">
        <f t="shared" si="26"/>
        <v>4199000</v>
      </c>
      <c r="N152" s="67">
        <f t="shared" si="28"/>
        <v>1000</v>
      </c>
      <c r="O152" s="111" t="s">
        <v>1215</v>
      </c>
      <c r="P152" s="111">
        <v>1</v>
      </c>
      <c r="Q152" s="464"/>
      <c r="R152" s="23">
        <f t="shared" si="36"/>
        <v>200</v>
      </c>
      <c r="S152" s="23">
        <f t="shared" si="29"/>
        <v>210000</v>
      </c>
      <c r="T152" s="23">
        <f t="shared" si="30"/>
        <v>-209000</v>
      </c>
      <c r="U152" s="23">
        <f t="shared" si="31"/>
        <v>0</v>
      </c>
      <c r="V152" s="10">
        <f t="shared" si="32"/>
        <v>840000</v>
      </c>
      <c r="W152" s="10">
        <f t="shared" si="33"/>
        <v>0</v>
      </c>
      <c r="X152" s="10">
        <f t="shared" si="34"/>
        <v>0</v>
      </c>
    </row>
    <row r="153" spans="1:24" s="9" customFormat="1" ht="13.5" customHeight="1" x14ac:dyDescent="0.2">
      <c r="A153" s="64">
        <f t="shared" si="35"/>
        <v>149</v>
      </c>
      <c r="B153" s="77" t="s">
        <v>1374</v>
      </c>
      <c r="C153" s="66" t="s">
        <v>1371</v>
      </c>
      <c r="D153" s="175">
        <v>4500000</v>
      </c>
      <c r="E153" s="462"/>
      <c r="F153" s="67">
        <f t="shared" si="27"/>
        <v>4500000</v>
      </c>
      <c r="G153" s="67">
        <v>4499000</v>
      </c>
      <c r="H153" s="67">
        <f t="shared" si="25"/>
        <v>1000</v>
      </c>
      <c r="I153" s="68">
        <v>5</v>
      </c>
      <c r="J153" s="68">
        <v>0.2</v>
      </c>
      <c r="K153" s="68">
        <v>0</v>
      </c>
      <c r="L153" s="110"/>
      <c r="M153" s="67">
        <f t="shared" si="26"/>
        <v>4499000</v>
      </c>
      <c r="N153" s="67">
        <f t="shared" si="28"/>
        <v>1000</v>
      </c>
      <c r="O153" s="111" t="s">
        <v>1215</v>
      </c>
      <c r="P153" s="111">
        <v>1</v>
      </c>
      <c r="Q153" s="464"/>
      <c r="R153" s="23">
        <f t="shared" si="36"/>
        <v>200</v>
      </c>
      <c r="S153" s="23">
        <f t="shared" si="29"/>
        <v>225000</v>
      </c>
      <c r="T153" s="23">
        <f t="shared" si="30"/>
        <v>-224000</v>
      </c>
      <c r="U153" s="23">
        <f t="shared" si="31"/>
        <v>0</v>
      </c>
      <c r="V153" s="10">
        <f t="shared" si="32"/>
        <v>900000</v>
      </c>
      <c r="W153" s="10">
        <f t="shared" si="33"/>
        <v>0</v>
      </c>
      <c r="X153" s="10">
        <f t="shared" si="34"/>
        <v>0</v>
      </c>
    </row>
    <row r="154" spans="1:24" s="9" customFormat="1" ht="13.5" customHeight="1" x14ac:dyDescent="0.2">
      <c r="A154" s="64">
        <f t="shared" si="35"/>
        <v>150</v>
      </c>
      <c r="B154" s="77" t="s">
        <v>1286</v>
      </c>
      <c r="C154" s="66" t="s">
        <v>1371</v>
      </c>
      <c r="D154" s="175">
        <v>10500000</v>
      </c>
      <c r="E154" s="462"/>
      <c r="F154" s="67">
        <f t="shared" si="27"/>
        <v>10500000</v>
      </c>
      <c r="G154" s="67">
        <v>10499000</v>
      </c>
      <c r="H154" s="67">
        <f t="shared" si="25"/>
        <v>1000</v>
      </c>
      <c r="I154" s="68">
        <v>5</v>
      </c>
      <c r="J154" s="68">
        <v>0.2</v>
      </c>
      <c r="K154" s="68">
        <v>0</v>
      </c>
      <c r="L154" s="110"/>
      <c r="M154" s="67">
        <f t="shared" si="26"/>
        <v>10499000</v>
      </c>
      <c r="N154" s="67">
        <f t="shared" si="28"/>
        <v>1000</v>
      </c>
      <c r="O154" s="111" t="s">
        <v>1215</v>
      </c>
      <c r="P154" s="111">
        <v>1</v>
      </c>
      <c r="Q154" s="464"/>
      <c r="R154" s="23">
        <f t="shared" si="36"/>
        <v>200</v>
      </c>
      <c r="S154" s="23">
        <f t="shared" si="29"/>
        <v>525000</v>
      </c>
      <c r="T154" s="23">
        <f t="shared" si="30"/>
        <v>-524000</v>
      </c>
      <c r="U154" s="23">
        <f t="shared" si="31"/>
        <v>0</v>
      </c>
      <c r="V154" s="10">
        <f t="shared" si="32"/>
        <v>2100000</v>
      </c>
      <c r="W154" s="10">
        <f t="shared" si="33"/>
        <v>0</v>
      </c>
      <c r="X154" s="10">
        <f t="shared" si="34"/>
        <v>0</v>
      </c>
    </row>
    <row r="155" spans="1:24" s="9" customFormat="1" ht="13.5" customHeight="1" x14ac:dyDescent="0.2">
      <c r="A155" s="64">
        <f t="shared" si="35"/>
        <v>151</v>
      </c>
      <c r="B155" s="77" t="s">
        <v>1375</v>
      </c>
      <c r="C155" s="66" t="s">
        <v>1376</v>
      </c>
      <c r="D155" s="175">
        <v>6500000</v>
      </c>
      <c r="E155" s="462"/>
      <c r="F155" s="67">
        <f t="shared" si="27"/>
        <v>6500000</v>
      </c>
      <c r="G155" s="67">
        <v>6499000</v>
      </c>
      <c r="H155" s="67">
        <f t="shared" si="25"/>
        <v>1000</v>
      </c>
      <c r="I155" s="68">
        <v>5</v>
      </c>
      <c r="J155" s="68">
        <v>0.2</v>
      </c>
      <c r="K155" s="68">
        <v>0</v>
      </c>
      <c r="L155" s="110"/>
      <c r="M155" s="67">
        <f t="shared" si="26"/>
        <v>6499000</v>
      </c>
      <c r="N155" s="67">
        <f t="shared" si="28"/>
        <v>1000</v>
      </c>
      <c r="O155" s="111" t="s">
        <v>1290</v>
      </c>
      <c r="P155" s="111">
        <v>1</v>
      </c>
      <c r="Q155" s="464"/>
      <c r="R155" s="23">
        <f t="shared" si="36"/>
        <v>200</v>
      </c>
      <c r="S155" s="23">
        <f t="shared" si="29"/>
        <v>325000</v>
      </c>
      <c r="T155" s="23">
        <f t="shared" si="30"/>
        <v>-324000</v>
      </c>
      <c r="U155" s="23">
        <f t="shared" si="31"/>
        <v>0</v>
      </c>
      <c r="V155" s="10">
        <f t="shared" si="32"/>
        <v>1300000</v>
      </c>
      <c r="W155" s="10">
        <f t="shared" si="33"/>
        <v>0</v>
      </c>
      <c r="X155" s="10">
        <f t="shared" si="34"/>
        <v>0</v>
      </c>
    </row>
    <row r="156" spans="1:24" s="9" customFormat="1" ht="13.5" customHeight="1" x14ac:dyDescent="0.2">
      <c r="A156" s="64">
        <f t="shared" si="35"/>
        <v>152</v>
      </c>
      <c r="B156" s="77" t="s">
        <v>1377</v>
      </c>
      <c r="C156" s="66" t="s">
        <v>296</v>
      </c>
      <c r="D156" s="175">
        <v>6000000</v>
      </c>
      <c r="E156" s="462"/>
      <c r="F156" s="67">
        <f t="shared" si="27"/>
        <v>6000000</v>
      </c>
      <c r="G156" s="67">
        <v>5999000</v>
      </c>
      <c r="H156" s="67">
        <f t="shared" si="25"/>
        <v>1000</v>
      </c>
      <c r="I156" s="68">
        <v>5</v>
      </c>
      <c r="J156" s="68">
        <v>0.2</v>
      </c>
      <c r="K156" s="68">
        <v>0</v>
      </c>
      <c r="L156" s="110"/>
      <c r="M156" s="67">
        <f t="shared" si="26"/>
        <v>5999000</v>
      </c>
      <c r="N156" s="67">
        <f t="shared" si="28"/>
        <v>1000</v>
      </c>
      <c r="O156" s="111" t="s">
        <v>1290</v>
      </c>
      <c r="P156" s="111">
        <v>1</v>
      </c>
      <c r="Q156" s="464"/>
      <c r="R156" s="23">
        <f t="shared" si="36"/>
        <v>200</v>
      </c>
      <c r="S156" s="23">
        <f t="shared" si="29"/>
        <v>300000</v>
      </c>
      <c r="T156" s="23">
        <f t="shared" si="30"/>
        <v>-299000</v>
      </c>
      <c r="U156" s="23">
        <f t="shared" si="31"/>
        <v>0</v>
      </c>
      <c r="V156" s="10">
        <f t="shared" si="32"/>
        <v>1200000</v>
      </c>
      <c r="W156" s="10">
        <f t="shared" si="33"/>
        <v>0</v>
      </c>
      <c r="X156" s="10">
        <f t="shared" si="34"/>
        <v>0</v>
      </c>
    </row>
    <row r="157" spans="1:24" s="9" customFormat="1" ht="13.5" customHeight="1" x14ac:dyDescent="0.2">
      <c r="A157" s="64">
        <f t="shared" si="35"/>
        <v>153</v>
      </c>
      <c r="B157" s="77" t="s">
        <v>1378</v>
      </c>
      <c r="C157" s="66" t="s">
        <v>296</v>
      </c>
      <c r="D157" s="175">
        <v>600000</v>
      </c>
      <c r="E157" s="462"/>
      <c r="F157" s="67">
        <f t="shared" si="27"/>
        <v>600000</v>
      </c>
      <c r="G157" s="67">
        <v>599000</v>
      </c>
      <c r="H157" s="67">
        <f t="shared" si="25"/>
        <v>1000</v>
      </c>
      <c r="I157" s="68">
        <v>5</v>
      </c>
      <c r="J157" s="68">
        <v>0.2</v>
      </c>
      <c r="K157" s="68">
        <v>0</v>
      </c>
      <c r="L157" s="110"/>
      <c r="M157" s="67">
        <f t="shared" si="26"/>
        <v>599000</v>
      </c>
      <c r="N157" s="67">
        <f t="shared" si="28"/>
        <v>1000</v>
      </c>
      <c r="O157" s="111" t="s">
        <v>1379</v>
      </c>
      <c r="P157" s="111">
        <v>1</v>
      </c>
      <c r="Q157" s="464"/>
      <c r="R157" s="23">
        <f t="shared" si="36"/>
        <v>200</v>
      </c>
      <c r="S157" s="23">
        <f t="shared" si="29"/>
        <v>30000</v>
      </c>
      <c r="T157" s="23">
        <f t="shared" si="30"/>
        <v>-29000</v>
      </c>
      <c r="U157" s="23">
        <f t="shared" si="31"/>
        <v>0</v>
      </c>
      <c r="V157" s="10">
        <f t="shared" si="32"/>
        <v>120000</v>
      </c>
      <c r="W157" s="10">
        <f t="shared" si="33"/>
        <v>0</v>
      </c>
      <c r="X157" s="10">
        <f t="shared" si="34"/>
        <v>0</v>
      </c>
    </row>
    <row r="158" spans="1:24" s="9" customFormat="1" ht="13.5" customHeight="1" x14ac:dyDescent="0.2">
      <c r="A158" s="64">
        <f t="shared" si="35"/>
        <v>154</v>
      </c>
      <c r="B158" s="77" t="s">
        <v>1380</v>
      </c>
      <c r="C158" s="66" t="s">
        <v>296</v>
      </c>
      <c r="D158" s="175">
        <v>600000</v>
      </c>
      <c r="E158" s="462"/>
      <c r="F158" s="67">
        <f t="shared" si="27"/>
        <v>600000</v>
      </c>
      <c r="G158" s="67">
        <v>599000</v>
      </c>
      <c r="H158" s="67">
        <f t="shared" si="25"/>
        <v>1000</v>
      </c>
      <c r="I158" s="68">
        <v>5</v>
      </c>
      <c r="J158" s="68">
        <v>0.2</v>
      </c>
      <c r="K158" s="68">
        <v>0</v>
      </c>
      <c r="L158" s="110"/>
      <c r="M158" s="67">
        <f t="shared" si="26"/>
        <v>599000</v>
      </c>
      <c r="N158" s="67">
        <f t="shared" si="28"/>
        <v>1000</v>
      </c>
      <c r="O158" s="111" t="s">
        <v>1379</v>
      </c>
      <c r="P158" s="111">
        <v>1</v>
      </c>
      <c r="Q158" s="464"/>
      <c r="R158" s="23">
        <f t="shared" si="36"/>
        <v>200</v>
      </c>
      <c r="S158" s="23">
        <f t="shared" si="29"/>
        <v>30000</v>
      </c>
      <c r="T158" s="23">
        <f t="shared" si="30"/>
        <v>-29000</v>
      </c>
      <c r="U158" s="23">
        <f t="shared" si="31"/>
        <v>0</v>
      </c>
      <c r="V158" s="10">
        <f t="shared" si="32"/>
        <v>120000</v>
      </c>
      <c r="W158" s="10">
        <f t="shared" si="33"/>
        <v>0</v>
      </c>
      <c r="X158" s="10">
        <f t="shared" si="34"/>
        <v>0</v>
      </c>
    </row>
    <row r="159" spans="1:24" s="9" customFormat="1" ht="13.5" customHeight="1" x14ac:dyDescent="0.2">
      <c r="A159" s="64">
        <f t="shared" si="35"/>
        <v>155</v>
      </c>
      <c r="B159" s="507" t="s">
        <v>1381</v>
      </c>
      <c r="C159" s="66" t="s">
        <v>859</v>
      </c>
      <c r="D159" s="175">
        <v>1870000</v>
      </c>
      <c r="E159" s="462"/>
      <c r="F159" s="67">
        <f t="shared" si="27"/>
        <v>1870000</v>
      </c>
      <c r="G159" s="67">
        <v>1869000</v>
      </c>
      <c r="H159" s="67">
        <f t="shared" si="25"/>
        <v>1000</v>
      </c>
      <c r="I159" s="68">
        <v>5</v>
      </c>
      <c r="J159" s="68">
        <v>0.2</v>
      </c>
      <c r="K159" s="68">
        <v>0</v>
      </c>
      <c r="L159" s="110"/>
      <c r="M159" s="67">
        <f t="shared" si="26"/>
        <v>1869000</v>
      </c>
      <c r="N159" s="67">
        <f t="shared" si="28"/>
        <v>1000</v>
      </c>
      <c r="O159" s="111" t="s">
        <v>1382</v>
      </c>
      <c r="P159" s="111">
        <v>1</v>
      </c>
      <c r="Q159" s="464"/>
      <c r="R159" s="23">
        <f t="shared" si="36"/>
        <v>200</v>
      </c>
      <c r="S159" s="23">
        <f t="shared" si="29"/>
        <v>93500</v>
      </c>
      <c r="T159" s="23">
        <f t="shared" si="30"/>
        <v>-92500</v>
      </c>
      <c r="U159" s="23">
        <f t="shared" si="31"/>
        <v>0</v>
      </c>
      <c r="V159" s="10">
        <f t="shared" si="32"/>
        <v>374000</v>
      </c>
      <c r="W159" s="10">
        <f t="shared" si="33"/>
        <v>0</v>
      </c>
      <c r="X159" s="10">
        <f t="shared" si="34"/>
        <v>0</v>
      </c>
    </row>
    <row r="160" spans="1:24" s="9" customFormat="1" ht="13.5" customHeight="1" x14ac:dyDescent="0.2">
      <c r="A160" s="64">
        <f t="shared" si="35"/>
        <v>156</v>
      </c>
      <c r="B160" s="77" t="s">
        <v>1240</v>
      </c>
      <c r="C160" s="66" t="s">
        <v>1383</v>
      </c>
      <c r="D160" s="175">
        <v>4390317</v>
      </c>
      <c r="E160" s="462"/>
      <c r="F160" s="67">
        <f t="shared" si="27"/>
        <v>4390317</v>
      </c>
      <c r="G160" s="67">
        <v>4389317</v>
      </c>
      <c r="H160" s="67">
        <f t="shared" si="25"/>
        <v>1000</v>
      </c>
      <c r="I160" s="68">
        <v>5</v>
      </c>
      <c r="J160" s="68">
        <v>0.2</v>
      </c>
      <c r="K160" s="68">
        <v>0</v>
      </c>
      <c r="L160" s="110"/>
      <c r="M160" s="67">
        <f t="shared" si="26"/>
        <v>4389317</v>
      </c>
      <c r="N160" s="67">
        <f t="shared" si="28"/>
        <v>1000</v>
      </c>
      <c r="O160" s="505" t="s">
        <v>1296</v>
      </c>
      <c r="P160" s="111">
        <v>6</v>
      </c>
      <c r="Q160" s="464"/>
      <c r="R160" s="23">
        <f t="shared" si="36"/>
        <v>200</v>
      </c>
      <c r="S160" s="23">
        <f t="shared" si="29"/>
        <v>219515.85</v>
      </c>
      <c r="T160" s="23">
        <f t="shared" si="30"/>
        <v>-218515.85</v>
      </c>
      <c r="U160" s="23">
        <f t="shared" si="31"/>
        <v>0</v>
      </c>
      <c r="V160" s="10">
        <f t="shared" si="32"/>
        <v>878063.4</v>
      </c>
      <c r="W160" s="10">
        <f t="shared" si="33"/>
        <v>0</v>
      </c>
      <c r="X160" s="10">
        <f t="shared" si="34"/>
        <v>0</v>
      </c>
    </row>
    <row r="161" spans="1:24" s="9" customFormat="1" ht="13.5" customHeight="1" x14ac:dyDescent="0.2">
      <c r="A161" s="64">
        <f t="shared" si="35"/>
        <v>157</v>
      </c>
      <c r="B161" s="77" t="s">
        <v>1240</v>
      </c>
      <c r="C161" s="66" t="s">
        <v>1384</v>
      </c>
      <c r="D161" s="175">
        <v>729463</v>
      </c>
      <c r="E161" s="462"/>
      <c r="F161" s="67">
        <f t="shared" si="27"/>
        <v>729463</v>
      </c>
      <c r="G161" s="67">
        <v>728463</v>
      </c>
      <c r="H161" s="67">
        <f t="shared" si="25"/>
        <v>1000</v>
      </c>
      <c r="I161" s="68">
        <v>5</v>
      </c>
      <c r="J161" s="68">
        <v>0.2</v>
      </c>
      <c r="K161" s="68">
        <v>0</v>
      </c>
      <c r="L161" s="110"/>
      <c r="M161" s="67">
        <f t="shared" si="26"/>
        <v>728463</v>
      </c>
      <c r="N161" s="67">
        <f t="shared" si="28"/>
        <v>1000</v>
      </c>
      <c r="O161" s="505" t="s">
        <v>1296</v>
      </c>
      <c r="P161" s="111">
        <v>1</v>
      </c>
      <c r="Q161" s="464"/>
      <c r="R161" s="23">
        <f t="shared" si="36"/>
        <v>200</v>
      </c>
      <c r="S161" s="23">
        <f t="shared" si="29"/>
        <v>36473.15</v>
      </c>
      <c r="T161" s="23">
        <f t="shared" si="30"/>
        <v>-35473.15</v>
      </c>
      <c r="U161" s="23">
        <f t="shared" si="31"/>
        <v>0</v>
      </c>
      <c r="V161" s="10">
        <f t="shared" si="32"/>
        <v>145892.6</v>
      </c>
      <c r="W161" s="10">
        <f t="shared" si="33"/>
        <v>0</v>
      </c>
      <c r="X161" s="10">
        <f t="shared" si="34"/>
        <v>0</v>
      </c>
    </row>
    <row r="162" spans="1:24" s="9" customFormat="1" ht="13.5" customHeight="1" x14ac:dyDescent="0.2">
      <c r="A162" s="64">
        <f t="shared" si="35"/>
        <v>158</v>
      </c>
      <c r="B162" s="77" t="s">
        <v>1362</v>
      </c>
      <c r="C162" s="163">
        <v>38722</v>
      </c>
      <c r="D162" s="175">
        <v>7500000</v>
      </c>
      <c r="E162" s="462"/>
      <c r="F162" s="67">
        <f t="shared" si="27"/>
        <v>7500000</v>
      </c>
      <c r="G162" s="67">
        <v>7499000</v>
      </c>
      <c r="H162" s="67">
        <f t="shared" si="25"/>
        <v>1000</v>
      </c>
      <c r="I162" s="68">
        <v>5</v>
      </c>
      <c r="J162" s="68">
        <v>0.2</v>
      </c>
      <c r="K162" s="68">
        <v>0</v>
      </c>
      <c r="L162" s="110">
        <f>(H162*J162)*K162/12</f>
        <v>0</v>
      </c>
      <c r="M162" s="67">
        <f t="shared" si="26"/>
        <v>7499000</v>
      </c>
      <c r="N162" s="67">
        <f t="shared" si="28"/>
        <v>1000</v>
      </c>
      <c r="O162" s="111" t="s">
        <v>1290</v>
      </c>
      <c r="P162" s="111">
        <v>1</v>
      </c>
      <c r="Q162" s="464"/>
      <c r="R162" s="23"/>
      <c r="S162" s="23">
        <f t="shared" si="29"/>
        <v>375000</v>
      </c>
      <c r="T162" s="23">
        <f t="shared" si="30"/>
        <v>-374000</v>
      </c>
      <c r="U162" s="23">
        <f t="shared" si="31"/>
        <v>0</v>
      </c>
      <c r="V162" s="10">
        <f t="shared" si="32"/>
        <v>1500000</v>
      </c>
      <c r="W162" s="10">
        <f t="shared" si="33"/>
        <v>0</v>
      </c>
      <c r="X162" s="10">
        <f t="shared" si="34"/>
        <v>0</v>
      </c>
    </row>
    <row r="163" spans="1:24" s="9" customFormat="1" ht="13.5" customHeight="1" x14ac:dyDescent="0.2">
      <c r="A163" s="64">
        <f t="shared" si="35"/>
        <v>159</v>
      </c>
      <c r="B163" s="77" t="s">
        <v>1385</v>
      </c>
      <c r="C163" s="163">
        <v>38748</v>
      </c>
      <c r="D163" s="175">
        <v>2000000</v>
      </c>
      <c r="E163" s="462"/>
      <c r="F163" s="67">
        <f t="shared" si="27"/>
        <v>2000000</v>
      </c>
      <c r="G163" s="67">
        <v>1999000</v>
      </c>
      <c r="H163" s="67">
        <f t="shared" si="25"/>
        <v>1000</v>
      </c>
      <c r="I163" s="68">
        <v>5</v>
      </c>
      <c r="J163" s="68">
        <v>0.2</v>
      </c>
      <c r="K163" s="68">
        <v>0</v>
      </c>
      <c r="L163" s="110">
        <f>(H163*J163)*K163/12</f>
        <v>0</v>
      </c>
      <c r="M163" s="67">
        <f t="shared" si="26"/>
        <v>1999000</v>
      </c>
      <c r="N163" s="67">
        <f t="shared" si="28"/>
        <v>1000</v>
      </c>
      <c r="O163" s="111" t="s">
        <v>1215</v>
      </c>
      <c r="P163" s="111">
        <v>1</v>
      </c>
      <c r="Q163" s="464"/>
      <c r="R163" s="23"/>
      <c r="S163" s="23">
        <f t="shared" si="29"/>
        <v>100000</v>
      </c>
      <c r="T163" s="23">
        <f t="shared" si="30"/>
        <v>-99000</v>
      </c>
      <c r="U163" s="23">
        <f t="shared" si="31"/>
        <v>0</v>
      </c>
      <c r="V163" s="10">
        <f t="shared" si="32"/>
        <v>400000</v>
      </c>
      <c r="W163" s="10">
        <f t="shared" si="33"/>
        <v>0</v>
      </c>
      <c r="X163" s="10">
        <f t="shared" si="34"/>
        <v>0</v>
      </c>
    </row>
    <row r="164" spans="1:24" s="9" customFormat="1" ht="13.5" customHeight="1" x14ac:dyDescent="0.2">
      <c r="A164" s="64">
        <f t="shared" si="35"/>
        <v>160</v>
      </c>
      <c r="B164" s="77" t="s">
        <v>1386</v>
      </c>
      <c r="C164" s="163">
        <v>38748</v>
      </c>
      <c r="D164" s="175">
        <v>2500000</v>
      </c>
      <c r="E164" s="462"/>
      <c r="F164" s="67">
        <f t="shared" si="27"/>
        <v>2500000</v>
      </c>
      <c r="G164" s="67">
        <v>2499000</v>
      </c>
      <c r="H164" s="67">
        <f t="shared" si="25"/>
        <v>1000</v>
      </c>
      <c r="I164" s="68">
        <v>5</v>
      </c>
      <c r="J164" s="68">
        <v>0.2</v>
      </c>
      <c r="K164" s="68">
        <v>0</v>
      </c>
      <c r="L164" s="110">
        <f>(H164*J164)*K164/12</f>
        <v>0</v>
      </c>
      <c r="M164" s="67">
        <f t="shared" si="26"/>
        <v>2499000</v>
      </c>
      <c r="N164" s="67">
        <f t="shared" si="28"/>
        <v>1000</v>
      </c>
      <c r="O164" s="111" t="s">
        <v>1215</v>
      </c>
      <c r="P164" s="111">
        <v>1</v>
      </c>
      <c r="Q164" s="464"/>
      <c r="R164" s="23"/>
      <c r="S164" s="23">
        <f t="shared" si="29"/>
        <v>125000</v>
      </c>
      <c r="T164" s="23">
        <f t="shared" si="30"/>
        <v>-124000</v>
      </c>
      <c r="U164" s="23">
        <f t="shared" si="31"/>
        <v>0</v>
      </c>
      <c r="V164" s="10">
        <f t="shared" si="32"/>
        <v>500000</v>
      </c>
      <c r="W164" s="10">
        <f t="shared" si="33"/>
        <v>0</v>
      </c>
      <c r="X164" s="10">
        <f t="shared" si="34"/>
        <v>0</v>
      </c>
    </row>
    <row r="165" spans="1:24" s="9" customFormat="1" ht="13.5" customHeight="1" x14ac:dyDescent="0.2">
      <c r="A165" s="64">
        <f t="shared" si="35"/>
        <v>161</v>
      </c>
      <c r="B165" s="77" t="s">
        <v>1387</v>
      </c>
      <c r="C165" s="163">
        <v>38748</v>
      </c>
      <c r="D165" s="175">
        <v>2500000</v>
      </c>
      <c r="E165" s="462"/>
      <c r="F165" s="67">
        <f t="shared" si="27"/>
        <v>2500000</v>
      </c>
      <c r="G165" s="67">
        <v>2499000</v>
      </c>
      <c r="H165" s="67">
        <f t="shared" si="25"/>
        <v>1000</v>
      </c>
      <c r="I165" s="68">
        <v>5</v>
      </c>
      <c r="J165" s="68">
        <v>0.2</v>
      </c>
      <c r="K165" s="68">
        <v>0</v>
      </c>
      <c r="L165" s="110">
        <f>(H165*J165)*K165/12</f>
        <v>0</v>
      </c>
      <c r="M165" s="67">
        <f t="shared" si="26"/>
        <v>2499000</v>
      </c>
      <c r="N165" s="67">
        <f t="shared" si="28"/>
        <v>1000</v>
      </c>
      <c r="O165" s="111" t="s">
        <v>1215</v>
      </c>
      <c r="P165" s="111">
        <v>1</v>
      </c>
      <c r="Q165" s="464"/>
      <c r="R165" s="23"/>
      <c r="S165" s="23">
        <f t="shared" si="29"/>
        <v>125000</v>
      </c>
      <c r="T165" s="23">
        <f t="shared" si="30"/>
        <v>-124000</v>
      </c>
      <c r="U165" s="23">
        <f t="shared" si="31"/>
        <v>0</v>
      </c>
      <c r="V165" s="10">
        <f t="shared" si="32"/>
        <v>500000</v>
      </c>
      <c r="W165" s="10">
        <f t="shared" si="33"/>
        <v>0</v>
      </c>
      <c r="X165" s="10">
        <f t="shared" si="34"/>
        <v>0</v>
      </c>
    </row>
    <row r="166" spans="1:24" s="9" customFormat="1" ht="13.5" customHeight="1" x14ac:dyDescent="0.2">
      <c r="A166" s="64">
        <f t="shared" si="35"/>
        <v>162</v>
      </c>
      <c r="B166" s="77" t="s">
        <v>1388</v>
      </c>
      <c r="C166" s="163">
        <v>38748</v>
      </c>
      <c r="D166" s="175">
        <v>9000000</v>
      </c>
      <c r="E166" s="462"/>
      <c r="F166" s="67">
        <f t="shared" si="27"/>
        <v>9000000</v>
      </c>
      <c r="G166" s="67">
        <v>8999000</v>
      </c>
      <c r="H166" s="67">
        <f t="shared" si="25"/>
        <v>1000</v>
      </c>
      <c r="I166" s="68">
        <v>5</v>
      </c>
      <c r="J166" s="68">
        <v>0.2</v>
      </c>
      <c r="K166" s="68">
        <v>0</v>
      </c>
      <c r="L166" s="110">
        <f>(H166*J166)*K166/12</f>
        <v>0</v>
      </c>
      <c r="M166" s="67">
        <f t="shared" si="26"/>
        <v>8999000</v>
      </c>
      <c r="N166" s="67">
        <f t="shared" si="28"/>
        <v>1000</v>
      </c>
      <c r="O166" s="111" t="s">
        <v>1215</v>
      </c>
      <c r="P166" s="111">
        <v>1</v>
      </c>
      <c r="Q166" s="464"/>
      <c r="R166" s="23"/>
      <c r="S166" s="23">
        <f t="shared" si="29"/>
        <v>450000</v>
      </c>
      <c r="T166" s="23">
        <f t="shared" si="30"/>
        <v>-449000</v>
      </c>
      <c r="U166" s="23">
        <f t="shared" si="31"/>
        <v>0</v>
      </c>
      <c r="V166" s="10">
        <f t="shared" si="32"/>
        <v>1800000</v>
      </c>
      <c r="W166" s="10">
        <f t="shared" si="33"/>
        <v>0</v>
      </c>
      <c r="X166" s="10">
        <f t="shared" si="34"/>
        <v>0</v>
      </c>
    </row>
    <row r="167" spans="1:24" s="9" customFormat="1" ht="13.5" customHeight="1" x14ac:dyDescent="0.2">
      <c r="A167" s="64">
        <f t="shared" si="35"/>
        <v>163</v>
      </c>
      <c r="B167" s="77" t="s">
        <v>1389</v>
      </c>
      <c r="C167" s="163">
        <v>38749</v>
      </c>
      <c r="D167" s="175">
        <v>6000000</v>
      </c>
      <c r="E167" s="462"/>
      <c r="F167" s="67">
        <f t="shared" si="27"/>
        <v>6000000</v>
      </c>
      <c r="G167" s="67">
        <v>5999000</v>
      </c>
      <c r="H167" s="67">
        <f t="shared" si="25"/>
        <v>1000</v>
      </c>
      <c r="I167" s="68">
        <v>5</v>
      </c>
      <c r="J167" s="68">
        <v>0.2</v>
      </c>
      <c r="K167" s="68">
        <v>0</v>
      </c>
      <c r="L167" s="110">
        <f>ROUND(IF(F167*J167*K167/12&gt;=H167,H167-1000,F167*J167*K167/12),0)</f>
        <v>0</v>
      </c>
      <c r="M167" s="67">
        <f t="shared" si="26"/>
        <v>5999000</v>
      </c>
      <c r="N167" s="67">
        <f t="shared" si="28"/>
        <v>1000</v>
      </c>
      <c r="O167" s="111" t="s">
        <v>1215</v>
      </c>
      <c r="P167" s="111">
        <v>1</v>
      </c>
      <c r="Q167" s="464"/>
      <c r="R167" s="23"/>
      <c r="S167" s="23">
        <f t="shared" si="29"/>
        <v>300000</v>
      </c>
      <c r="T167" s="23">
        <f t="shared" si="30"/>
        <v>-299000</v>
      </c>
      <c r="U167" s="23">
        <f t="shared" si="31"/>
        <v>0</v>
      </c>
      <c r="V167" s="10">
        <f t="shared" si="32"/>
        <v>1200000</v>
      </c>
      <c r="W167" s="10">
        <f t="shared" si="33"/>
        <v>0</v>
      </c>
      <c r="X167" s="10">
        <f t="shared" si="34"/>
        <v>0</v>
      </c>
    </row>
    <row r="168" spans="1:24" s="190" customFormat="1" ht="13.5" customHeight="1" x14ac:dyDescent="0.2">
      <c r="A168" s="272">
        <f t="shared" si="35"/>
        <v>164</v>
      </c>
      <c r="B168" s="357" t="s">
        <v>1390</v>
      </c>
      <c r="C168" s="183">
        <v>38776</v>
      </c>
      <c r="D168" s="359">
        <v>6500000</v>
      </c>
      <c r="E168" s="508"/>
      <c r="F168" s="184">
        <f t="shared" si="27"/>
        <v>6500000</v>
      </c>
      <c r="G168" s="184">
        <v>6499000</v>
      </c>
      <c r="H168" s="184">
        <f t="shared" si="25"/>
        <v>1000</v>
      </c>
      <c r="I168" s="186">
        <v>5</v>
      </c>
      <c r="J168" s="186">
        <v>0.2</v>
      </c>
      <c r="K168" s="68">
        <v>0</v>
      </c>
      <c r="L168" s="185">
        <f>ROUND(IF(F168*J168*K168/12&gt;=H168,H168-1000,F168*J168*K168/12),0)</f>
        <v>0</v>
      </c>
      <c r="M168" s="184">
        <f t="shared" si="26"/>
        <v>6499000</v>
      </c>
      <c r="N168" s="184">
        <f t="shared" si="28"/>
        <v>1000</v>
      </c>
      <c r="O168" s="187" t="s">
        <v>1372</v>
      </c>
      <c r="P168" s="187">
        <v>1</v>
      </c>
      <c r="Q168" s="509"/>
      <c r="R168" s="189"/>
      <c r="S168" s="23">
        <f t="shared" si="29"/>
        <v>325000</v>
      </c>
      <c r="T168" s="23">
        <f t="shared" si="30"/>
        <v>-324000</v>
      </c>
      <c r="U168" s="23">
        <f t="shared" si="31"/>
        <v>0</v>
      </c>
      <c r="V168" s="10">
        <f t="shared" si="32"/>
        <v>1300000</v>
      </c>
      <c r="W168" s="10">
        <f t="shared" si="33"/>
        <v>0</v>
      </c>
      <c r="X168" s="10">
        <f t="shared" si="34"/>
        <v>0</v>
      </c>
    </row>
    <row r="169" spans="1:24" s="174" customFormat="1" ht="13.5" customHeight="1" x14ac:dyDescent="0.2">
      <c r="A169" s="164">
        <f t="shared" si="35"/>
        <v>165</v>
      </c>
      <c r="B169" s="510" t="s">
        <v>1391</v>
      </c>
      <c r="C169" s="166">
        <v>38831</v>
      </c>
      <c r="D169" s="500">
        <v>900000</v>
      </c>
      <c r="E169" s="501"/>
      <c r="F169" s="167">
        <f t="shared" si="27"/>
        <v>900000</v>
      </c>
      <c r="G169" s="167">
        <v>899000</v>
      </c>
      <c r="H169" s="167">
        <v>1000</v>
      </c>
      <c r="I169" s="169">
        <v>5</v>
      </c>
      <c r="J169" s="169">
        <v>0.2</v>
      </c>
      <c r="K169" s="169">
        <v>0</v>
      </c>
      <c r="L169" s="168"/>
      <c r="M169" s="167">
        <f t="shared" si="26"/>
        <v>899000</v>
      </c>
      <c r="N169" s="167">
        <f t="shared" si="28"/>
        <v>1000</v>
      </c>
      <c r="O169" s="511" t="s">
        <v>1392</v>
      </c>
      <c r="P169" s="176">
        <v>2</v>
      </c>
      <c r="Q169" s="502" t="s">
        <v>1393</v>
      </c>
      <c r="R169" s="172"/>
      <c r="S169" s="172">
        <f t="shared" si="29"/>
        <v>45000</v>
      </c>
      <c r="T169" s="172">
        <f t="shared" si="30"/>
        <v>-44000</v>
      </c>
      <c r="U169" s="172">
        <f t="shared" si="31"/>
        <v>0</v>
      </c>
      <c r="V169" s="173">
        <f t="shared" si="32"/>
        <v>180000</v>
      </c>
      <c r="W169" s="173">
        <f t="shared" si="33"/>
        <v>0</v>
      </c>
      <c r="X169" s="173">
        <f t="shared" si="34"/>
        <v>0</v>
      </c>
    </row>
    <row r="170" spans="1:24" s="9" customFormat="1" ht="13.5" customHeight="1" x14ac:dyDescent="0.2">
      <c r="A170" s="64">
        <f t="shared" si="35"/>
        <v>166</v>
      </c>
      <c r="B170" s="77" t="s">
        <v>1394</v>
      </c>
      <c r="C170" s="163">
        <v>38835</v>
      </c>
      <c r="D170" s="175">
        <v>1870000</v>
      </c>
      <c r="E170" s="462"/>
      <c r="F170" s="67">
        <f t="shared" si="27"/>
        <v>1870000</v>
      </c>
      <c r="G170" s="67">
        <v>1869000</v>
      </c>
      <c r="H170" s="67">
        <f>+F170-G170</f>
        <v>1000</v>
      </c>
      <c r="I170" s="68">
        <v>5</v>
      </c>
      <c r="J170" s="68">
        <v>0.2</v>
      </c>
      <c r="K170" s="68">
        <v>0</v>
      </c>
      <c r="L170" s="110">
        <f>ROUND(IF(F170*J170*K170/12&gt;=H170,H170-1000,F170*J170*K170/12),0)</f>
        <v>0</v>
      </c>
      <c r="M170" s="67">
        <f t="shared" si="26"/>
        <v>1869000</v>
      </c>
      <c r="N170" s="67">
        <f t="shared" si="28"/>
        <v>1000</v>
      </c>
      <c r="O170" s="180" t="s">
        <v>1395</v>
      </c>
      <c r="P170" s="111">
        <v>1</v>
      </c>
      <c r="Q170" s="464"/>
      <c r="R170" s="23"/>
      <c r="S170" s="23">
        <f t="shared" si="29"/>
        <v>93500</v>
      </c>
      <c r="T170" s="23">
        <f t="shared" si="30"/>
        <v>-92500</v>
      </c>
      <c r="U170" s="23">
        <f t="shared" si="31"/>
        <v>0</v>
      </c>
      <c r="V170" s="10">
        <f t="shared" si="32"/>
        <v>374000</v>
      </c>
      <c r="W170" s="10">
        <f t="shared" si="33"/>
        <v>0</v>
      </c>
      <c r="X170" s="10">
        <f t="shared" si="34"/>
        <v>0</v>
      </c>
    </row>
    <row r="171" spans="1:24" s="9" customFormat="1" ht="13.5" customHeight="1" x14ac:dyDescent="0.2">
      <c r="A171" s="64">
        <f t="shared" si="35"/>
        <v>167</v>
      </c>
      <c r="B171" s="77" t="s">
        <v>1389</v>
      </c>
      <c r="C171" s="163">
        <v>38839</v>
      </c>
      <c r="D171" s="175">
        <v>6500000</v>
      </c>
      <c r="E171" s="462"/>
      <c r="F171" s="67">
        <f t="shared" si="27"/>
        <v>6500000</v>
      </c>
      <c r="G171" s="67">
        <v>6499000</v>
      </c>
      <c r="H171" s="67">
        <f>+F171-G171</f>
        <v>1000</v>
      </c>
      <c r="I171" s="68">
        <v>5</v>
      </c>
      <c r="J171" s="68">
        <v>0.2</v>
      </c>
      <c r="K171" s="68">
        <v>0</v>
      </c>
      <c r="L171" s="110">
        <f>ROUND(IF(F171*J171*K171/12&gt;=H171,H171-1000,F171*J171*K171/12),0)</f>
        <v>0</v>
      </c>
      <c r="M171" s="67">
        <f t="shared" si="26"/>
        <v>6499000</v>
      </c>
      <c r="N171" s="67">
        <f t="shared" si="28"/>
        <v>1000</v>
      </c>
      <c r="O171" s="111" t="s">
        <v>1290</v>
      </c>
      <c r="P171" s="111">
        <v>1</v>
      </c>
      <c r="Q171" s="464"/>
      <c r="R171" s="23"/>
      <c r="S171" s="23">
        <f t="shared" si="29"/>
        <v>325000</v>
      </c>
      <c r="T171" s="23">
        <f t="shared" si="30"/>
        <v>-324000</v>
      </c>
      <c r="U171" s="23">
        <f t="shared" si="31"/>
        <v>0</v>
      </c>
      <c r="V171" s="10">
        <f t="shared" si="32"/>
        <v>1300000</v>
      </c>
      <c r="W171" s="10">
        <f t="shared" si="33"/>
        <v>0</v>
      </c>
      <c r="X171" s="10">
        <f t="shared" si="34"/>
        <v>0</v>
      </c>
    </row>
    <row r="172" spans="1:24" s="174" customFormat="1" ht="13.5" customHeight="1" x14ac:dyDescent="0.2">
      <c r="A172" s="164">
        <f t="shared" si="35"/>
        <v>168</v>
      </c>
      <c r="B172" s="510" t="s">
        <v>1396</v>
      </c>
      <c r="C172" s="166">
        <v>38958</v>
      </c>
      <c r="D172" s="500"/>
      <c r="E172" s="501"/>
      <c r="F172" s="167"/>
      <c r="G172" s="167"/>
      <c r="H172" s="167">
        <v>0</v>
      </c>
      <c r="I172" s="169">
        <v>5</v>
      </c>
      <c r="J172" s="169">
        <v>0.2</v>
      </c>
      <c r="K172" s="169">
        <v>0</v>
      </c>
      <c r="L172" s="168"/>
      <c r="M172" s="167"/>
      <c r="N172" s="167">
        <f t="shared" si="28"/>
        <v>0</v>
      </c>
      <c r="O172" s="511" t="s">
        <v>1392</v>
      </c>
      <c r="P172" s="176">
        <v>2</v>
      </c>
      <c r="Q172" s="502" t="s">
        <v>1192</v>
      </c>
      <c r="R172" s="172"/>
      <c r="S172" s="172">
        <f t="shared" si="29"/>
        <v>0</v>
      </c>
      <c r="T172" s="172">
        <f t="shared" si="30"/>
        <v>0</v>
      </c>
      <c r="U172" s="172">
        <f t="shared" si="31"/>
        <v>-1000</v>
      </c>
      <c r="V172" s="173">
        <f t="shared" si="32"/>
        <v>0</v>
      </c>
      <c r="W172" s="173">
        <f t="shared" si="33"/>
        <v>0</v>
      </c>
      <c r="X172" s="173">
        <f t="shared" si="34"/>
        <v>0</v>
      </c>
    </row>
    <row r="173" spans="1:24" s="9" customFormat="1" ht="13.5" customHeight="1" x14ac:dyDescent="0.2">
      <c r="A173" s="64">
        <f t="shared" si="35"/>
        <v>169</v>
      </c>
      <c r="B173" s="77" t="s">
        <v>1397</v>
      </c>
      <c r="C173" s="163">
        <v>38973</v>
      </c>
      <c r="D173" s="175">
        <v>12000000</v>
      </c>
      <c r="E173" s="462"/>
      <c r="F173" s="67">
        <f t="shared" ref="F173:F236" si="37">+D173+E173</f>
        <v>12000000</v>
      </c>
      <c r="G173" s="67">
        <v>11999000</v>
      </c>
      <c r="H173" s="67">
        <f>+F173-G173</f>
        <v>1000</v>
      </c>
      <c r="I173" s="68">
        <v>5</v>
      </c>
      <c r="J173" s="68">
        <v>0.2</v>
      </c>
      <c r="K173" s="68">
        <v>0</v>
      </c>
      <c r="L173" s="110">
        <f>ROUND(IF(F173*J173*K173/12&gt;=H173,H173-1000,F173*J173*K173/12),0)</f>
        <v>0</v>
      </c>
      <c r="M173" s="67">
        <f>+G173+L173</f>
        <v>11999000</v>
      </c>
      <c r="N173" s="67">
        <f t="shared" si="28"/>
        <v>1000</v>
      </c>
      <c r="O173" s="111" t="s">
        <v>1372</v>
      </c>
      <c r="P173" s="111">
        <v>1</v>
      </c>
      <c r="Q173" s="464"/>
      <c r="R173" s="23"/>
      <c r="S173" s="23">
        <f t="shared" si="29"/>
        <v>600000</v>
      </c>
      <c r="T173" s="23">
        <f t="shared" si="30"/>
        <v>-599000</v>
      </c>
      <c r="U173" s="23">
        <f t="shared" si="31"/>
        <v>0</v>
      </c>
      <c r="V173" s="10">
        <f t="shared" si="32"/>
        <v>2400000</v>
      </c>
      <c r="W173" s="10">
        <f t="shared" si="33"/>
        <v>0</v>
      </c>
      <c r="X173" s="10">
        <f t="shared" si="34"/>
        <v>0</v>
      </c>
    </row>
    <row r="174" spans="1:24" s="9" customFormat="1" ht="13.5" customHeight="1" x14ac:dyDescent="0.2">
      <c r="A174" s="64">
        <f t="shared" si="35"/>
        <v>170</v>
      </c>
      <c r="B174" s="77" t="s">
        <v>1398</v>
      </c>
      <c r="C174" s="163">
        <v>39021</v>
      </c>
      <c r="D174" s="175">
        <v>3100000</v>
      </c>
      <c r="E174" s="462"/>
      <c r="F174" s="67">
        <f t="shared" si="37"/>
        <v>3100000</v>
      </c>
      <c r="G174" s="67">
        <v>3099000</v>
      </c>
      <c r="H174" s="67">
        <f>+F174-G174</f>
        <v>1000</v>
      </c>
      <c r="I174" s="68">
        <v>5</v>
      </c>
      <c r="J174" s="68">
        <v>0.2</v>
      </c>
      <c r="K174" s="68">
        <v>0</v>
      </c>
      <c r="L174" s="110">
        <f>ROUND(IF(F174*J174*K174/12&gt;=H174,H174-1000,F174*J174*K174/12),0)</f>
        <v>0</v>
      </c>
      <c r="M174" s="67">
        <f>+G174+L174</f>
        <v>3099000</v>
      </c>
      <c r="N174" s="67">
        <f t="shared" si="28"/>
        <v>1000</v>
      </c>
      <c r="O174" s="111" t="s">
        <v>1271</v>
      </c>
      <c r="P174" s="111">
        <v>1</v>
      </c>
      <c r="Q174" s="464"/>
      <c r="R174" s="23"/>
      <c r="S174" s="23">
        <f t="shared" si="29"/>
        <v>155000</v>
      </c>
      <c r="T174" s="23">
        <f t="shared" si="30"/>
        <v>-154000</v>
      </c>
      <c r="U174" s="23">
        <f t="shared" si="31"/>
        <v>0</v>
      </c>
      <c r="V174" s="10">
        <f t="shared" si="32"/>
        <v>620000</v>
      </c>
      <c r="W174" s="10">
        <f t="shared" si="33"/>
        <v>0</v>
      </c>
      <c r="X174" s="10">
        <f t="shared" si="34"/>
        <v>0</v>
      </c>
    </row>
    <row r="175" spans="1:24" s="190" customFormat="1" ht="13.5" customHeight="1" x14ac:dyDescent="0.2">
      <c r="A175" s="272">
        <f t="shared" si="35"/>
        <v>171</v>
      </c>
      <c r="B175" s="357" t="s">
        <v>1399</v>
      </c>
      <c r="C175" s="183">
        <v>39036</v>
      </c>
      <c r="D175" s="359">
        <v>735000</v>
      </c>
      <c r="E175" s="508"/>
      <c r="F175" s="184">
        <f t="shared" si="37"/>
        <v>735000</v>
      </c>
      <c r="G175" s="184">
        <v>734000</v>
      </c>
      <c r="H175" s="184">
        <f>+F175-G175</f>
        <v>1000</v>
      </c>
      <c r="I175" s="186">
        <v>5</v>
      </c>
      <c r="J175" s="186">
        <v>0.2</v>
      </c>
      <c r="K175" s="186">
        <v>0</v>
      </c>
      <c r="L175" s="185">
        <f>ROUND(IF(F175*J175*K175/12&gt;=H175,H175-1000,F175*J175*K175/12),0)</f>
        <v>0</v>
      </c>
      <c r="M175" s="184">
        <f>+G175+L175</f>
        <v>734000</v>
      </c>
      <c r="N175" s="184">
        <f t="shared" si="28"/>
        <v>1000</v>
      </c>
      <c r="O175" s="187" t="s">
        <v>1400</v>
      </c>
      <c r="P175" s="187">
        <v>1</v>
      </c>
      <c r="Q175" s="509"/>
      <c r="R175" s="189"/>
      <c r="S175" s="189">
        <f t="shared" si="29"/>
        <v>36750</v>
      </c>
      <c r="T175" s="189">
        <f t="shared" si="30"/>
        <v>-35750</v>
      </c>
      <c r="U175" s="189">
        <f t="shared" si="31"/>
        <v>0</v>
      </c>
      <c r="V175" s="279">
        <f t="shared" si="32"/>
        <v>147000</v>
      </c>
      <c r="W175" s="279">
        <f t="shared" si="33"/>
        <v>0</v>
      </c>
      <c r="X175" s="279">
        <f t="shared" si="34"/>
        <v>0</v>
      </c>
    </row>
    <row r="176" spans="1:24" s="174" customFormat="1" ht="13.5" customHeight="1" x14ac:dyDescent="0.2">
      <c r="A176" s="164">
        <f t="shared" si="35"/>
        <v>172</v>
      </c>
      <c r="B176" s="510" t="s">
        <v>1401</v>
      </c>
      <c r="C176" s="166">
        <v>39108</v>
      </c>
      <c r="D176" s="500">
        <v>0</v>
      </c>
      <c r="E176" s="501"/>
      <c r="F176" s="167">
        <f t="shared" si="37"/>
        <v>0</v>
      </c>
      <c r="G176" s="167"/>
      <c r="H176" s="167">
        <v>0</v>
      </c>
      <c r="I176" s="169">
        <v>5</v>
      </c>
      <c r="J176" s="169">
        <v>0.2</v>
      </c>
      <c r="K176" s="169">
        <v>0</v>
      </c>
      <c r="L176" s="168"/>
      <c r="M176" s="167"/>
      <c r="N176" s="167">
        <f t="shared" si="28"/>
        <v>0</v>
      </c>
      <c r="O176" s="176" t="s">
        <v>1402</v>
      </c>
      <c r="P176" s="176">
        <v>1</v>
      </c>
      <c r="Q176" s="502" t="s">
        <v>1192</v>
      </c>
      <c r="R176" s="172"/>
      <c r="S176" s="172">
        <f t="shared" si="29"/>
        <v>0</v>
      </c>
      <c r="T176" s="172">
        <f t="shared" si="30"/>
        <v>0</v>
      </c>
      <c r="U176" s="172">
        <f t="shared" si="31"/>
        <v>-1000</v>
      </c>
      <c r="V176" s="173">
        <f t="shared" si="32"/>
        <v>0</v>
      </c>
      <c r="W176" s="173">
        <f t="shared" si="33"/>
        <v>0</v>
      </c>
      <c r="X176" s="173">
        <f t="shared" si="34"/>
        <v>0</v>
      </c>
    </row>
    <row r="177" spans="1:24" s="9" customFormat="1" ht="13.5" customHeight="1" x14ac:dyDescent="0.2">
      <c r="A177" s="64">
        <f t="shared" si="35"/>
        <v>173</v>
      </c>
      <c r="B177" s="77" t="s">
        <v>1403</v>
      </c>
      <c r="C177" s="163">
        <v>39150</v>
      </c>
      <c r="D177" s="175">
        <v>1000000</v>
      </c>
      <c r="E177" s="462"/>
      <c r="F177" s="67">
        <f t="shared" si="37"/>
        <v>1000000</v>
      </c>
      <c r="G177" s="67">
        <v>999000</v>
      </c>
      <c r="H177" s="67">
        <f t="shared" ref="H177:H240" si="38">+F177-G177</f>
        <v>1000</v>
      </c>
      <c r="I177" s="68">
        <v>5</v>
      </c>
      <c r="J177" s="68">
        <v>0.2</v>
      </c>
      <c r="K177" s="68">
        <v>0</v>
      </c>
      <c r="L177" s="110">
        <f t="shared" ref="L177:L240" si="39">ROUND(IF(F177*J177*K177/12&gt;=H177,H177-1000,F177*J177*K177/12),0)</f>
        <v>0</v>
      </c>
      <c r="M177" s="67">
        <f t="shared" ref="M177:M240" si="40">+G177+L177</f>
        <v>999000</v>
      </c>
      <c r="N177" s="67">
        <f t="shared" si="28"/>
        <v>1000</v>
      </c>
      <c r="O177" s="111" t="s">
        <v>1404</v>
      </c>
      <c r="P177" s="111">
        <v>1</v>
      </c>
      <c r="Q177" s="464"/>
      <c r="R177" s="23"/>
      <c r="S177" s="23">
        <f t="shared" si="29"/>
        <v>50000</v>
      </c>
      <c r="T177" s="23">
        <f t="shared" si="30"/>
        <v>-49000</v>
      </c>
      <c r="U177" s="23">
        <f t="shared" si="31"/>
        <v>0</v>
      </c>
      <c r="V177" s="10">
        <f t="shared" si="32"/>
        <v>200000</v>
      </c>
      <c r="W177" s="10">
        <f t="shared" si="33"/>
        <v>0</v>
      </c>
      <c r="X177" s="10">
        <f t="shared" si="34"/>
        <v>0</v>
      </c>
    </row>
    <row r="178" spans="1:24" s="9" customFormat="1" ht="13.5" customHeight="1" x14ac:dyDescent="0.2">
      <c r="A178" s="64">
        <f t="shared" si="35"/>
        <v>174</v>
      </c>
      <c r="B178" s="77" t="s">
        <v>1405</v>
      </c>
      <c r="C178" s="163">
        <v>39150</v>
      </c>
      <c r="D178" s="175">
        <v>2800000</v>
      </c>
      <c r="E178" s="462"/>
      <c r="F178" s="67">
        <f t="shared" si="37"/>
        <v>2800000</v>
      </c>
      <c r="G178" s="67">
        <v>2799000</v>
      </c>
      <c r="H178" s="67">
        <f t="shared" si="38"/>
        <v>1000</v>
      </c>
      <c r="I178" s="68">
        <v>5</v>
      </c>
      <c r="J178" s="68">
        <v>0.2</v>
      </c>
      <c r="K178" s="68">
        <v>0</v>
      </c>
      <c r="L178" s="110">
        <f t="shared" si="39"/>
        <v>0</v>
      </c>
      <c r="M178" s="67">
        <f t="shared" si="40"/>
        <v>2799000</v>
      </c>
      <c r="N178" s="67">
        <f t="shared" si="28"/>
        <v>1000</v>
      </c>
      <c r="O178" s="111" t="s">
        <v>1406</v>
      </c>
      <c r="P178" s="111">
        <v>14</v>
      </c>
      <c r="Q178" s="464"/>
      <c r="R178" s="23"/>
      <c r="S178" s="23">
        <f t="shared" si="29"/>
        <v>140000</v>
      </c>
      <c r="T178" s="23">
        <f t="shared" si="30"/>
        <v>-139000</v>
      </c>
      <c r="U178" s="23">
        <f t="shared" si="31"/>
        <v>0</v>
      </c>
      <c r="V178" s="10">
        <f t="shared" si="32"/>
        <v>560000</v>
      </c>
      <c r="W178" s="10">
        <f t="shared" si="33"/>
        <v>0</v>
      </c>
      <c r="X178" s="10">
        <f t="shared" si="34"/>
        <v>0</v>
      </c>
    </row>
    <row r="179" spans="1:24" s="9" customFormat="1" ht="13.5" customHeight="1" x14ac:dyDescent="0.2">
      <c r="A179" s="64">
        <f t="shared" si="35"/>
        <v>175</v>
      </c>
      <c r="B179" s="77" t="s">
        <v>1407</v>
      </c>
      <c r="C179" s="163">
        <v>39166</v>
      </c>
      <c r="D179" s="175">
        <v>1500000</v>
      </c>
      <c r="E179" s="462"/>
      <c r="F179" s="67">
        <f t="shared" si="37"/>
        <v>1500000</v>
      </c>
      <c r="G179" s="67">
        <v>1499000</v>
      </c>
      <c r="H179" s="67">
        <f t="shared" si="38"/>
        <v>1000</v>
      </c>
      <c r="I179" s="68">
        <v>5</v>
      </c>
      <c r="J179" s="68">
        <v>0.2</v>
      </c>
      <c r="K179" s="68">
        <v>0</v>
      </c>
      <c r="L179" s="110">
        <f t="shared" si="39"/>
        <v>0</v>
      </c>
      <c r="M179" s="67">
        <f t="shared" si="40"/>
        <v>1499000</v>
      </c>
      <c r="N179" s="67">
        <f t="shared" si="28"/>
        <v>1000</v>
      </c>
      <c r="O179" s="111" t="s">
        <v>1408</v>
      </c>
      <c r="P179" s="111">
        <v>1</v>
      </c>
      <c r="Q179" s="464"/>
      <c r="R179" s="23"/>
      <c r="S179" s="23">
        <f t="shared" si="29"/>
        <v>75000</v>
      </c>
      <c r="T179" s="23">
        <f t="shared" si="30"/>
        <v>-74000</v>
      </c>
      <c r="U179" s="23">
        <f t="shared" si="31"/>
        <v>0</v>
      </c>
      <c r="V179" s="10">
        <f t="shared" si="32"/>
        <v>300000</v>
      </c>
      <c r="W179" s="10">
        <f t="shared" si="33"/>
        <v>0</v>
      </c>
      <c r="X179" s="10">
        <f t="shared" si="34"/>
        <v>0</v>
      </c>
    </row>
    <row r="180" spans="1:24" s="9" customFormat="1" ht="13.5" customHeight="1" x14ac:dyDescent="0.2">
      <c r="A180" s="64">
        <f t="shared" si="35"/>
        <v>176</v>
      </c>
      <c r="B180" s="77" t="s">
        <v>1409</v>
      </c>
      <c r="C180" s="163">
        <v>39166</v>
      </c>
      <c r="D180" s="175">
        <v>3800000</v>
      </c>
      <c r="E180" s="462"/>
      <c r="F180" s="67">
        <f t="shared" si="37"/>
        <v>3800000</v>
      </c>
      <c r="G180" s="67">
        <v>3799000</v>
      </c>
      <c r="H180" s="67">
        <f t="shared" si="38"/>
        <v>1000</v>
      </c>
      <c r="I180" s="68">
        <v>5</v>
      </c>
      <c r="J180" s="68">
        <v>0.2</v>
      </c>
      <c r="K180" s="68">
        <v>0</v>
      </c>
      <c r="L180" s="110">
        <f t="shared" si="39"/>
        <v>0</v>
      </c>
      <c r="M180" s="67">
        <f t="shared" si="40"/>
        <v>3799000</v>
      </c>
      <c r="N180" s="67">
        <f t="shared" si="28"/>
        <v>1000</v>
      </c>
      <c r="O180" s="111" t="s">
        <v>1410</v>
      </c>
      <c r="P180" s="111">
        <v>1</v>
      </c>
      <c r="Q180" s="464"/>
      <c r="R180" s="23"/>
      <c r="S180" s="23">
        <f t="shared" si="29"/>
        <v>190000</v>
      </c>
      <c r="T180" s="23">
        <f t="shared" si="30"/>
        <v>-189000</v>
      </c>
      <c r="U180" s="23">
        <f t="shared" si="31"/>
        <v>0</v>
      </c>
      <c r="V180" s="10">
        <f t="shared" si="32"/>
        <v>760000</v>
      </c>
      <c r="W180" s="10">
        <f t="shared" si="33"/>
        <v>0</v>
      </c>
      <c r="X180" s="10">
        <f t="shared" si="34"/>
        <v>0</v>
      </c>
    </row>
    <row r="181" spans="1:24" s="9" customFormat="1" ht="13.5" customHeight="1" x14ac:dyDescent="0.2">
      <c r="A181" s="64">
        <f t="shared" si="35"/>
        <v>177</v>
      </c>
      <c r="B181" s="77" t="s">
        <v>1411</v>
      </c>
      <c r="C181" s="163">
        <v>39189</v>
      </c>
      <c r="D181" s="175">
        <v>1084000</v>
      </c>
      <c r="E181" s="462"/>
      <c r="F181" s="67">
        <f t="shared" si="37"/>
        <v>1084000</v>
      </c>
      <c r="G181" s="67">
        <v>1083000</v>
      </c>
      <c r="H181" s="67">
        <f t="shared" si="38"/>
        <v>1000</v>
      </c>
      <c r="I181" s="68">
        <v>5</v>
      </c>
      <c r="J181" s="68">
        <v>0.2</v>
      </c>
      <c r="K181" s="68">
        <v>0</v>
      </c>
      <c r="L181" s="110">
        <f t="shared" si="39"/>
        <v>0</v>
      </c>
      <c r="M181" s="67">
        <f t="shared" si="40"/>
        <v>1083000</v>
      </c>
      <c r="N181" s="67">
        <f t="shared" si="28"/>
        <v>1000</v>
      </c>
      <c r="O181" s="111" t="s">
        <v>1406</v>
      </c>
      <c r="P181" s="111">
        <v>5</v>
      </c>
      <c r="Q181" s="464"/>
      <c r="R181" s="23"/>
      <c r="S181" s="23">
        <f t="shared" si="29"/>
        <v>54200</v>
      </c>
      <c r="T181" s="23">
        <f t="shared" si="30"/>
        <v>-53200</v>
      </c>
      <c r="U181" s="23">
        <f t="shared" si="31"/>
        <v>0</v>
      </c>
      <c r="V181" s="10">
        <f t="shared" si="32"/>
        <v>216800</v>
      </c>
      <c r="W181" s="10">
        <f t="shared" si="33"/>
        <v>0</v>
      </c>
      <c r="X181" s="10">
        <f t="shared" si="34"/>
        <v>0</v>
      </c>
    </row>
    <row r="182" spans="1:24" s="9" customFormat="1" ht="13.5" customHeight="1" x14ac:dyDescent="0.2">
      <c r="A182" s="64">
        <f t="shared" si="35"/>
        <v>178</v>
      </c>
      <c r="B182" s="77" t="s">
        <v>1412</v>
      </c>
      <c r="C182" s="163">
        <v>39202</v>
      </c>
      <c r="D182" s="175">
        <v>800000</v>
      </c>
      <c r="E182" s="462"/>
      <c r="F182" s="67">
        <f t="shared" si="37"/>
        <v>800000</v>
      </c>
      <c r="G182" s="67">
        <v>799000</v>
      </c>
      <c r="H182" s="67">
        <f t="shared" si="38"/>
        <v>1000</v>
      </c>
      <c r="I182" s="68">
        <v>5</v>
      </c>
      <c r="J182" s="68">
        <v>0.2</v>
      </c>
      <c r="K182" s="68">
        <v>0</v>
      </c>
      <c r="L182" s="110">
        <f t="shared" si="39"/>
        <v>0</v>
      </c>
      <c r="M182" s="67">
        <f t="shared" si="40"/>
        <v>799000</v>
      </c>
      <c r="N182" s="67">
        <f t="shared" si="28"/>
        <v>1000</v>
      </c>
      <c r="O182" s="111" t="s">
        <v>1413</v>
      </c>
      <c r="P182" s="111">
        <v>1</v>
      </c>
      <c r="Q182" s="464"/>
      <c r="R182" s="23"/>
      <c r="S182" s="23">
        <f t="shared" si="29"/>
        <v>40000</v>
      </c>
      <c r="T182" s="23">
        <f t="shared" si="30"/>
        <v>-39000</v>
      </c>
      <c r="U182" s="23">
        <f t="shared" si="31"/>
        <v>0</v>
      </c>
      <c r="V182" s="10">
        <f t="shared" si="32"/>
        <v>160000</v>
      </c>
      <c r="W182" s="10">
        <f t="shared" si="33"/>
        <v>0</v>
      </c>
      <c r="X182" s="10">
        <f t="shared" si="34"/>
        <v>0</v>
      </c>
    </row>
    <row r="183" spans="1:24" s="9" customFormat="1" ht="13.5" customHeight="1" x14ac:dyDescent="0.2">
      <c r="A183" s="64">
        <f t="shared" si="35"/>
        <v>179</v>
      </c>
      <c r="B183" s="77" t="s">
        <v>1414</v>
      </c>
      <c r="C183" s="163">
        <v>39210</v>
      </c>
      <c r="D183" s="175">
        <v>200000</v>
      </c>
      <c r="E183" s="462"/>
      <c r="F183" s="67">
        <f t="shared" si="37"/>
        <v>200000</v>
      </c>
      <c r="G183" s="67">
        <v>199000</v>
      </c>
      <c r="H183" s="67">
        <f t="shared" si="38"/>
        <v>1000</v>
      </c>
      <c r="I183" s="68">
        <v>5</v>
      </c>
      <c r="J183" s="68">
        <v>0.2</v>
      </c>
      <c r="K183" s="68">
        <v>0</v>
      </c>
      <c r="L183" s="110">
        <f t="shared" si="39"/>
        <v>0</v>
      </c>
      <c r="M183" s="67">
        <f t="shared" si="40"/>
        <v>199000</v>
      </c>
      <c r="N183" s="67">
        <f t="shared" si="28"/>
        <v>1000</v>
      </c>
      <c r="O183" s="111" t="s">
        <v>1406</v>
      </c>
      <c r="P183" s="111">
        <v>1</v>
      </c>
      <c r="Q183" s="464"/>
      <c r="R183" s="23"/>
      <c r="S183" s="23">
        <f t="shared" si="29"/>
        <v>10000</v>
      </c>
      <c r="T183" s="23">
        <f t="shared" si="30"/>
        <v>-9000</v>
      </c>
      <c r="U183" s="23">
        <f t="shared" si="31"/>
        <v>0</v>
      </c>
      <c r="V183" s="10">
        <f t="shared" si="32"/>
        <v>40000</v>
      </c>
      <c r="W183" s="10">
        <f t="shared" si="33"/>
        <v>0</v>
      </c>
      <c r="X183" s="10">
        <f t="shared" si="34"/>
        <v>0</v>
      </c>
    </row>
    <row r="184" spans="1:24" s="9" customFormat="1" ht="13.5" customHeight="1" x14ac:dyDescent="0.2">
      <c r="A184" s="64">
        <f t="shared" si="35"/>
        <v>180</v>
      </c>
      <c r="B184" s="77" t="s">
        <v>1415</v>
      </c>
      <c r="C184" s="163">
        <v>39260</v>
      </c>
      <c r="D184" s="175">
        <v>9000000</v>
      </c>
      <c r="E184" s="462"/>
      <c r="F184" s="67">
        <f t="shared" si="37"/>
        <v>9000000</v>
      </c>
      <c r="G184" s="67">
        <v>8999000</v>
      </c>
      <c r="H184" s="67">
        <f t="shared" si="38"/>
        <v>1000</v>
      </c>
      <c r="I184" s="68">
        <v>5</v>
      </c>
      <c r="J184" s="68">
        <v>0.2</v>
      </c>
      <c r="K184" s="68">
        <v>0</v>
      </c>
      <c r="L184" s="110">
        <f t="shared" si="39"/>
        <v>0</v>
      </c>
      <c r="M184" s="67">
        <f t="shared" si="40"/>
        <v>8999000</v>
      </c>
      <c r="N184" s="67">
        <f t="shared" si="28"/>
        <v>1000</v>
      </c>
      <c r="O184" s="111" t="s">
        <v>1290</v>
      </c>
      <c r="P184" s="111">
        <v>1</v>
      </c>
      <c r="Q184" s="464"/>
      <c r="R184" s="23"/>
      <c r="S184" s="23">
        <f t="shared" si="29"/>
        <v>450000</v>
      </c>
      <c r="T184" s="23">
        <f t="shared" si="30"/>
        <v>-449000</v>
      </c>
      <c r="U184" s="23">
        <f t="shared" si="31"/>
        <v>0</v>
      </c>
      <c r="V184" s="10">
        <f t="shared" si="32"/>
        <v>1800000</v>
      </c>
      <c r="W184" s="10">
        <f t="shared" si="33"/>
        <v>0</v>
      </c>
      <c r="X184" s="10">
        <f t="shared" si="34"/>
        <v>0</v>
      </c>
    </row>
    <row r="185" spans="1:24" s="9" customFormat="1" ht="13.5" customHeight="1" x14ac:dyDescent="0.2">
      <c r="A185" s="64">
        <f t="shared" si="35"/>
        <v>181</v>
      </c>
      <c r="B185" s="77" t="s">
        <v>1415</v>
      </c>
      <c r="C185" s="163">
        <v>39260</v>
      </c>
      <c r="D185" s="175">
        <v>24000000</v>
      </c>
      <c r="E185" s="462"/>
      <c r="F185" s="67">
        <f t="shared" si="37"/>
        <v>24000000</v>
      </c>
      <c r="G185" s="67">
        <v>23999000</v>
      </c>
      <c r="H185" s="67">
        <f t="shared" si="38"/>
        <v>1000</v>
      </c>
      <c r="I185" s="68">
        <v>5</v>
      </c>
      <c r="J185" s="68">
        <v>0.2</v>
      </c>
      <c r="K185" s="68">
        <v>0</v>
      </c>
      <c r="L185" s="110">
        <f t="shared" si="39"/>
        <v>0</v>
      </c>
      <c r="M185" s="67">
        <f t="shared" si="40"/>
        <v>23999000</v>
      </c>
      <c r="N185" s="67">
        <f t="shared" si="28"/>
        <v>1000</v>
      </c>
      <c r="O185" s="111" t="s">
        <v>1290</v>
      </c>
      <c r="P185" s="111">
        <v>1</v>
      </c>
      <c r="Q185" s="464"/>
      <c r="R185" s="23">
        <f>+N185*J185</f>
        <v>200</v>
      </c>
      <c r="S185" s="23">
        <f t="shared" si="29"/>
        <v>1200000</v>
      </c>
      <c r="T185" s="23">
        <f t="shared" si="30"/>
        <v>-1199000</v>
      </c>
      <c r="U185" s="23">
        <f t="shared" si="31"/>
        <v>0</v>
      </c>
      <c r="V185" s="10">
        <f t="shared" si="32"/>
        <v>4800000</v>
      </c>
      <c r="W185" s="10">
        <f t="shared" si="33"/>
        <v>0</v>
      </c>
      <c r="X185" s="10">
        <f t="shared" si="34"/>
        <v>0</v>
      </c>
    </row>
    <row r="186" spans="1:24" s="9" customFormat="1" ht="13.5" customHeight="1" x14ac:dyDescent="0.2">
      <c r="A186" s="64">
        <f t="shared" si="35"/>
        <v>182</v>
      </c>
      <c r="B186" s="382" t="s">
        <v>1416</v>
      </c>
      <c r="C186" s="208">
        <v>39287</v>
      </c>
      <c r="D186" s="383">
        <v>2380000</v>
      </c>
      <c r="E186" s="512"/>
      <c r="F186" s="91">
        <f t="shared" si="37"/>
        <v>2380000</v>
      </c>
      <c r="G186" s="91">
        <v>2379000</v>
      </c>
      <c r="H186" s="91">
        <f t="shared" si="38"/>
        <v>1000</v>
      </c>
      <c r="I186" s="68">
        <v>5</v>
      </c>
      <c r="J186" s="68">
        <v>0.2</v>
      </c>
      <c r="K186" s="68">
        <v>0</v>
      </c>
      <c r="L186" s="110">
        <f t="shared" si="39"/>
        <v>0</v>
      </c>
      <c r="M186" s="91">
        <f t="shared" si="40"/>
        <v>2379000</v>
      </c>
      <c r="N186" s="91">
        <f t="shared" si="28"/>
        <v>1000</v>
      </c>
      <c r="O186" s="122" t="s">
        <v>350</v>
      </c>
      <c r="P186" s="111">
        <v>1</v>
      </c>
      <c r="Q186" s="487"/>
      <c r="R186" s="23"/>
      <c r="S186" s="23">
        <f t="shared" si="29"/>
        <v>119000</v>
      </c>
      <c r="T186" s="23">
        <f t="shared" si="30"/>
        <v>-118000</v>
      </c>
      <c r="U186" s="23">
        <f t="shared" si="31"/>
        <v>0</v>
      </c>
      <c r="V186" s="10">
        <f t="shared" si="32"/>
        <v>476000</v>
      </c>
      <c r="W186" s="10">
        <f t="shared" si="33"/>
        <v>0</v>
      </c>
      <c r="X186" s="10">
        <f t="shared" si="34"/>
        <v>0</v>
      </c>
    </row>
    <row r="187" spans="1:24" s="9" customFormat="1" ht="13.5" customHeight="1" x14ac:dyDescent="0.2">
      <c r="A187" s="64">
        <f t="shared" si="35"/>
        <v>183</v>
      </c>
      <c r="B187" s="77" t="s">
        <v>1417</v>
      </c>
      <c r="C187" s="163">
        <v>39288</v>
      </c>
      <c r="D187" s="175">
        <v>15000000</v>
      </c>
      <c r="E187" s="462"/>
      <c r="F187" s="67">
        <f t="shared" si="37"/>
        <v>15000000</v>
      </c>
      <c r="G187" s="67">
        <v>14999000</v>
      </c>
      <c r="H187" s="67">
        <f t="shared" si="38"/>
        <v>1000</v>
      </c>
      <c r="I187" s="68">
        <v>5</v>
      </c>
      <c r="J187" s="68">
        <v>0.2</v>
      </c>
      <c r="K187" s="68">
        <v>0</v>
      </c>
      <c r="L187" s="110">
        <f t="shared" si="39"/>
        <v>0</v>
      </c>
      <c r="M187" s="67">
        <f t="shared" si="40"/>
        <v>14999000</v>
      </c>
      <c r="N187" s="67">
        <f t="shared" si="28"/>
        <v>1000</v>
      </c>
      <c r="O187" s="230" t="s">
        <v>1408</v>
      </c>
      <c r="P187" s="111">
        <v>1</v>
      </c>
      <c r="Q187" s="464"/>
      <c r="R187" s="23"/>
      <c r="S187" s="23">
        <f t="shared" si="29"/>
        <v>750000</v>
      </c>
      <c r="T187" s="23">
        <f t="shared" si="30"/>
        <v>-749000</v>
      </c>
      <c r="U187" s="23">
        <f t="shared" si="31"/>
        <v>0</v>
      </c>
      <c r="V187" s="10">
        <f t="shared" si="32"/>
        <v>3000000</v>
      </c>
      <c r="W187" s="10">
        <f t="shared" si="33"/>
        <v>0</v>
      </c>
      <c r="X187" s="10">
        <f t="shared" si="34"/>
        <v>0</v>
      </c>
    </row>
    <row r="188" spans="1:24" s="9" customFormat="1" ht="13.5" customHeight="1" x14ac:dyDescent="0.2">
      <c r="A188" s="64">
        <f t="shared" si="35"/>
        <v>184</v>
      </c>
      <c r="B188" s="77" t="s">
        <v>1418</v>
      </c>
      <c r="C188" s="163">
        <v>39288</v>
      </c>
      <c r="D188" s="175">
        <v>15000000</v>
      </c>
      <c r="E188" s="462"/>
      <c r="F188" s="67">
        <f t="shared" si="37"/>
        <v>15000000</v>
      </c>
      <c r="G188" s="67">
        <v>14999000</v>
      </c>
      <c r="H188" s="67">
        <f t="shared" si="38"/>
        <v>1000</v>
      </c>
      <c r="I188" s="68">
        <v>5</v>
      </c>
      <c r="J188" s="68">
        <v>0.2</v>
      </c>
      <c r="K188" s="68">
        <v>0</v>
      </c>
      <c r="L188" s="110">
        <f t="shared" si="39"/>
        <v>0</v>
      </c>
      <c r="M188" s="67">
        <f t="shared" si="40"/>
        <v>14999000</v>
      </c>
      <c r="N188" s="67">
        <f t="shared" si="28"/>
        <v>1000</v>
      </c>
      <c r="O188" s="230" t="s">
        <v>1408</v>
      </c>
      <c r="P188" s="111">
        <v>1</v>
      </c>
      <c r="Q188" s="464"/>
      <c r="R188" s="23"/>
      <c r="S188" s="23">
        <f t="shared" si="29"/>
        <v>750000</v>
      </c>
      <c r="T188" s="23">
        <f t="shared" si="30"/>
        <v>-749000</v>
      </c>
      <c r="U188" s="23">
        <f t="shared" si="31"/>
        <v>0</v>
      </c>
      <c r="V188" s="10">
        <f t="shared" si="32"/>
        <v>3000000</v>
      </c>
      <c r="W188" s="10">
        <f t="shared" si="33"/>
        <v>0</v>
      </c>
      <c r="X188" s="10">
        <f t="shared" si="34"/>
        <v>0</v>
      </c>
    </row>
    <row r="189" spans="1:24" s="9" customFormat="1" ht="13.5" customHeight="1" x14ac:dyDescent="0.2">
      <c r="A189" s="64">
        <f t="shared" si="35"/>
        <v>185</v>
      </c>
      <c r="B189" s="77" t="s">
        <v>1419</v>
      </c>
      <c r="C189" s="163">
        <v>39288</v>
      </c>
      <c r="D189" s="175">
        <v>13000000</v>
      </c>
      <c r="E189" s="462"/>
      <c r="F189" s="67">
        <f t="shared" si="37"/>
        <v>13000000</v>
      </c>
      <c r="G189" s="67">
        <v>12999000</v>
      </c>
      <c r="H189" s="67">
        <f t="shared" si="38"/>
        <v>1000</v>
      </c>
      <c r="I189" s="68">
        <v>5</v>
      </c>
      <c r="J189" s="68">
        <v>0.2</v>
      </c>
      <c r="K189" s="68">
        <v>0</v>
      </c>
      <c r="L189" s="110">
        <f t="shared" si="39"/>
        <v>0</v>
      </c>
      <c r="M189" s="67">
        <f t="shared" si="40"/>
        <v>12999000</v>
      </c>
      <c r="N189" s="67">
        <f t="shared" si="28"/>
        <v>1000</v>
      </c>
      <c r="O189" s="230" t="s">
        <v>1408</v>
      </c>
      <c r="P189" s="111">
        <v>1</v>
      </c>
      <c r="Q189" s="464"/>
      <c r="R189" s="23"/>
      <c r="S189" s="23">
        <f t="shared" si="29"/>
        <v>650000</v>
      </c>
      <c r="T189" s="23">
        <f t="shared" si="30"/>
        <v>-649000</v>
      </c>
      <c r="U189" s="23">
        <f t="shared" si="31"/>
        <v>0</v>
      </c>
      <c r="V189" s="10">
        <f t="shared" si="32"/>
        <v>2600000</v>
      </c>
      <c r="W189" s="10">
        <f t="shared" si="33"/>
        <v>0</v>
      </c>
      <c r="X189" s="10">
        <f t="shared" si="34"/>
        <v>0</v>
      </c>
    </row>
    <row r="190" spans="1:24" s="9" customFormat="1" ht="13.5" customHeight="1" x14ac:dyDescent="0.2">
      <c r="A190" s="64">
        <f t="shared" si="35"/>
        <v>186</v>
      </c>
      <c r="B190" s="77" t="s">
        <v>1420</v>
      </c>
      <c r="C190" s="163">
        <v>39288</v>
      </c>
      <c r="D190" s="175">
        <v>4800000</v>
      </c>
      <c r="E190" s="462"/>
      <c r="F190" s="67">
        <f t="shared" si="37"/>
        <v>4800000</v>
      </c>
      <c r="G190" s="67">
        <v>4799000</v>
      </c>
      <c r="H190" s="67">
        <f t="shared" si="38"/>
        <v>1000</v>
      </c>
      <c r="I190" s="68">
        <v>5</v>
      </c>
      <c r="J190" s="68">
        <v>0.2</v>
      </c>
      <c r="K190" s="68">
        <v>0</v>
      </c>
      <c r="L190" s="110">
        <f t="shared" si="39"/>
        <v>0</v>
      </c>
      <c r="M190" s="67">
        <f t="shared" si="40"/>
        <v>4799000</v>
      </c>
      <c r="N190" s="67">
        <f t="shared" si="28"/>
        <v>1000</v>
      </c>
      <c r="O190" s="230" t="s">
        <v>1408</v>
      </c>
      <c r="P190" s="111">
        <v>1</v>
      </c>
      <c r="Q190" s="464"/>
      <c r="R190" s="23"/>
      <c r="S190" s="23">
        <f t="shared" si="29"/>
        <v>240000</v>
      </c>
      <c r="T190" s="23">
        <f t="shared" si="30"/>
        <v>-239000</v>
      </c>
      <c r="U190" s="23">
        <f t="shared" si="31"/>
        <v>0</v>
      </c>
      <c r="V190" s="10">
        <f t="shared" si="32"/>
        <v>960000</v>
      </c>
      <c r="W190" s="10">
        <f t="shared" si="33"/>
        <v>0</v>
      </c>
      <c r="X190" s="10">
        <f t="shared" si="34"/>
        <v>0</v>
      </c>
    </row>
    <row r="191" spans="1:24" s="9" customFormat="1" ht="13.5" customHeight="1" x14ac:dyDescent="0.2">
      <c r="A191" s="64">
        <f t="shared" si="35"/>
        <v>187</v>
      </c>
      <c r="B191" s="77" t="s">
        <v>1421</v>
      </c>
      <c r="C191" s="163">
        <v>39288</v>
      </c>
      <c r="D191" s="175">
        <v>4800000</v>
      </c>
      <c r="E191" s="462"/>
      <c r="F191" s="67">
        <f t="shared" si="37"/>
        <v>4800000</v>
      </c>
      <c r="G191" s="67">
        <v>4799000</v>
      </c>
      <c r="H191" s="67">
        <f t="shared" si="38"/>
        <v>1000</v>
      </c>
      <c r="I191" s="68">
        <v>5</v>
      </c>
      <c r="J191" s="68">
        <v>0.2</v>
      </c>
      <c r="K191" s="68">
        <v>0</v>
      </c>
      <c r="L191" s="110">
        <f t="shared" si="39"/>
        <v>0</v>
      </c>
      <c r="M191" s="67">
        <f t="shared" si="40"/>
        <v>4799000</v>
      </c>
      <c r="N191" s="67">
        <f t="shared" si="28"/>
        <v>1000</v>
      </c>
      <c r="O191" s="230" t="s">
        <v>1422</v>
      </c>
      <c r="P191" s="111">
        <v>1</v>
      </c>
      <c r="Q191" s="464"/>
      <c r="R191" s="23"/>
      <c r="S191" s="23">
        <f t="shared" si="29"/>
        <v>240000</v>
      </c>
      <c r="T191" s="23">
        <f t="shared" si="30"/>
        <v>-239000</v>
      </c>
      <c r="U191" s="23">
        <f t="shared" si="31"/>
        <v>0</v>
      </c>
      <c r="V191" s="10">
        <f t="shared" si="32"/>
        <v>960000</v>
      </c>
      <c r="W191" s="10">
        <f t="shared" si="33"/>
        <v>0</v>
      </c>
      <c r="X191" s="10">
        <f t="shared" si="34"/>
        <v>0</v>
      </c>
    </row>
    <row r="192" spans="1:24" s="9" customFormat="1" ht="13.5" customHeight="1" x14ac:dyDescent="0.2">
      <c r="A192" s="64">
        <f t="shared" si="35"/>
        <v>188</v>
      </c>
      <c r="B192" s="77" t="s">
        <v>1423</v>
      </c>
      <c r="C192" s="163">
        <v>39288</v>
      </c>
      <c r="D192" s="175">
        <v>41000000</v>
      </c>
      <c r="E192" s="462"/>
      <c r="F192" s="67">
        <f t="shared" si="37"/>
        <v>41000000</v>
      </c>
      <c r="G192" s="67">
        <v>40999000</v>
      </c>
      <c r="H192" s="67">
        <f t="shared" si="38"/>
        <v>1000</v>
      </c>
      <c r="I192" s="68">
        <v>5</v>
      </c>
      <c r="J192" s="68">
        <v>0.2</v>
      </c>
      <c r="K192" s="68">
        <v>0</v>
      </c>
      <c r="L192" s="110">
        <f t="shared" si="39"/>
        <v>0</v>
      </c>
      <c r="M192" s="67">
        <f t="shared" si="40"/>
        <v>40999000</v>
      </c>
      <c r="N192" s="67">
        <f t="shared" si="28"/>
        <v>1000</v>
      </c>
      <c r="O192" s="230" t="s">
        <v>1322</v>
      </c>
      <c r="P192" s="111">
        <v>1</v>
      </c>
      <c r="Q192" s="464"/>
      <c r="R192" s="23"/>
      <c r="S192" s="23">
        <f t="shared" si="29"/>
        <v>2050000</v>
      </c>
      <c r="T192" s="23">
        <f t="shared" si="30"/>
        <v>-2049000</v>
      </c>
      <c r="U192" s="23">
        <f t="shared" si="31"/>
        <v>0</v>
      </c>
      <c r="V192" s="10">
        <f t="shared" si="32"/>
        <v>8200000</v>
      </c>
      <c r="W192" s="10">
        <f t="shared" si="33"/>
        <v>0</v>
      </c>
      <c r="X192" s="10">
        <f t="shared" si="34"/>
        <v>0</v>
      </c>
    </row>
    <row r="193" spans="1:24" s="9" customFormat="1" ht="13.5" customHeight="1" x14ac:dyDescent="0.2">
      <c r="A193" s="64">
        <f t="shared" si="35"/>
        <v>189</v>
      </c>
      <c r="B193" s="77" t="s">
        <v>1424</v>
      </c>
      <c r="C193" s="163">
        <v>39325</v>
      </c>
      <c r="D193" s="175">
        <v>3000000</v>
      </c>
      <c r="E193" s="462"/>
      <c r="F193" s="67">
        <f t="shared" si="37"/>
        <v>3000000</v>
      </c>
      <c r="G193" s="67">
        <v>2999000</v>
      </c>
      <c r="H193" s="67">
        <f t="shared" si="38"/>
        <v>1000</v>
      </c>
      <c r="I193" s="68">
        <v>5</v>
      </c>
      <c r="J193" s="68">
        <v>0.2</v>
      </c>
      <c r="K193" s="68">
        <v>0</v>
      </c>
      <c r="L193" s="110">
        <f t="shared" si="39"/>
        <v>0</v>
      </c>
      <c r="M193" s="67">
        <f t="shared" si="40"/>
        <v>2999000</v>
      </c>
      <c r="N193" s="67">
        <f t="shared" si="28"/>
        <v>1000</v>
      </c>
      <c r="O193" s="230" t="s">
        <v>1425</v>
      </c>
      <c r="P193" s="111">
        <v>1</v>
      </c>
      <c r="Q193" s="464"/>
      <c r="R193" s="23"/>
      <c r="S193" s="23">
        <f t="shared" si="29"/>
        <v>150000</v>
      </c>
      <c r="T193" s="23">
        <f t="shared" si="30"/>
        <v>-149000</v>
      </c>
      <c r="U193" s="23">
        <f t="shared" si="31"/>
        <v>0</v>
      </c>
      <c r="V193" s="10">
        <f t="shared" si="32"/>
        <v>600000</v>
      </c>
      <c r="W193" s="10">
        <f t="shared" si="33"/>
        <v>0</v>
      </c>
      <c r="X193" s="10">
        <f t="shared" si="34"/>
        <v>0</v>
      </c>
    </row>
    <row r="194" spans="1:24" s="9" customFormat="1" ht="13.5" customHeight="1" x14ac:dyDescent="0.2">
      <c r="A194" s="64">
        <f t="shared" si="35"/>
        <v>190</v>
      </c>
      <c r="B194" s="77" t="s">
        <v>1426</v>
      </c>
      <c r="C194" s="163">
        <v>39325</v>
      </c>
      <c r="D194" s="175">
        <v>1300000</v>
      </c>
      <c r="E194" s="462"/>
      <c r="F194" s="67">
        <f t="shared" si="37"/>
        <v>1300000</v>
      </c>
      <c r="G194" s="67">
        <v>1299000</v>
      </c>
      <c r="H194" s="67">
        <f t="shared" si="38"/>
        <v>1000</v>
      </c>
      <c r="I194" s="68">
        <v>5</v>
      </c>
      <c r="J194" s="68">
        <v>0.2</v>
      </c>
      <c r="K194" s="68">
        <v>0</v>
      </c>
      <c r="L194" s="110">
        <f t="shared" si="39"/>
        <v>0</v>
      </c>
      <c r="M194" s="67">
        <f t="shared" si="40"/>
        <v>1299000</v>
      </c>
      <c r="N194" s="67">
        <f t="shared" si="28"/>
        <v>1000</v>
      </c>
      <c r="O194" s="230" t="s">
        <v>1427</v>
      </c>
      <c r="P194" s="111">
        <v>1</v>
      </c>
      <c r="Q194" s="464"/>
      <c r="R194" s="23"/>
      <c r="S194" s="23">
        <f t="shared" si="29"/>
        <v>65000</v>
      </c>
      <c r="T194" s="23">
        <f t="shared" si="30"/>
        <v>-64000</v>
      </c>
      <c r="U194" s="23">
        <f t="shared" si="31"/>
        <v>0</v>
      </c>
      <c r="V194" s="10">
        <f t="shared" si="32"/>
        <v>260000</v>
      </c>
      <c r="W194" s="10">
        <f t="shared" si="33"/>
        <v>0</v>
      </c>
      <c r="X194" s="10">
        <f t="shared" si="34"/>
        <v>0</v>
      </c>
    </row>
    <row r="195" spans="1:24" s="9" customFormat="1" ht="13.5" customHeight="1" x14ac:dyDescent="0.2">
      <c r="A195" s="107">
        <f t="shared" si="35"/>
        <v>191</v>
      </c>
      <c r="B195" s="71" t="s">
        <v>1428</v>
      </c>
      <c r="C195" s="148">
        <v>39339</v>
      </c>
      <c r="D195" s="372">
        <v>1600000</v>
      </c>
      <c r="E195" s="484"/>
      <c r="F195" s="73">
        <f t="shared" si="37"/>
        <v>1600000</v>
      </c>
      <c r="G195" s="73">
        <v>1599000</v>
      </c>
      <c r="H195" s="73">
        <f t="shared" si="38"/>
        <v>1000</v>
      </c>
      <c r="I195" s="74">
        <v>5</v>
      </c>
      <c r="J195" s="74">
        <v>0.2</v>
      </c>
      <c r="K195" s="68">
        <v>0</v>
      </c>
      <c r="L195" s="110">
        <f t="shared" si="39"/>
        <v>0</v>
      </c>
      <c r="M195" s="73">
        <f t="shared" si="40"/>
        <v>1599000</v>
      </c>
      <c r="N195" s="73">
        <f t="shared" si="28"/>
        <v>1000</v>
      </c>
      <c r="O195" s="233" t="s">
        <v>1413</v>
      </c>
      <c r="P195" s="209">
        <v>1</v>
      </c>
      <c r="Q195" s="487"/>
      <c r="R195" s="23"/>
      <c r="S195" s="23">
        <f t="shared" si="29"/>
        <v>80000</v>
      </c>
      <c r="T195" s="23">
        <f t="shared" si="30"/>
        <v>-79000</v>
      </c>
      <c r="U195" s="23">
        <f t="shared" si="31"/>
        <v>0</v>
      </c>
      <c r="V195" s="10">
        <f t="shared" si="32"/>
        <v>320000</v>
      </c>
      <c r="W195" s="10">
        <f t="shared" si="33"/>
        <v>0</v>
      </c>
      <c r="X195" s="10">
        <f t="shared" si="34"/>
        <v>0</v>
      </c>
    </row>
    <row r="196" spans="1:24" s="9" customFormat="1" ht="13.5" customHeight="1" x14ac:dyDescent="0.2">
      <c r="A196" s="107">
        <f t="shared" si="35"/>
        <v>192</v>
      </c>
      <c r="B196" s="71" t="s">
        <v>1429</v>
      </c>
      <c r="C196" s="148">
        <v>39416</v>
      </c>
      <c r="D196" s="372">
        <v>15000000</v>
      </c>
      <c r="E196" s="484"/>
      <c r="F196" s="73">
        <f t="shared" si="37"/>
        <v>15000000</v>
      </c>
      <c r="G196" s="73">
        <v>14999000</v>
      </c>
      <c r="H196" s="73">
        <f t="shared" si="38"/>
        <v>1000</v>
      </c>
      <c r="I196" s="74">
        <v>5</v>
      </c>
      <c r="J196" s="74">
        <v>0.2</v>
      </c>
      <c r="K196" s="68">
        <v>0</v>
      </c>
      <c r="L196" s="110">
        <f t="shared" si="39"/>
        <v>0</v>
      </c>
      <c r="M196" s="73">
        <f t="shared" si="40"/>
        <v>14999000</v>
      </c>
      <c r="N196" s="73">
        <f t="shared" si="28"/>
        <v>1000</v>
      </c>
      <c r="O196" s="230" t="s">
        <v>1408</v>
      </c>
      <c r="P196" s="209">
        <v>1</v>
      </c>
      <c r="Q196" s="487"/>
      <c r="R196" s="23"/>
      <c r="S196" s="23">
        <f t="shared" si="29"/>
        <v>750000</v>
      </c>
      <c r="T196" s="23">
        <f t="shared" si="30"/>
        <v>-749000</v>
      </c>
      <c r="U196" s="23">
        <f t="shared" si="31"/>
        <v>0</v>
      </c>
      <c r="V196" s="10">
        <f t="shared" si="32"/>
        <v>3000000</v>
      </c>
      <c r="W196" s="10">
        <f t="shared" si="33"/>
        <v>0</v>
      </c>
      <c r="X196" s="10">
        <f t="shared" si="34"/>
        <v>0</v>
      </c>
    </row>
    <row r="197" spans="1:24" s="9" customFormat="1" ht="13.5" customHeight="1" x14ac:dyDescent="0.2">
      <c r="A197" s="107">
        <f t="shared" si="35"/>
        <v>193</v>
      </c>
      <c r="B197" s="71" t="s">
        <v>1430</v>
      </c>
      <c r="C197" s="148">
        <v>39416</v>
      </c>
      <c r="D197" s="372">
        <v>14000000</v>
      </c>
      <c r="E197" s="484"/>
      <c r="F197" s="73">
        <f t="shared" si="37"/>
        <v>14000000</v>
      </c>
      <c r="G197" s="73">
        <v>13999000</v>
      </c>
      <c r="H197" s="73">
        <f t="shared" si="38"/>
        <v>1000</v>
      </c>
      <c r="I197" s="74">
        <v>5</v>
      </c>
      <c r="J197" s="74">
        <v>0.2</v>
      </c>
      <c r="K197" s="68">
        <v>0</v>
      </c>
      <c r="L197" s="110">
        <f t="shared" si="39"/>
        <v>0</v>
      </c>
      <c r="M197" s="73">
        <f t="shared" si="40"/>
        <v>13999000</v>
      </c>
      <c r="N197" s="73">
        <f t="shared" ref="N197:N260" si="41">+F197-M197</f>
        <v>1000</v>
      </c>
      <c r="O197" s="230" t="s">
        <v>1408</v>
      </c>
      <c r="P197" s="209">
        <v>1</v>
      </c>
      <c r="Q197" s="487"/>
      <c r="R197" s="23"/>
      <c r="S197" s="23">
        <f t="shared" ref="S197:S260" si="42">D197*0.05</f>
        <v>700000</v>
      </c>
      <c r="T197" s="23">
        <f t="shared" ref="T197:T260" si="43">N197-S197</f>
        <v>-699000</v>
      </c>
      <c r="U197" s="23">
        <f t="shared" ref="U197:U260" si="44">N197-1000</f>
        <v>0</v>
      </c>
      <c r="V197" s="10">
        <f t="shared" ref="V197:V260" si="45">F197/I197</f>
        <v>2800000</v>
      </c>
      <c r="W197" s="10">
        <f t="shared" ref="W197:W203" si="46">ROUND(IF(H197&lt;=1000,0,V197/12*3),0)</f>
        <v>0</v>
      </c>
      <c r="X197" s="10">
        <f t="shared" ref="X197:X260" si="47">L197-W197</f>
        <v>0</v>
      </c>
    </row>
    <row r="198" spans="1:24" s="9" customFormat="1" ht="13.5" customHeight="1" x14ac:dyDescent="0.2">
      <c r="A198" s="107">
        <f t="shared" ref="A198:A261" si="48">+A197+1</f>
        <v>194</v>
      </c>
      <c r="B198" s="71" t="s">
        <v>1431</v>
      </c>
      <c r="C198" s="148">
        <v>39416</v>
      </c>
      <c r="D198" s="372">
        <v>11000000</v>
      </c>
      <c r="E198" s="484"/>
      <c r="F198" s="73">
        <f t="shared" si="37"/>
        <v>11000000</v>
      </c>
      <c r="G198" s="73">
        <v>10999000</v>
      </c>
      <c r="H198" s="73">
        <f t="shared" si="38"/>
        <v>1000</v>
      </c>
      <c r="I198" s="74">
        <v>5</v>
      </c>
      <c r="J198" s="74">
        <v>0.2</v>
      </c>
      <c r="K198" s="68">
        <v>0</v>
      </c>
      <c r="L198" s="110">
        <f t="shared" si="39"/>
        <v>0</v>
      </c>
      <c r="M198" s="73">
        <f t="shared" si="40"/>
        <v>10999000</v>
      </c>
      <c r="N198" s="73">
        <f t="shared" si="41"/>
        <v>1000</v>
      </c>
      <c r="O198" s="230" t="s">
        <v>1408</v>
      </c>
      <c r="P198" s="209">
        <v>1</v>
      </c>
      <c r="Q198" s="487"/>
      <c r="R198" s="23"/>
      <c r="S198" s="23">
        <f t="shared" si="42"/>
        <v>550000</v>
      </c>
      <c r="T198" s="23">
        <f t="shared" si="43"/>
        <v>-549000</v>
      </c>
      <c r="U198" s="23">
        <f t="shared" si="44"/>
        <v>0</v>
      </c>
      <c r="V198" s="10">
        <f t="shared" si="45"/>
        <v>2200000</v>
      </c>
      <c r="W198" s="10">
        <f t="shared" si="46"/>
        <v>0</v>
      </c>
      <c r="X198" s="10">
        <f t="shared" si="47"/>
        <v>0</v>
      </c>
    </row>
    <row r="199" spans="1:24" s="9" customFormat="1" ht="13.5" customHeight="1" x14ac:dyDescent="0.2">
      <c r="A199" s="107">
        <f t="shared" si="48"/>
        <v>195</v>
      </c>
      <c r="B199" s="71" t="s">
        <v>1432</v>
      </c>
      <c r="C199" s="148">
        <v>39416</v>
      </c>
      <c r="D199" s="372">
        <v>10000000</v>
      </c>
      <c r="E199" s="484"/>
      <c r="F199" s="73">
        <f t="shared" si="37"/>
        <v>10000000</v>
      </c>
      <c r="G199" s="73">
        <v>9999000</v>
      </c>
      <c r="H199" s="73">
        <f t="shared" si="38"/>
        <v>1000</v>
      </c>
      <c r="I199" s="74">
        <v>5</v>
      </c>
      <c r="J199" s="74">
        <v>0.2</v>
      </c>
      <c r="K199" s="68">
        <v>0</v>
      </c>
      <c r="L199" s="110">
        <f t="shared" si="39"/>
        <v>0</v>
      </c>
      <c r="M199" s="73">
        <f t="shared" si="40"/>
        <v>9999000</v>
      </c>
      <c r="N199" s="73">
        <f t="shared" si="41"/>
        <v>1000</v>
      </c>
      <c r="O199" s="230" t="s">
        <v>1408</v>
      </c>
      <c r="P199" s="209">
        <v>1</v>
      </c>
      <c r="Q199" s="487"/>
      <c r="R199" s="23"/>
      <c r="S199" s="23">
        <f t="shared" si="42"/>
        <v>500000</v>
      </c>
      <c r="T199" s="23">
        <f t="shared" si="43"/>
        <v>-499000</v>
      </c>
      <c r="U199" s="23">
        <f t="shared" si="44"/>
        <v>0</v>
      </c>
      <c r="V199" s="10">
        <f t="shared" si="45"/>
        <v>2000000</v>
      </c>
      <c r="W199" s="10">
        <f t="shared" si="46"/>
        <v>0</v>
      </c>
      <c r="X199" s="10">
        <f t="shared" si="47"/>
        <v>0</v>
      </c>
    </row>
    <row r="200" spans="1:24" s="9" customFormat="1" ht="13.5" customHeight="1" x14ac:dyDescent="0.2">
      <c r="A200" s="107">
        <f t="shared" si="48"/>
        <v>196</v>
      </c>
      <c r="B200" s="71" t="s">
        <v>1433</v>
      </c>
      <c r="C200" s="148">
        <v>39416</v>
      </c>
      <c r="D200" s="372">
        <v>9000000</v>
      </c>
      <c r="E200" s="484"/>
      <c r="F200" s="73">
        <f t="shared" si="37"/>
        <v>9000000</v>
      </c>
      <c r="G200" s="73">
        <v>8999000</v>
      </c>
      <c r="H200" s="73">
        <f t="shared" si="38"/>
        <v>1000</v>
      </c>
      <c r="I200" s="74">
        <v>5</v>
      </c>
      <c r="J200" s="74">
        <v>0.2</v>
      </c>
      <c r="K200" s="68">
        <v>0</v>
      </c>
      <c r="L200" s="110">
        <f t="shared" si="39"/>
        <v>0</v>
      </c>
      <c r="M200" s="73">
        <f t="shared" si="40"/>
        <v>8999000</v>
      </c>
      <c r="N200" s="73">
        <f t="shared" si="41"/>
        <v>1000</v>
      </c>
      <c r="O200" s="230" t="s">
        <v>1408</v>
      </c>
      <c r="P200" s="209">
        <v>1</v>
      </c>
      <c r="Q200" s="487"/>
      <c r="R200" s="23"/>
      <c r="S200" s="23">
        <f t="shared" si="42"/>
        <v>450000</v>
      </c>
      <c r="T200" s="23">
        <f t="shared" si="43"/>
        <v>-449000</v>
      </c>
      <c r="U200" s="23">
        <f t="shared" si="44"/>
        <v>0</v>
      </c>
      <c r="V200" s="10">
        <f t="shared" si="45"/>
        <v>1800000</v>
      </c>
      <c r="W200" s="10">
        <f t="shared" si="46"/>
        <v>0</v>
      </c>
      <c r="X200" s="10">
        <f t="shared" si="47"/>
        <v>0</v>
      </c>
    </row>
    <row r="201" spans="1:24" s="9" customFormat="1" ht="13.5" customHeight="1" x14ac:dyDescent="0.2">
      <c r="A201" s="107">
        <f t="shared" si="48"/>
        <v>197</v>
      </c>
      <c r="B201" s="71" t="s">
        <v>1434</v>
      </c>
      <c r="C201" s="148">
        <v>39416</v>
      </c>
      <c r="D201" s="372">
        <v>1150000</v>
      </c>
      <c r="E201" s="484"/>
      <c r="F201" s="73">
        <f t="shared" si="37"/>
        <v>1150000</v>
      </c>
      <c r="G201" s="73">
        <v>1149000</v>
      </c>
      <c r="H201" s="73">
        <f t="shared" si="38"/>
        <v>1000</v>
      </c>
      <c r="I201" s="74">
        <v>5</v>
      </c>
      <c r="J201" s="74">
        <v>0.2</v>
      </c>
      <c r="K201" s="68">
        <v>0</v>
      </c>
      <c r="L201" s="110">
        <f t="shared" si="39"/>
        <v>0</v>
      </c>
      <c r="M201" s="73">
        <f t="shared" si="40"/>
        <v>1149000</v>
      </c>
      <c r="N201" s="73">
        <f t="shared" si="41"/>
        <v>1000</v>
      </c>
      <c r="O201" s="209" t="s">
        <v>1435</v>
      </c>
      <c r="P201" s="209">
        <v>1</v>
      </c>
      <c r="Q201" s="487"/>
      <c r="R201" s="23"/>
      <c r="S201" s="23">
        <f t="shared" si="42"/>
        <v>57500</v>
      </c>
      <c r="T201" s="23">
        <f t="shared" si="43"/>
        <v>-56500</v>
      </c>
      <c r="U201" s="23">
        <f t="shared" si="44"/>
        <v>0</v>
      </c>
      <c r="V201" s="10">
        <f t="shared" si="45"/>
        <v>230000</v>
      </c>
      <c r="W201" s="10">
        <f t="shared" si="46"/>
        <v>0</v>
      </c>
      <c r="X201" s="10">
        <f t="shared" si="47"/>
        <v>0</v>
      </c>
    </row>
    <row r="202" spans="1:24" s="9" customFormat="1" ht="13.5" customHeight="1" x14ac:dyDescent="0.2">
      <c r="A202" s="107">
        <f t="shared" si="48"/>
        <v>198</v>
      </c>
      <c r="B202" s="77" t="s">
        <v>1436</v>
      </c>
      <c r="C202" s="163">
        <v>39440</v>
      </c>
      <c r="D202" s="175">
        <v>100000000</v>
      </c>
      <c r="E202" s="462"/>
      <c r="F202" s="67">
        <f t="shared" si="37"/>
        <v>100000000</v>
      </c>
      <c r="G202" s="67">
        <v>99999000</v>
      </c>
      <c r="H202" s="67">
        <f t="shared" si="38"/>
        <v>1000</v>
      </c>
      <c r="I202" s="74">
        <v>5</v>
      </c>
      <c r="J202" s="74">
        <v>0.2</v>
      </c>
      <c r="K202" s="68">
        <v>0</v>
      </c>
      <c r="L202" s="110">
        <f t="shared" si="39"/>
        <v>0</v>
      </c>
      <c r="M202" s="67">
        <f t="shared" si="40"/>
        <v>99999000</v>
      </c>
      <c r="N202" s="67">
        <f t="shared" si="41"/>
        <v>1000</v>
      </c>
      <c r="O202" s="111" t="s">
        <v>1290</v>
      </c>
      <c r="P202" s="209">
        <v>1</v>
      </c>
      <c r="Q202" s="464"/>
      <c r="R202" s="23"/>
      <c r="S202" s="23">
        <f t="shared" si="42"/>
        <v>5000000</v>
      </c>
      <c r="T202" s="23">
        <f t="shared" si="43"/>
        <v>-4999000</v>
      </c>
      <c r="U202" s="23">
        <f t="shared" si="44"/>
        <v>0</v>
      </c>
      <c r="V202" s="10">
        <f t="shared" si="45"/>
        <v>20000000</v>
      </c>
      <c r="W202" s="10">
        <f t="shared" si="46"/>
        <v>0</v>
      </c>
      <c r="X202" s="10">
        <f t="shared" si="47"/>
        <v>0</v>
      </c>
    </row>
    <row r="203" spans="1:24" s="9" customFormat="1" ht="13.5" customHeight="1" x14ac:dyDescent="0.2">
      <c r="A203" s="107">
        <f t="shared" si="48"/>
        <v>199</v>
      </c>
      <c r="B203" s="71" t="s">
        <v>1437</v>
      </c>
      <c r="C203" s="148">
        <v>39478</v>
      </c>
      <c r="D203" s="372">
        <v>1500000</v>
      </c>
      <c r="E203" s="484"/>
      <c r="F203" s="67">
        <f t="shared" si="37"/>
        <v>1500000</v>
      </c>
      <c r="G203" s="73">
        <v>1499000</v>
      </c>
      <c r="H203" s="67">
        <f t="shared" si="38"/>
        <v>1000</v>
      </c>
      <c r="I203" s="74">
        <v>5</v>
      </c>
      <c r="J203" s="74">
        <v>0.2</v>
      </c>
      <c r="K203" s="68">
        <v>0</v>
      </c>
      <c r="L203" s="110">
        <f t="shared" si="39"/>
        <v>0</v>
      </c>
      <c r="M203" s="67">
        <f t="shared" si="40"/>
        <v>1499000</v>
      </c>
      <c r="N203" s="67">
        <f t="shared" si="41"/>
        <v>1000</v>
      </c>
      <c r="O203" s="209" t="s">
        <v>1438</v>
      </c>
      <c r="P203" s="209">
        <v>1</v>
      </c>
      <c r="Q203" s="487"/>
      <c r="R203" s="23"/>
      <c r="S203" s="23">
        <f t="shared" si="42"/>
        <v>75000</v>
      </c>
      <c r="T203" s="23">
        <f t="shared" si="43"/>
        <v>-74000</v>
      </c>
      <c r="U203" s="23">
        <f t="shared" si="44"/>
        <v>0</v>
      </c>
      <c r="V203" s="10">
        <f t="shared" si="45"/>
        <v>300000</v>
      </c>
      <c r="W203" s="10">
        <f t="shared" si="46"/>
        <v>0</v>
      </c>
      <c r="X203" s="10">
        <f t="shared" si="47"/>
        <v>0</v>
      </c>
    </row>
    <row r="204" spans="1:24" s="9" customFormat="1" ht="13.5" customHeight="1" x14ac:dyDescent="0.2">
      <c r="A204" s="107">
        <f t="shared" si="48"/>
        <v>200</v>
      </c>
      <c r="B204" s="71" t="s">
        <v>1439</v>
      </c>
      <c r="C204" s="148">
        <v>39538</v>
      </c>
      <c r="D204" s="372">
        <v>13000000</v>
      </c>
      <c r="E204" s="484"/>
      <c r="F204" s="67">
        <f t="shared" si="37"/>
        <v>13000000</v>
      </c>
      <c r="G204" s="73">
        <v>12999000</v>
      </c>
      <c r="H204" s="67">
        <f t="shared" si="38"/>
        <v>1000</v>
      </c>
      <c r="I204" s="74">
        <v>5</v>
      </c>
      <c r="J204" s="74">
        <v>0.2</v>
      </c>
      <c r="K204" s="68">
        <v>0</v>
      </c>
      <c r="L204" s="110">
        <f t="shared" si="39"/>
        <v>0</v>
      </c>
      <c r="M204" s="67">
        <f t="shared" si="40"/>
        <v>12999000</v>
      </c>
      <c r="N204" s="67">
        <f t="shared" si="41"/>
        <v>1000</v>
      </c>
      <c r="O204" s="209" t="s">
        <v>1440</v>
      </c>
      <c r="P204" s="209">
        <v>1</v>
      </c>
      <c r="Q204" s="487"/>
      <c r="R204" s="23"/>
      <c r="S204" s="23">
        <f t="shared" si="42"/>
        <v>650000</v>
      </c>
      <c r="T204" s="23">
        <f t="shared" si="43"/>
        <v>-649000</v>
      </c>
      <c r="U204" s="23">
        <f t="shared" si="44"/>
        <v>0</v>
      </c>
      <c r="V204" s="10">
        <f t="shared" si="45"/>
        <v>2600000</v>
      </c>
      <c r="W204" s="10">
        <f>ROUND(IF(H204&lt;=1000,0,V204/12*2),0)</f>
        <v>0</v>
      </c>
      <c r="X204" s="10">
        <f t="shared" si="47"/>
        <v>0</v>
      </c>
    </row>
    <row r="205" spans="1:24" s="9" customFormat="1" ht="13.5" customHeight="1" x14ac:dyDescent="0.2">
      <c r="A205" s="107">
        <f t="shared" si="48"/>
        <v>201</v>
      </c>
      <c r="B205" s="71" t="s">
        <v>1441</v>
      </c>
      <c r="C205" s="148">
        <v>39538</v>
      </c>
      <c r="D205" s="372">
        <v>14000000</v>
      </c>
      <c r="E205" s="484"/>
      <c r="F205" s="73">
        <f t="shared" si="37"/>
        <v>14000000</v>
      </c>
      <c r="G205" s="73">
        <v>13999000</v>
      </c>
      <c r="H205" s="73">
        <f t="shared" si="38"/>
        <v>1000</v>
      </c>
      <c r="I205" s="74">
        <v>5</v>
      </c>
      <c r="J205" s="74">
        <v>0.2</v>
      </c>
      <c r="K205" s="68">
        <v>0</v>
      </c>
      <c r="L205" s="110">
        <f t="shared" si="39"/>
        <v>0</v>
      </c>
      <c r="M205" s="73">
        <f t="shared" si="40"/>
        <v>13999000</v>
      </c>
      <c r="N205" s="73">
        <f t="shared" si="41"/>
        <v>1000</v>
      </c>
      <c r="O205" s="209" t="s">
        <v>1440</v>
      </c>
      <c r="P205" s="209">
        <v>1</v>
      </c>
      <c r="Q205" s="487"/>
      <c r="R205" s="23"/>
      <c r="S205" s="23">
        <f t="shared" si="42"/>
        <v>700000</v>
      </c>
      <c r="T205" s="23">
        <f t="shared" si="43"/>
        <v>-699000</v>
      </c>
      <c r="U205" s="23">
        <f t="shared" si="44"/>
        <v>0</v>
      </c>
      <c r="V205" s="10">
        <f t="shared" si="45"/>
        <v>2800000</v>
      </c>
      <c r="W205" s="10">
        <f>ROUND(IF(H205&lt;=1000,0,V205/12*2),0)</f>
        <v>0</v>
      </c>
      <c r="X205" s="10">
        <f t="shared" si="47"/>
        <v>0</v>
      </c>
    </row>
    <row r="206" spans="1:24" s="9" customFormat="1" ht="13.5" customHeight="1" x14ac:dyDescent="0.2">
      <c r="A206" s="107">
        <f t="shared" si="48"/>
        <v>202</v>
      </c>
      <c r="B206" s="71" t="s">
        <v>1442</v>
      </c>
      <c r="C206" s="148">
        <v>39545</v>
      </c>
      <c r="D206" s="372">
        <v>850000</v>
      </c>
      <c r="E206" s="484"/>
      <c r="F206" s="73">
        <f t="shared" si="37"/>
        <v>850000</v>
      </c>
      <c r="G206" s="73">
        <v>849000</v>
      </c>
      <c r="H206" s="73">
        <f t="shared" si="38"/>
        <v>1000</v>
      </c>
      <c r="I206" s="74">
        <v>5</v>
      </c>
      <c r="J206" s="74">
        <v>0.2</v>
      </c>
      <c r="K206" s="68">
        <v>0</v>
      </c>
      <c r="L206" s="110">
        <f t="shared" si="39"/>
        <v>0</v>
      </c>
      <c r="M206" s="73">
        <f t="shared" si="40"/>
        <v>849000</v>
      </c>
      <c r="N206" s="73">
        <f t="shared" si="41"/>
        <v>1000</v>
      </c>
      <c r="O206" s="209" t="s">
        <v>1443</v>
      </c>
      <c r="P206" s="209">
        <v>1</v>
      </c>
      <c r="Q206" s="487"/>
      <c r="R206" s="23"/>
      <c r="S206" s="23">
        <f t="shared" si="42"/>
        <v>42500</v>
      </c>
      <c r="T206" s="23">
        <f t="shared" si="43"/>
        <v>-41500</v>
      </c>
      <c r="U206" s="23">
        <f t="shared" si="44"/>
        <v>0</v>
      </c>
      <c r="V206" s="10">
        <f t="shared" si="45"/>
        <v>170000</v>
      </c>
      <c r="W206" s="10">
        <f t="shared" ref="W206:W269" si="49">ROUND(IF(H206&lt;=1000,0,V206/12*3),0)</f>
        <v>0</v>
      </c>
      <c r="X206" s="10">
        <f t="shared" si="47"/>
        <v>0</v>
      </c>
    </row>
    <row r="207" spans="1:24" s="9" customFormat="1" ht="13.5" customHeight="1" x14ac:dyDescent="0.2">
      <c r="A207" s="107">
        <f t="shared" si="48"/>
        <v>203</v>
      </c>
      <c r="B207" s="71" t="s">
        <v>1444</v>
      </c>
      <c r="C207" s="148">
        <v>39549</v>
      </c>
      <c r="D207" s="372">
        <v>2400000</v>
      </c>
      <c r="E207" s="484"/>
      <c r="F207" s="73">
        <f t="shared" si="37"/>
        <v>2400000</v>
      </c>
      <c r="G207" s="73">
        <v>2399000</v>
      </c>
      <c r="H207" s="73">
        <f t="shared" si="38"/>
        <v>1000</v>
      </c>
      <c r="I207" s="74">
        <v>5</v>
      </c>
      <c r="J207" s="74">
        <v>0.2</v>
      </c>
      <c r="K207" s="68">
        <v>0</v>
      </c>
      <c r="L207" s="110">
        <f t="shared" si="39"/>
        <v>0</v>
      </c>
      <c r="M207" s="73">
        <f t="shared" si="40"/>
        <v>2399000</v>
      </c>
      <c r="N207" s="73">
        <f t="shared" si="41"/>
        <v>1000</v>
      </c>
      <c r="O207" s="209" t="s">
        <v>379</v>
      </c>
      <c r="P207" s="209">
        <v>1</v>
      </c>
      <c r="Q207" s="487"/>
      <c r="R207" s="23"/>
      <c r="S207" s="23">
        <f t="shared" si="42"/>
        <v>120000</v>
      </c>
      <c r="T207" s="23">
        <f t="shared" si="43"/>
        <v>-119000</v>
      </c>
      <c r="U207" s="23">
        <f t="shared" si="44"/>
        <v>0</v>
      </c>
      <c r="V207" s="10">
        <f t="shared" si="45"/>
        <v>480000</v>
      </c>
      <c r="W207" s="10">
        <f t="shared" si="49"/>
        <v>0</v>
      </c>
      <c r="X207" s="10">
        <f t="shared" si="47"/>
        <v>0</v>
      </c>
    </row>
    <row r="208" spans="1:24" s="9" customFormat="1" ht="13.5" customHeight="1" x14ac:dyDescent="0.2">
      <c r="A208" s="107">
        <f t="shared" si="48"/>
        <v>204</v>
      </c>
      <c r="B208" s="71" t="s">
        <v>1445</v>
      </c>
      <c r="C208" s="148">
        <v>39560</v>
      </c>
      <c r="D208" s="372">
        <v>8500000</v>
      </c>
      <c r="E208" s="484"/>
      <c r="F208" s="73">
        <f t="shared" si="37"/>
        <v>8500000</v>
      </c>
      <c r="G208" s="73">
        <v>8499000</v>
      </c>
      <c r="H208" s="73">
        <f t="shared" si="38"/>
        <v>1000</v>
      </c>
      <c r="I208" s="74">
        <v>5</v>
      </c>
      <c r="J208" s="74">
        <v>0.2</v>
      </c>
      <c r="K208" s="68">
        <v>0</v>
      </c>
      <c r="L208" s="110">
        <f t="shared" si="39"/>
        <v>0</v>
      </c>
      <c r="M208" s="73">
        <f t="shared" si="40"/>
        <v>8499000</v>
      </c>
      <c r="N208" s="73">
        <f t="shared" si="41"/>
        <v>1000</v>
      </c>
      <c r="O208" s="209" t="s">
        <v>1446</v>
      </c>
      <c r="P208" s="209">
        <v>1</v>
      </c>
      <c r="Q208" s="487"/>
      <c r="R208" s="23"/>
      <c r="S208" s="23">
        <f t="shared" si="42"/>
        <v>425000</v>
      </c>
      <c r="T208" s="23">
        <f t="shared" si="43"/>
        <v>-424000</v>
      </c>
      <c r="U208" s="23">
        <f t="shared" si="44"/>
        <v>0</v>
      </c>
      <c r="V208" s="10">
        <f t="shared" si="45"/>
        <v>1700000</v>
      </c>
      <c r="W208" s="10">
        <f t="shared" si="49"/>
        <v>0</v>
      </c>
      <c r="X208" s="10">
        <f t="shared" si="47"/>
        <v>0</v>
      </c>
    </row>
    <row r="209" spans="1:25" s="9" customFormat="1" ht="13.5" customHeight="1" x14ac:dyDescent="0.2">
      <c r="A209" s="107">
        <f t="shared" si="48"/>
        <v>205</v>
      </c>
      <c r="B209" s="71" t="s">
        <v>1447</v>
      </c>
      <c r="C209" s="148">
        <v>39568</v>
      </c>
      <c r="D209" s="372">
        <v>600000</v>
      </c>
      <c r="E209" s="484"/>
      <c r="F209" s="73">
        <f t="shared" si="37"/>
        <v>600000</v>
      </c>
      <c r="G209" s="73">
        <v>599000</v>
      </c>
      <c r="H209" s="73">
        <f t="shared" si="38"/>
        <v>1000</v>
      </c>
      <c r="I209" s="74">
        <v>5</v>
      </c>
      <c r="J209" s="74">
        <v>0.2</v>
      </c>
      <c r="K209" s="68">
        <v>0</v>
      </c>
      <c r="L209" s="110">
        <f t="shared" si="39"/>
        <v>0</v>
      </c>
      <c r="M209" s="73">
        <f t="shared" si="40"/>
        <v>599000</v>
      </c>
      <c r="N209" s="73">
        <f t="shared" si="41"/>
        <v>1000</v>
      </c>
      <c r="O209" s="209" t="s">
        <v>1379</v>
      </c>
      <c r="P209" s="209">
        <v>1</v>
      </c>
      <c r="Q209" s="487"/>
      <c r="R209" s="23"/>
      <c r="S209" s="23">
        <f t="shared" si="42"/>
        <v>30000</v>
      </c>
      <c r="T209" s="23">
        <f t="shared" si="43"/>
        <v>-29000</v>
      </c>
      <c r="U209" s="23">
        <f t="shared" si="44"/>
        <v>0</v>
      </c>
      <c r="V209" s="10">
        <f t="shared" si="45"/>
        <v>120000</v>
      </c>
      <c r="W209" s="10">
        <f t="shared" si="49"/>
        <v>0</v>
      </c>
      <c r="X209" s="10">
        <f t="shared" si="47"/>
        <v>0</v>
      </c>
    </row>
    <row r="210" spans="1:25" s="9" customFormat="1" ht="13.5" customHeight="1" x14ac:dyDescent="0.2">
      <c r="A210" s="107">
        <f t="shared" si="48"/>
        <v>206</v>
      </c>
      <c r="B210" s="71" t="s">
        <v>1448</v>
      </c>
      <c r="C210" s="148">
        <v>39617</v>
      </c>
      <c r="D210" s="372">
        <v>3300000</v>
      </c>
      <c r="E210" s="484"/>
      <c r="F210" s="73">
        <f t="shared" si="37"/>
        <v>3300000</v>
      </c>
      <c r="G210" s="73">
        <v>3299000</v>
      </c>
      <c r="H210" s="73">
        <f t="shared" si="38"/>
        <v>1000</v>
      </c>
      <c r="I210" s="74">
        <v>5</v>
      </c>
      <c r="J210" s="74">
        <v>0.2</v>
      </c>
      <c r="K210" s="68">
        <v>0</v>
      </c>
      <c r="L210" s="110">
        <f t="shared" si="39"/>
        <v>0</v>
      </c>
      <c r="M210" s="73">
        <f t="shared" si="40"/>
        <v>3299000</v>
      </c>
      <c r="N210" s="73">
        <f t="shared" si="41"/>
        <v>1000</v>
      </c>
      <c r="O210" s="209" t="s">
        <v>1449</v>
      </c>
      <c r="P210" s="209">
        <v>1</v>
      </c>
      <c r="Q210" s="487"/>
      <c r="R210" s="23"/>
      <c r="S210" s="23">
        <f t="shared" si="42"/>
        <v>165000</v>
      </c>
      <c r="T210" s="23">
        <f t="shared" si="43"/>
        <v>-164000</v>
      </c>
      <c r="U210" s="23">
        <f t="shared" si="44"/>
        <v>0</v>
      </c>
      <c r="V210" s="10">
        <f t="shared" si="45"/>
        <v>660000</v>
      </c>
      <c r="W210" s="10">
        <f t="shared" si="49"/>
        <v>0</v>
      </c>
      <c r="X210" s="10">
        <f t="shared" si="47"/>
        <v>0</v>
      </c>
    </row>
    <row r="211" spans="1:25" s="9" customFormat="1" ht="13.5" customHeight="1" x14ac:dyDescent="0.2">
      <c r="A211" s="107">
        <f t="shared" si="48"/>
        <v>207</v>
      </c>
      <c r="B211" s="71" t="s">
        <v>1450</v>
      </c>
      <c r="C211" s="148">
        <v>39624</v>
      </c>
      <c r="D211" s="372">
        <v>12320000</v>
      </c>
      <c r="E211" s="484"/>
      <c r="F211" s="73">
        <f t="shared" si="37"/>
        <v>12320000</v>
      </c>
      <c r="G211" s="73">
        <v>12319000</v>
      </c>
      <c r="H211" s="73">
        <f t="shared" si="38"/>
        <v>1000</v>
      </c>
      <c r="I211" s="74">
        <v>5</v>
      </c>
      <c r="J211" s="74">
        <v>0.2</v>
      </c>
      <c r="K211" s="68">
        <v>0</v>
      </c>
      <c r="L211" s="110">
        <f t="shared" si="39"/>
        <v>0</v>
      </c>
      <c r="M211" s="73">
        <f t="shared" si="40"/>
        <v>12319000</v>
      </c>
      <c r="N211" s="73">
        <f t="shared" si="41"/>
        <v>1000</v>
      </c>
      <c r="O211" s="209" t="s">
        <v>1290</v>
      </c>
      <c r="P211" s="209">
        <v>1</v>
      </c>
      <c r="Q211" s="487"/>
      <c r="R211" s="23"/>
      <c r="S211" s="23">
        <f t="shared" si="42"/>
        <v>616000</v>
      </c>
      <c r="T211" s="23">
        <f t="shared" si="43"/>
        <v>-615000</v>
      </c>
      <c r="U211" s="23">
        <f t="shared" si="44"/>
        <v>0</v>
      </c>
      <c r="V211" s="10">
        <f t="shared" si="45"/>
        <v>2464000</v>
      </c>
      <c r="W211" s="10">
        <f t="shared" si="49"/>
        <v>0</v>
      </c>
      <c r="X211" s="10">
        <f t="shared" si="47"/>
        <v>0</v>
      </c>
    </row>
    <row r="212" spans="1:25" s="9" customFormat="1" ht="13.5" customHeight="1" x14ac:dyDescent="0.2">
      <c r="A212" s="107">
        <f t="shared" si="48"/>
        <v>208</v>
      </c>
      <c r="B212" s="77" t="s">
        <v>1451</v>
      </c>
      <c r="C212" s="163">
        <v>39629</v>
      </c>
      <c r="D212" s="175">
        <v>2600000</v>
      </c>
      <c r="E212" s="462"/>
      <c r="F212" s="67">
        <f t="shared" si="37"/>
        <v>2600000</v>
      </c>
      <c r="G212" s="67">
        <v>2599000</v>
      </c>
      <c r="H212" s="67">
        <f t="shared" si="38"/>
        <v>1000</v>
      </c>
      <c r="I212" s="74">
        <v>5</v>
      </c>
      <c r="J212" s="74">
        <v>0.2</v>
      </c>
      <c r="K212" s="68">
        <v>0</v>
      </c>
      <c r="L212" s="110">
        <f t="shared" si="39"/>
        <v>0</v>
      </c>
      <c r="M212" s="67">
        <f t="shared" si="40"/>
        <v>2599000</v>
      </c>
      <c r="N212" s="67">
        <f t="shared" si="41"/>
        <v>1000</v>
      </c>
      <c r="O212" s="111" t="s">
        <v>1413</v>
      </c>
      <c r="P212" s="111">
        <v>1</v>
      </c>
      <c r="Q212" s="464"/>
      <c r="R212" s="23"/>
      <c r="S212" s="23">
        <f t="shared" si="42"/>
        <v>130000</v>
      </c>
      <c r="T212" s="23">
        <f t="shared" si="43"/>
        <v>-129000</v>
      </c>
      <c r="U212" s="23">
        <f t="shared" si="44"/>
        <v>0</v>
      </c>
      <c r="V212" s="10">
        <f t="shared" si="45"/>
        <v>520000</v>
      </c>
      <c r="W212" s="10">
        <f t="shared" si="49"/>
        <v>0</v>
      </c>
      <c r="X212" s="10">
        <f t="shared" si="47"/>
        <v>0</v>
      </c>
    </row>
    <row r="213" spans="1:25" s="9" customFormat="1" ht="13.5" customHeight="1" x14ac:dyDescent="0.2">
      <c r="A213" s="107">
        <f t="shared" si="48"/>
        <v>209</v>
      </c>
      <c r="B213" s="71" t="s">
        <v>1452</v>
      </c>
      <c r="C213" s="148">
        <v>39629</v>
      </c>
      <c r="D213" s="372">
        <v>5000000</v>
      </c>
      <c r="E213" s="484"/>
      <c r="F213" s="73">
        <f t="shared" si="37"/>
        <v>5000000</v>
      </c>
      <c r="G213" s="73">
        <v>4999000</v>
      </c>
      <c r="H213" s="73">
        <f t="shared" si="38"/>
        <v>1000</v>
      </c>
      <c r="I213" s="74">
        <v>5</v>
      </c>
      <c r="J213" s="74">
        <v>0.2</v>
      </c>
      <c r="K213" s="68">
        <v>0</v>
      </c>
      <c r="L213" s="110">
        <f t="shared" si="39"/>
        <v>0</v>
      </c>
      <c r="M213" s="73">
        <f t="shared" si="40"/>
        <v>4999000</v>
      </c>
      <c r="N213" s="73">
        <f t="shared" si="41"/>
        <v>1000</v>
      </c>
      <c r="O213" s="209" t="s">
        <v>1453</v>
      </c>
      <c r="P213" s="209">
        <v>1</v>
      </c>
      <c r="Q213" s="487"/>
      <c r="R213" s="23"/>
      <c r="S213" s="23">
        <f t="shared" si="42"/>
        <v>250000</v>
      </c>
      <c r="T213" s="23">
        <f t="shared" si="43"/>
        <v>-249000</v>
      </c>
      <c r="U213" s="23">
        <f t="shared" si="44"/>
        <v>0</v>
      </c>
      <c r="V213" s="10">
        <f t="shared" si="45"/>
        <v>1000000</v>
      </c>
      <c r="W213" s="10">
        <f t="shared" si="49"/>
        <v>0</v>
      </c>
      <c r="X213" s="10">
        <f t="shared" si="47"/>
        <v>0</v>
      </c>
    </row>
    <row r="214" spans="1:25" s="9" customFormat="1" ht="13.5" customHeight="1" x14ac:dyDescent="0.2">
      <c r="A214" s="107">
        <f t="shared" si="48"/>
        <v>210</v>
      </c>
      <c r="B214" s="71" t="s">
        <v>1454</v>
      </c>
      <c r="C214" s="148">
        <v>39693</v>
      </c>
      <c r="D214" s="372">
        <v>4000000</v>
      </c>
      <c r="E214" s="484"/>
      <c r="F214" s="73">
        <f t="shared" si="37"/>
        <v>4000000</v>
      </c>
      <c r="G214" s="73">
        <v>3999000</v>
      </c>
      <c r="H214" s="73">
        <f t="shared" si="38"/>
        <v>1000</v>
      </c>
      <c r="I214" s="74">
        <v>5</v>
      </c>
      <c r="J214" s="74">
        <v>0.2</v>
      </c>
      <c r="K214" s="68">
        <v>0</v>
      </c>
      <c r="L214" s="110">
        <f t="shared" si="39"/>
        <v>0</v>
      </c>
      <c r="M214" s="73">
        <f t="shared" si="40"/>
        <v>3999000</v>
      </c>
      <c r="N214" s="73">
        <f t="shared" si="41"/>
        <v>1000</v>
      </c>
      <c r="O214" s="209" t="s">
        <v>1455</v>
      </c>
      <c r="P214" s="209">
        <v>4</v>
      </c>
      <c r="Q214" s="487"/>
      <c r="R214" s="23"/>
      <c r="S214" s="23">
        <f t="shared" si="42"/>
        <v>200000</v>
      </c>
      <c r="T214" s="23">
        <f t="shared" si="43"/>
        <v>-199000</v>
      </c>
      <c r="U214" s="23">
        <f t="shared" si="44"/>
        <v>0</v>
      </c>
      <c r="V214" s="10">
        <f t="shared" si="45"/>
        <v>800000</v>
      </c>
      <c r="W214" s="10">
        <f t="shared" si="49"/>
        <v>0</v>
      </c>
      <c r="X214" s="10">
        <f t="shared" si="47"/>
        <v>0</v>
      </c>
    </row>
    <row r="215" spans="1:25" s="9" customFormat="1" ht="13.5" customHeight="1" x14ac:dyDescent="0.2">
      <c r="A215" s="107">
        <f t="shared" si="48"/>
        <v>211</v>
      </c>
      <c r="B215" s="77" t="s">
        <v>1456</v>
      </c>
      <c r="C215" s="163">
        <v>39716</v>
      </c>
      <c r="D215" s="175">
        <v>3000000</v>
      </c>
      <c r="E215" s="462"/>
      <c r="F215" s="67">
        <f t="shared" si="37"/>
        <v>3000000</v>
      </c>
      <c r="G215" s="67">
        <v>2999000</v>
      </c>
      <c r="H215" s="67">
        <f t="shared" si="38"/>
        <v>1000</v>
      </c>
      <c r="I215" s="74">
        <v>5</v>
      </c>
      <c r="J215" s="74">
        <v>0.2</v>
      </c>
      <c r="K215" s="68">
        <v>0</v>
      </c>
      <c r="L215" s="110">
        <f t="shared" si="39"/>
        <v>0</v>
      </c>
      <c r="M215" s="67">
        <f t="shared" si="40"/>
        <v>2999000</v>
      </c>
      <c r="N215" s="67">
        <f t="shared" si="41"/>
        <v>1000</v>
      </c>
      <c r="O215" s="111" t="s">
        <v>221</v>
      </c>
      <c r="P215" s="111">
        <v>2</v>
      </c>
      <c r="Q215" s="464"/>
      <c r="R215" s="23"/>
      <c r="S215" s="23">
        <f t="shared" si="42"/>
        <v>150000</v>
      </c>
      <c r="T215" s="23">
        <f t="shared" si="43"/>
        <v>-149000</v>
      </c>
      <c r="U215" s="23">
        <f t="shared" si="44"/>
        <v>0</v>
      </c>
      <c r="V215" s="10">
        <f t="shared" si="45"/>
        <v>600000</v>
      </c>
      <c r="W215" s="10">
        <f t="shared" si="49"/>
        <v>0</v>
      </c>
      <c r="X215" s="10">
        <f t="shared" si="47"/>
        <v>0</v>
      </c>
    </row>
    <row r="216" spans="1:25" s="9" customFormat="1" ht="13.5" customHeight="1" x14ac:dyDescent="0.2">
      <c r="A216" s="107">
        <f t="shared" si="48"/>
        <v>212</v>
      </c>
      <c r="B216" s="513" t="s">
        <v>1457</v>
      </c>
      <c r="C216" s="148">
        <v>39818</v>
      </c>
      <c r="D216" s="372">
        <v>7000000</v>
      </c>
      <c r="E216" s="484"/>
      <c r="F216" s="67">
        <f t="shared" si="37"/>
        <v>7000000</v>
      </c>
      <c r="G216" s="73">
        <v>6999000</v>
      </c>
      <c r="H216" s="67">
        <f t="shared" si="38"/>
        <v>1000</v>
      </c>
      <c r="I216" s="74">
        <v>5</v>
      </c>
      <c r="J216" s="74">
        <v>0.2</v>
      </c>
      <c r="K216" s="68">
        <v>0</v>
      </c>
      <c r="L216" s="110">
        <f t="shared" si="39"/>
        <v>0</v>
      </c>
      <c r="M216" s="67">
        <f t="shared" si="40"/>
        <v>6999000</v>
      </c>
      <c r="N216" s="67">
        <f t="shared" si="41"/>
        <v>1000</v>
      </c>
      <c r="O216" s="209" t="s">
        <v>1290</v>
      </c>
      <c r="P216" s="209">
        <v>1</v>
      </c>
      <c r="Q216" s="487"/>
      <c r="R216" s="23"/>
      <c r="S216" s="23">
        <f t="shared" si="42"/>
        <v>350000</v>
      </c>
      <c r="T216" s="23">
        <f t="shared" si="43"/>
        <v>-349000</v>
      </c>
      <c r="U216" s="23">
        <f t="shared" si="44"/>
        <v>0</v>
      </c>
      <c r="V216" s="10">
        <f t="shared" si="45"/>
        <v>1400000</v>
      </c>
      <c r="W216" s="10">
        <f t="shared" si="49"/>
        <v>0</v>
      </c>
      <c r="X216" s="10">
        <f t="shared" si="47"/>
        <v>0</v>
      </c>
    </row>
    <row r="217" spans="1:25" s="9" customFormat="1" ht="13.5" customHeight="1" x14ac:dyDescent="0.2">
      <c r="A217" s="107">
        <f t="shared" si="48"/>
        <v>213</v>
      </c>
      <c r="B217" s="71" t="s">
        <v>1458</v>
      </c>
      <c r="C217" s="148">
        <v>39844</v>
      </c>
      <c r="D217" s="372">
        <v>7500000</v>
      </c>
      <c r="E217" s="484"/>
      <c r="F217" s="67">
        <f t="shared" si="37"/>
        <v>7500000</v>
      </c>
      <c r="G217" s="73">
        <v>7499000</v>
      </c>
      <c r="H217" s="67">
        <f t="shared" si="38"/>
        <v>1000</v>
      </c>
      <c r="I217" s="74">
        <v>5</v>
      </c>
      <c r="J217" s="74">
        <v>0.2</v>
      </c>
      <c r="K217" s="68">
        <v>0</v>
      </c>
      <c r="L217" s="110">
        <f t="shared" si="39"/>
        <v>0</v>
      </c>
      <c r="M217" s="67">
        <f t="shared" si="40"/>
        <v>7499000</v>
      </c>
      <c r="N217" s="67">
        <f t="shared" si="41"/>
        <v>1000</v>
      </c>
      <c r="O217" s="209" t="s">
        <v>1215</v>
      </c>
      <c r="P217" s="209">
        <v>1</v>
      </c>
      <c r="Q217" s="487"/>
      <c r="R217" s="23"/>
      <c r="S217" s="23">
        <f t="shared" si="42"/>
        <v>375000</v>
      </c>
      <c r="T217" s="23">
        <f t="shared" si="43"/>
        <v>-374000</v>
      </c>
      <c r="U217" s="23">
        <f t="shared" si="44"/>
        <v>0</v>
      </c>
      <c r="V217" s="10">
        <f t="shared" si="45"/>
        <v>1500000</v>
      </c>
      <c r="W217" s="10">
        <f t="shared" si="49"/>
        <v>0</v>
      </c>
      <c r="X217" s="10">
        <f t="shared" si="47"/>
        <v>0</v>
      </c>
    </row>
    <row r="218" spans="1:25" s="9" customFormat="1" ht="13.5" customHeight="1" x14ac:dyDescent="0.2">
      <c r="A218" s="107">
        <f t="shared" si="48"/>
        <v>214</v>
      </c>
      <c r="B218" s="71" t="s">
        <v>1458</v>
      </c>
      <c r="C218" s="148">
        <v>39872</v>
      </c>
      <c r="D218" s="372">
        <v>7800000</v>
      </c>
      <c r="E218" s="484"/>
      <c r="F218" s="67">
        <f t="shared" si="37"/>
        <v>7800000</v>
      </c>
      <c r="G218" s="73">
        <v>7799000</v>
      </c>
      <c r="H218" s="67">
        <f t="shared" si="38"/>
        <v>1000</v>
      </c>
      <c r="I218" s="74">
        <v>5</v>
      </c>
      <c r="J218" s="74">
        <v>0.2</v>
      </c>
      <c r="K218" s="68">
        <v>0</v>
      </c>
      <c r="L218" s="110">
        <f t="shared" si="39"/>
        <v>0</v>
      </c>
      <c r="M218" s="67">
        <f t="shared" si="40"/>
        <v>7799000</v>
      </c>
      <c r="N218" s="67">
        <f t="shared" si="41"/>
        <v>1000</v>
      </c>
      <c r="O218" s="209" t="s">
        <v>1215</v>
      </c>
      <c r="P218" s="209">
        <v>1</v>
      </c>
      <c r="Q218" s="487"/>
      <c r="R218" s="23"/>
      <c r="S218" s="23">
        <f t="shared" si="42"/>
        <v>390000</v>
      </c>
      <c r="T218" s="23">
        <f t="shared" si="43"/>
        <v>-389000</v>
      </c>
      <c r="U218" s="23">
        <f t="shared" si="44"/>
        <v>0</v>
      </c>
      <c r="V218" s="10">
        <f t="shared" si="45"/>
        <v>1560000</v>
      </c>
      <c r="W218" s="10">
        <f t="shared" si="49"/>
        <v>0</v>
      </c>
      <c r="X218" s="10">
        <f t="shared" si="47"/>
        <v>0</v>
      </c>
      <c r="Y218" s="9" t="b">
        <f t="shared" ref="Y218:Y281" si="50">W218=L218</f>
        <v>1</v>
      </c>
    </row>
    <row r="219" spans="1:25" s="9" customFormat="1" ht="13.5" customHeight="1" x14ac:dyDescent="0.2">
      <c r="A219" s="107">
        <f t="shared" si="48"/>
        <v>215</v>
      </c>
      <c r="B219" s="71" t="s">
        <v>1459</v>
      </c>
      <c r="C219" s="148">
        <v>39895</v>
      </c>
      <c r="D219" s="372">
        <v>1900000</v>
      </c>
      <c r="E219" s="484"/>
      <c r="F219" s="67">
        <f t="shared" si="37"/>
        <v>1900000</v>
      </c>
      <c r="G219" s="73">
        <v>1899000</v>
      </c>
      <c r="H219" s="67">
        <f t="shared" si="38"/>
        <v>1000</v>
      </c>
      <c r="I219" s="74">
        <v>5</v>
      </c>
      <c r="J219" s="74">
        <v>0.2</v>
      </c>
      <c r="K219" s="68">
        <v>0</v>
      </c>
      <c r="L219" s="110">
        <f t="shared" si="39"/>
        <v>0</v>
      </c>
      <c r="M219" s="67">
        <f t="shared" si="40"/>
        <v>1899000</v>
      </c>
      <c r="N219" s="67">
        <f t="shared" si="41"/>
        <v>1000</v>
      </c>
      <c r="O219" s="209" t="s">
        <v>1460</v>
      </c>
      <c r="P219" s="209">
        <v>1</v>
      </c>
      <c r="Q219" s="487"/>
      <c r="R219" s="23"/>
      <c r="S219" s="23">
        <f t="shared" si="42"/>
        <v>95000</v>
      </c>
      <c r="T219" s="23">
        <f t="shared" si="43"/>
        <v>-94000</v>
      </c>
      <c r="U219" s="23">
        <f t="shared" si="44"/>
        <v>0</v>
      </c>
      <c r="V219" s="10">
        <f t="shared" si="45"/>
        <v>380000</v>
      </c>
      <c r="W219" s="10">
        <f t="shared" si="49"/>
        <v>0</v>
      </c>
      <c r="X219" s="10">
        <f t="shared" si="47"/>
        <v>0</v>
      </c>
      <c r="Y219" s="9" t="b">
        <f t="shared" si="50"/>
        <v>1</v>
      </c>
    </row>
    <row r="220" spans="1:25" s="9" customFormat="1" ht="13.5" customHeight="1" x14ac:dyDescent="0.2">
      <c r="A220" s="107">
        <f t="shared" si="48"/>
        <v>216</v>
      </c>
      <c r="B220" s="71" t="s">
        <v>1461</v>
      </c>
      <c r="C220" s="148">
        <v>39897</v>
      </c>
      <c r="D220" s="372">
        <v>1520000</v>
      </c>
      <c r="E220" s="484"/>
      <c r="F220" s="67">
        <f t="shared" si="37"/>
        <v>1520000</v>
      </c>
      <c r="G220" s="73">
        <v>1519000</v>
      </c>
      <c r="H220" s="67">
        <f t="shared" si="38"/>
        <v>1000</v>
      </c>
      <c r="I220" s="74">
        <v>5</v>
      </c>
      <c r="J220" s="74">
        <v>0.2</v>
      </c>
      <c r="K220" s="68">
        <v>0</v>
      </c>
      <c r="L220" s="110">
        <f t="shared" si="39"/>
        <v>0</v>
      </c>
      <c r="M220" s="67">
        <f t="shared" si="40"/>
        <v>1519000</v>
      </c>
      <c r="N220" s="67">
        <f t="shared" si="41"/>
        <v>1000</v>
      </c>
      <c r="O220" s="209" t="s">
        <v>396</v>
      </c>
      <c r="P220" s="209">
        <v>1</v>
      </c>
      <c r="Q220" s="487"/>
      <c r="R220" s="23"/>
      <c r="S220" s="23">
        <f t="shared" si="42"/>
        <v>76000</v>
      </c>
      <c r="T220" s="23">
        <f t="shared" si="43"/>
        <v>-75000</v>
      </c>
      <c r="U220" s="23">
        <f t="shared" si="44"/>
        <v>0</v>
      </c>
      <c r="V220" s="10">
        <f t="shared" si="45"/>
        <v>304000</v>
      </c>
      <c r="W220" s="10">
        <f t="shared" si="49"/>
        <v>0</v>
      </c>
      <c r="X220" s="10">
        <f t="shared" si="47"/>
        <v>0</v>
      </c>
      <c r="Y220" s="9" t="b">
        <f t="shared" si="50"/>
        <v>1</v>
      </c>
    </row>
    <row r="221" spans="1:25" s="9" customFormat="1" ht="13.5" customHeight="1" x14ac:dyDescent="0.2">
      <c r="A221" s="107">
        <f t="shared" si="48"/>
        <v>217</v>
      </c>
      <c r="B221" s="71" t="s">
        <v>1462</v>
      </c>
      <c r="C221" s="148">
        <v>39897</v>
      </c>
      <c r="D221" s="372">
        <v>1150000</v>
      </c>
      <c r="E221" s="484"/>
      <c r="F221" s="73">
        <f t="shared" si="37"/>
        <v>1150000</v>
      </c>
      <c r="G221" s="73">
        <v>1149000</v>
      </c>
      <c r="H221" s="73">
        <f t="shared" si="38"/>
        <v>1000</v>
      </c>
      <c r="I221" s="74">
        <v>5</v>
      </c>
      <c r="J221" s="74">
        <v>0.2</v>
      </c>
      <c r="K221" s="68">
        <v>0</v>
      </c>
      <c r="L221" s="110">
        <f t="shared" si="39"/>
        <v>0</v>
      </c>
      <c r="M221" s="73">
        <f t="shared" si="40"/>
        <v>1149000</v>
      </c>
      <c r="N221" s="73">
        <f t="shared" si="41"/>
        <v>1000</v>
      </c>
      <c r="O221" s="209" t="s">
        <v>1463</v>
      </c>
      <c r="P221" s="209">
        <v>1</v>
      </c>
      <c r="Q221" s="487"/>
      <c r="R221" s="23"/>
      <c r="S221" s="23">
        <f t="shared" si="42"/>
        <v>57500</v>
      </c>
      <c r="T221" s="23">
        <f t="shared" si="43"/>
        <v>-56500</v>
      </c>
      <c r="U221" s="23">
        <f t="shared" si="44"/>
        <v>0</v>
      </c>
      <c r="V221" s="10">
        <f t="shared" si="45"/>
        <v>230000</v>
      </c>
      <c r="W221" s="10">
        <f t="shared" si="49"/>
        <v>0</v>
      </c>
      <c r="X221" s="10">
        <f t="shared" si="47"/>
        <v>0</v>
      </c>
      <c r="Y221" s="9" t="b">
        <f t="shared" si="50"/>
        <v>1</v>
      </c>
    </row>
    <row r="222" spans="1:25" s="9" customFormat="1" ht="13.5" customHeight="1" x14ac:dyDescent="0.2">
      <c r="A222" s="107">
        <f t="shared" si="48"/>
        <v>218</v>
      </c>
      <c r="B222" s="77" t="s">
        <v>1464</v>
      </c>
      <c r="C222" s="163">
        <v>39928</v>
      </c>
      <c r="D222" s="175">
        <v>6456000</v>
      </c>
      <c r="E222" s="462"/>
      <c r="F222" s="67">
        <f t="shared" si="37"/>
        <v>6456000</v>
      </c>
      <c r="G222" s="67">
        <v>6455000</v>
      </c>
      <c r="H222" s="67">
        <f t="shared" si="38"/>
        <v>1000</v>
      </c>
      <c r="I222" s="74">
        <v>5</v>
      </c>
      <c r="J222" s="74">
        <v>0.2</v>
      </c>
      <c r="K222" s="68">
        <v>0</v>
      </c>
      <c r="L222" s="110">
        <f t="shared" si="39"/>
        <v>0</v>
      </c>
      <c r="M222" s="67">
        <f t="shared" si="40"/>
        <v>6455000</v>
      </c>
      <c r="N222" s="67">
        <f t="shared" si="41"/>
        <v>1000</v>
      </c>
      <c r="O222" s="209" t="s">
        <v>396</v>
      </c>
      <c r="P222" s="230">
        <v>1</v>
      </c>
      <c r="Q222" s="464"/>
      <c r="R222" s="23"/>
      <c r="S222" s="23">
        <f t="shared" si="42"/>
        <v>322800</v>
      </c>
      <c r="T222" s="23">
        <f t="shared" si="43"/>
        <v>-321800</v>
      </c>
      <c r="U222" s="23">
        <f t="shared" si="44"/>
        <v>0</v>
      </c>
      <c r="V222" s="10">
        <f t="shared" si="45"/>
        <v>1291200</v>
      </c>
      <c r="W222" s="10">
        <f t="shared" si="49"/>
        <v>0</v>
      </c>
      <c r="X222" s="10">
        <f t="shared" si="47"/>
        <v>0</v>
      </c>
      <c r="Y222" s="9" t="b">
        <f t="shared" si="50"/>
        <v>1</v>
      </c>
    </row>
    <row r="223" spans="1:25" s="9" customFormat="1" ht="13.5" customHeight="1" x14ac:dyDescent="0.2">
      <c r="A223" s="107">
        <f t="shared" si="48"/>
        <v>219</v>
      </c>
      <c r="B223" s="77" t="s">
        <v>1465</v>
      </c>
      <c r="C223" s="163">
        <v>39933</v>
      </c>
      <c r="D223" s="175">
        <v>3000000</v>
      </c>
      <c r="E223" s="462"/>
      <c r="F223" s="67">
        <f t="shared" si="37"/>
        <v>3000000</v>
      </c>
      <c r="G223" s="67">
        <v>2999000</v>
      </c>
      <c r="H223" s="67">
        <f t="shared" si="38"/>
        <v>1000</v>
      </c>
      <c r="I223" s="74">
        <v>5</v>
      </c>
      <c r="J223" s="74">
        <v>0.2</v>
      </c>
      <c r="K223" s="68">
        <v>0</v>
      </c>
      <c r="L223" s="110">
        <f t="shared" si="39"/>
        <v>0</v>
      </c>
      <c r="M223" s="67">
        <f t="shared" si="40"/>
        <v>2999000</v>
      </c>
      <c r="N223" s="67">
        <f t="shared" si="41"/>
        <v>1000</v>
      </c>
      <c r="O223" s="111" t="s">
        <v>1413</v>
      </c>
      <c r="P223" s="230">
        <v>1</v>
      </c>
      <c r="Q223" s="464"/>
      <c r="R223" s="23"/>
      <c r="S223" s="23">
        <f t="shared" si="42"/>
        <v>150000</v>
      </c>
      <c r="T223" s="23">
        <f t="shared" si="43"/>
        <v>-149000</v>
      </c>
      <c r="U223" s="23">
        <f t="shared" si="44"/>
        <v>0</v>
      </c>
      <c r="V223" s="10">
        <f t="shared" si="45"/>
        <v>600000</v>
      </c>
      <c r="W223" s="10">
        <f t="shared" si="49"/>
        <v>0</v>
      </c>
      <c r="X223" s="10">
        <f t="shared" si="47"/>
        <v>0</v>
      </c>
      <c r="Y223" s="9" t="b">
        <f t="shared" si="50"/>
        <v>1</v>
      </c>
    </row>
    <row r="224" spans="1:25" s="9" customFormat="1" ht="13.5" customHeight="1" x14ac:dyDescent="0.2">
      <c r="A224" s="107">
        <f t="shared" si="48"/>
        <v>220</v>
      </c>
      <c r="B224" s="77" t="s">
        <v>1466</v>
      </c>
      <c r="C224" s="163">
        <v>39933</v>
      </c>
      <c r="D224" s="175">
        <v>6200000</v>
      </c>
      <c r="E224" s="462"/>
      <c r="F224" s="67">
        <f t="shared" si="37"/>
        <v>6200000</v>
      </c>
      <c r="G224" s="67">
        <v>6199000</v>
      </c>
      <c r="H224" s="67">
        <f t="shared" si="38"/>
        <v>1000</v>
      </c>
      <c r="I224" s="74">
        <v>5</v>
      </c>
      <c r="J224" s="74">
        <v>0.2</v>
      </c>
      <c r="K224" s="68">
        <v>0</v>
      </c>
      <c r="L224" s="110">
        <f t="shared" si="39"/>
        <v>0</v>
      </c>
      <c r="M224" s="67">
        <f t="shared" si="40"/>
        <v>6199000</v>
      </c>
      <c r="N224" s="67">
        <f t="shared" si="41"/>
        <v>1000</v>
      </c>
      <c r="O224" s="230" t="s">
        <v>1453</v>
      </c>
      <c r="P224" s="230">
        <v>1</v>
      </c>
      <c r="Q224" s="464"/>
      <c r="R224" s="23"/>
      <c r="S224" s="23">
        <f t="shared" si="42"/>
        <v>310000</v>
      </c>
      <c r="T224" s="23">
        <f t="shared" si="43"/>
        <v>-309000</v>
      </c>
      <c r="U224" s="23">
        <f t="shared" si="44"/>
        <v>0</v>
      </c>
      <c r="V224" s="10">
        <f t="shared" si="45"/>
        <v>1240000</v>
      </c>
      <c r="W224" s="10">
        <f t="shared" si="49"/>
        <v>0</v>
      </c>
      <c r="X224" s="10">
        <f t="shared" si="47"/>
        <v>0</v>
      </c>
      <c r="Y224" s="9" t="b">
        <f t="shared" si="50"/>
        <v>1</v>
      </c>
    </row>
    <row r="225" spans="1:25" s="9" customFormat="1" ht="13.5" customHeight="1" x14ac:dyDescent="0.2">
      <c r="A225" s="107">
        <f t="shared" si="48"/>
        <v>221</v>
      </c>
      <c r="B225" s="77" t="s">
        <v>1467</v>
      </c>
      <c r="C225" s="163">
        <v>39933</v>
      </c>
      <c r="D225" s="175">
        <v>3300000</v>
      </c>
      <c r="E225" s="462"/>
      <c r="F225" s="67">
        <f t="shared" si="37"/>
        <v>3300000</v>
      </c>
      <c r="G225" s="67">
        <v>3299000</v>
      </c>
      <c r="H225" s="67">
        <f t="shared" si="38"/>
        <v>1000</v>
      </c>
      <c r="I225" s="74">
        <v>5</v>
      </c>
      <c r="J225" s="74">
        <v>0.2</v>
      </c>
      <c r="K225" s="68">
        <v>0</v>
      </c>
      <c r="L225" s="110">
        <f t="shared" si="39"/>
        <v>0</v>
      </c>
      <c r="M225" s="67">
        <f t="shared" si="40"/>
        <v>3299000</v>
      </c>
      <c r="N225" s="67">
        <f t="shared" si="41"/>
        <v>1000</v>
      </c>
      <c r="O225" s="230" t="s">
        <v>1449</v>
      </c>
      <c r="P225" s="230">
        <v>1</v>
      </c>
      <c r="Q225" s="464"/>
      <c r="R225" s="23"/>
      <c r="S225" s="23">
        <f t="shared" si="42"/>
        <v>165000</v>
      </c>
      <c r="T225" s="23">
        <f t="shared" si="43"/>
        <v>-164000</v>
      </c>
      <c r="U225" s="23">
        <f t="shared" si="44"/>
        <v>0</v>
      </c>
      <c r="V225" s="10">
        <f t="shared" si="45"/>
        <v>660000</v>
      </c>
      <c r="W225" s="10">
        <f t="shared" si="49"/>
        <v>0</v>
      </c>
      <c r="X225" s="10">
        <f t="shared" si="47"/>
        <v>0</v>
      </c>
      <c r="Y225" s="9" t="b">
        <f t="shared" si="50"/>
        <v>1</v>
      </c>
    </row>
    <row r="226" spans="1:25" s="9" customFormat="1" ht="13.5" customHeight="1" x14ac:dyDescent="0.2">
      <c r="A226" s="107">
        <f t="shared" si="48"/>
        <v>222</v>
      </c>
      <c r="B226" s="77" t="s">
        <v>1468</v>
      </c>
      <c r="C226" s="163">
        <v>39964</v>
      </c>
      <c r="D226" s="175">
        <v>12000000</v>
      </c>
      <c r="E226" s="462"/>
      <c r="F226" s="67">
        <f t="shared" si="37"/>
        <v>12000000</v>
      </c>
      <c r="G226" s="67">
        <v>11999000</v>
      </c>
      <c r="H226" s="67">
        <f t="shared" si="38"/>
        <v>1000</v>
      </c>
      <c r="I226" s="74">
        <v>5</v>
      </c>
      <c r="J226" s="74">
        <v>0.2</v>
      </c>
      <c r="K226" s="68">
        <v>0</v>
      </c>
      <c r="L226" s="110">
        <f t="shared" si="39"/>
        <v>0</v>
      </c>
      <c r="M226" s="67">
        <f t="shared" si="40"/>
        <v>11999000</v>
      </c>
      <c r="N226" s="67">
        <f t="shared" si="41"/>
        <v>1000</v>
      </c>
      <c r="O226" s="230" t="s">
        <v>1290</v>
      </c>
      <c r="P226" s="230">
        <v>1</v>
      </c>
      <c r="Q226" s="464"/>
      <c r="R226" s="23"/>
      <c r="S226" s="23">
        <f t="shared" si="42"/>
        <v>600000</v>
      </c>
      <c r="T226" s="23">
        <f t="shared" si="43"/>
        <v>-599000</v>
      </c>
      <c r="U226" s="23">
        <f t="shared" si="44"/>
        <v>0</v>
      </c>
      <c r="V226" s="10">
        <f t="shared" si="45"/>
        <v>2400000</v>
      </c>
      <c r="W226" s="10">
        <f t="shared" si="49"/>
        <v>0</v>
      </c>
      <c r="X226" s="10">
        <f t="shared" si="47"/>
        <v>0</v>
      </c>
      <c r="Y226" s="9" t="b">
        <f t="shared" si="50"/>
        <v>1</v>
      </c>
    </row>
    <row r="227" spans="1:25" s="9" customFormat="1" ht="13.5" customHeight="1" x14ac:dyDescent="0.2">
      <c r="A227" s="107">
        <f t="shared" si="48"/>
        <v>223</v>
      </c>
      <c r="B227" s="77" t="s">
        <v>1454</v>
      </c>
      <c r="C227" s="163">
        <v>39976</v>
      </c>
      <c r="D227" s="175">
        <v>1500000</v>
      </c>
      <c r="E227" s="462"/>
      <c r="F227" s="67">
        <f t="shared" si="37"/>
        <v>1500000</v>
      </c>
      <c r="G227" s="67">
        <v>1499000</v>
      </c>
      <c r="H227" s="67">
        <f t="shared" si="38"/>
        <v>1000</v>
      </c>
      <c r="I227" s="74">
        <v>5</v>
      </c>
      <c r="J227" s="74">
        <v>0.2</v>
      </c>
      <c r="K227" s="68">
        <v>0</v>
      </c>
      <c r="L227" s="110">
        <f t="shared" si="39"/>
        <v>0</v>
      </c>
      <c r="M227" s="67">
        <f t="shared" si="40"/>
        <v>1499000</v>
      </c>
      <c r="N227" s="67">
        <f t="shared" si="41"/>
        <v>1000</v>
      </c>
      <c r="O227" s="230" t="s">
        <v>1455</v>
      </c>
      <c r="P227" s="230">
        <v>1</v>
      </c>
      <c r="Q227" s="464"/>
      <c r="R227" s="23"/>
      <c r="S227" s="23">
        <f t="shared" si="42"/>
        <v>75000</v>
      </c>
      <c r="T227" s="23">
        <f t="shared" si="43"/>
        <v>-74000</v>
      </c>
      <c r="U227" s="23">
        <f t="shared" si="44"/>
        <v>0</v>
      </c>
      <c r="V227" s="10">
        <f t="shared" si="45"/>
        <v>300000</v>
      </c>
      <c r="W227" s="10">
        <f t="shared" si="49"/>
        <v>0</v>
      </c>
      <c r="X227" s="10">
        <f t="shared" si="47"/>
        <v>0</v>
      </c>
      <c r="Y227" s="9" t="b">
        <f t="shared" si="50"/>
        <v>1</v>
      </c>
    </row>
    <row r="228" spans="1:25" s="9" customFormat="1" ht="13.5" customHeight="1" x14ac:dyDescent="0.2">
      <c r="A228" s="107">
        <f t="shared" si="48"/>
        <v>224</v>
      </c>
      <c r="B228" s="71" t="s">
        <v>1469</v>
      </c>
      <c r="C228" s="148">
        <v>39983</v>
      </c>
      <c r="D228" s="372">
        <v>3000000</v>
      </c>
      <c r="E228" s="484"/>
      <c r="F228" s="73">
        <f t="shared" si="37"/>
        <v>3000000</v>
      </c>
      <c r="G228" s="73">
        <v>2999000</v>
      </c>
      <c r="H228" s="73">
        <f t="shared" si="38"/>
        <v>1000</v>
      </c>
      <c r="I228" s="74">
        <v>5</v>
      </c>
      <c r="J228" s="74">
        <v>0.2</v>
      </c>
      <c r="K228" s="68">
        <v>0</v>
      </c>
      <c r="L228" s="110">
        <f t="shared" si="39"/>
        <v>0</v>
      </c>
      <c r="M228" s="73">
        <f t="shared" si="40"/>
        <v>2999000</v>
      </c>
      <c r="N228" s="73">
        <f t="shared" si="41"/>
        <v>1000</v>
      </c>
      <c r="O228" s="233" t="s">
        <v>1449</v>
      </c>
      <c r="P228" s="233">
        <v>1</v>
      </c>
      <c r="Q228" s="487"/>
      <c r="R228" s="23"/>
      <c r="S228" s="23">
        <f t="shared" si="42"/>
        <v>150000</v>
      </c>
      <c r="T228" s="23">
        <f t="shared" si="43"/>
        <v>-149000</v>
      </c>
      <c r="U228" s="23">
        <f t="shared" si="44"/>
        <v>0</v>
      </c>
      <c r="V228" s="10">
        <f t="shared" si="45"/>
        <v>600000</v>
      </c>
      <c r="W228" s="10">
        <f t="shared" si="49"/>
        <v>0</v>
      </c>
      <c r="X228" s="10">
        <f t="shared" si="47"/>
        <v>0</v>
      </c>
      <c r="Y228" s="9" t="b">
        <f t="shared" si="50"/>
        <v>1</v>
      </c>
    </row>
    <row r="229" spans="1:25" s="9" customFormat="1" ht="13.5" customHeight="1" x14ac:dyDescent="0.2">
      <c r="A229" s="107">
        <f t="shared" si="48"/>
        <v>225</v>
      </c>
      <c r="B229" s="77" t="s">
        <v>1470</v>
      </c>
      <c r="C229" s="163">
        <v>39995</v>
      </c>
      <c r="D229" s="175">
        <v>7300000</v>
      </c>
      <c r="E229" s="462"/>
      <c r="F229" s="67">
        <f t="shared" si="37"/>
        <v>7300000</v>
      </c>
      <c r="G229" s="67">
        <v>7299000</v>
      </c>
      <c r="H229" s="67">
        <f t="shared" si="38"/>
        <v>1000</v>
      </c>
      <c r="I229" s="74">
        <v>5</v>
      </c>
      <c r="J229" s="74">
        <v>0.2</v>
      </c>
      <c r="K229" s="68">
        <v>0</v>
      </c>
      <c r="L229" s="110">
        <f t="shared" si="39"/>
        <v>0</v>
      </c>
      <c r="M229" s="67">
        <f t="shared" si="40"/>
        <v>7299000</v>
      </c>
      <c r="N229" s="67">
        <f t="shared" si="41"/>
        <v>1000</v>
      </c>
      <c r="O229" s="230" t="s">
        <v>1382</v>
      </c>
      <c r="P229" s="230">
        <v>1</v>
      </c>
      <c r="Q229" s="464"/>
      <c r="R229" s="23"/>
      <c r="S229" s="23">
        <f t="shared" si="42"/>
        <v>365000</v>
      </c>
      <c r="T229" s="23">
        <f t="shared" si="43"/>
        <v>-364000</v>
      </c>
      <c r="U229" s="23">
        <f t="shared" si="44"/>
        <v>0</v>
      </c>
      <c r="V229" s="10">
        <f t="shared" si="45"/>
        <v>1460000</v>
      </c>
      <c r="W229" s="10">
        <f t="shared" si="49"/>
        <v>0</v>
      </c>
      <c r="X229" s="10">
        <f t="shared" si="47"/>
        <v>0</v>
      </c>
      <c r="Y229" s="9" t="b">
        <f t="shared" si="50"/>
        <v>1</v>
      </c>
    </row>
    <row r="230" spans="1:25" s="9" customFormat="1" ht="13.5" customHeight="1" x14ac:dyDescent="0.2">
      <c r="A230" s="107">
        <f t="shared" si="48"/>
        <v>226</v>
      </c>
      <c r="B230" s="77" t="s">
        <v>1471</v>
      </c>
      <c r="C230" s="163">
        <v>40016</v>
      </c>
      <c r="D230" s="175">
        <v>13025000</v>
      </c>
      <c r="E230" s="462"/>
      <c r="F230" s="67">
        <f t="shared" si="37"/>
        <v>13025000</v>
      </c>
      <c r="G230" s="67">
        <v>13024000</v>
      </c>
      <c r="H230" s="67">
        <f t="shared" si="38"/>
        <v>1000</v>
      </c>
      <c r="I230" s="74">
        <v>5</v>
      </c>
      <c r="J230" s="74">
        <v>0.2</v>
      </c>
      <c r="K230" s="68">
        <v>0</v>
      </c>
      <c r="L230" s="110">
        <f t="shared" si="39"/>
        <v>0</v>
      </c>
      <c r="M230" s="67">
        <f t="shared" si="40"/>
        <v>13024000</v>
      </c>
      <c r="N230" s="67">
        <f t="shared" si="41"/>
        <v>1000</v>
      </c>
      <c r="O230" s="230" t="s">
        <v>1395</v>
      </c>
      <c r="P230" s="230">
        <v>1</v>
      </c>
      <c r="Q230" s="464"/>
      <c r="R230" s="23"/>
      <c r="S230" s="23">
        <f t="shared" si="42"/>
        <v>651250</v>
      </c>
      <c r="T230" s="23">
        <f t="shared" si="43"/>
        <v>-650250</v>
      </c>
      <c r="U230" s="23">
        <f t="shared" si="44"/>
        <v>0</v>
      </c>
      <c r="V230" s="10">
        <f t="shared" si="45"/>
        <v>2605000</v>
      </c>
      <c r="W230" s="10">
        <f t="shared" si="49"/>
        <v>0</v>
      </c>
      <c r="X230" s="10">
        <f t="shared" si="47"/>
        <v>0</v>
      </c>
      <c r="Y230" s="9" t="b">
        <f t="shared" si="50"/>
        <v>1</v>
      </c>
    </row>
    <row r="231" spans="1:25" s="9" customFormat="1" ht="13.5" customHeight="1" x14ac:dyDescent="0.2">
      <c r="A231" s="107">
        <f t="shared" si="48"/>
        <v>227</v>
      </c>
      <c r="B231" s="77" t="s">
        <v>1472</v>
      </c>
      <c r="C231" s="163">
        <v>40016</v>
      </c>
      <c r="D231" s="175">
        <v>12000000</v>
      </c>
      <c r="E231" s="462"/>
      <c r="F231" s="67">
        <f t="shared" si="37"/>
        <v>12000000</v>
      </c>
      <c r="G231" s="67">
        <v>11999000</v>
      </c>
      <c r="H231" s="67">
        <f t="shared" si="38"/>
        <v>1000</v>
      </c>
      <c r="I231" s="74">
        <v>5</v>
      </c>
      <c r="J231" s="74">
        <v>0.2</v>
      </c>
      <c r="K231" s="68">
        <v>0</v>
      </c>
      <c r="L231" s="110">
        <f t="shared" si="39"/>
        <v>0</v>
      </c>
      <c r="M231" s="67">
        <f t="shared" si="40"/>
        <v>11999000</v>
      </c>
      <c r="N231" s="67">
        <f t="shared" si="41"/>
        <v>1000</v>
      </c>
      <c r="O231" s="230" t="s">
        <v>1322</v>
      </c>
      <c r="P231" s="230">
        <v>1</v>
      </c>
      <c r="Q231" s="464"/>
      <c r="R231" s="23"/>
      <c r="S231" s="23">
        <f t="shared" si="42"/>
        <v>600000</v>
      </c>
      <c r="T231" s="23">
        <f t="shared" si="43"/>
        <v>-599000</v>
      </c>
      <c r="U231" s="23">
        <f t="shared" si="44"/>
        <v>0</v>
      </c>
      <c r="V231" s="10">
        <f t="shared" si="45"/>
        <v>2400000</v>
      </c>
      <c r="W231" s="10">
        <f t="shared" si="49"/>
        <v>0</v>
      </c>
      <c r="X231" s="10">
        <f t="shared" si="47"/>
        <v>0</v>
      </c>
      <c r="Y231" s="9" t="b">
        <f t="shared" si="50"/>
        <v>1</v>
      </c>
    </row>
    <row r="232" spans="1:25" s="9" customFormat="1" ht="13.5" customHeight="1" x14ac:dyDescent="0.2">
      <c r="A232" s="107">
        <f t="shared" si="48"/>
        <v>228</v>
      </c>
      <c r="B232" s="77" t="s">
        <v>1473</v>
      </c>
      <c r="C232" s="163">
        <v>40050</v>
      </c>
      <c r="D232" s="175">
        <v>2915000</v>
      </c>
      <c r="E232" s="462"/>
      <c r="F232" s="67">
        <f t="shared" si="37"/>
        <v>2915000</v>
      </c>
      <c r="G232" s="67">
        <v>2914000</v>
      </c>
      <c r="H232" s="67">
        <f t="shared" si="38"/>
        <v>1000</v>
      </c>
      <c r="I232" s="74">
        <v>5</v>
      </c>
      <c r="J232" s="74">
        <v>0.2</v>
      </c>
      <c r="K232" s="68">
        <v>0</v>
      </c>
      <c r="L232" s="110">
        <f t="shared" si="39"/>
        <v>0</v>
      </c>
      <c r="M232" s="67">
        <f t="shared" si="40"/>
        <v>2914000</v>
      </c>
      <c r="N232" s="67">
        <f t="shared" si="41"/>
        <v>1000</v>
      </c>
      <c r="O232" s="230" t="s">
        <v>1382</v>
      </c>
      <c r="P232" s="230">
        <v>1</v>
      </c>
      <c r="Q232" s="464"/>
      <c r="R232" s="23"/>
      <c r="S232" s="23">
        <f t="shared" si="42"/>
        <v>145750</v>
      </c>
      <c r="T232" s="23">
        <f t="shared" si="43"/>
        <v>-144750</v>
      </c>
      <c r="U232" s="23">
        <f t="shared" si="44"/>
        <v>0</v>
      </c>
      <c r="V232" s="10">
        <f t="shared" si="45"/>
        <v>583000</v>
      </c>
      <c r="W232" s="10">
        <f t="shared" si="49"/>
        <v>0</v>
      </c>
      <c r="X232" s="10">
        <f t="shared" si="47"/>
        <v>0</v>
      </c>
      <c r="Y232" s="9" t="b">
        <f t="shared" si="50"/>
        <v>1</v>
      </c>
    </row>
    <row r="233" spans="1:25" s="9" customFormat="1" ht="13.5" customHeight="1" x14ac:dyDescent="0.2">
      <c r="A233" s="107">
        <f t="shared" si="48"/>
        <v>229</v>
      </c>
      <c r="B233" s="77" t="s">
        <v>1474</v>
      </c>
      <c r="C233" s="163">
        <v>40050</v>
      </c>
      <c r="D233" s="175">
        <v>3200000</v>
      </c>
      <c r="E233" s="462"/>
      <c r="F233" s="67">
        <f t="shared" si="37"/>
        <v>3200000</v>
      </c>
      <c r="G233" s="67">
        <v>3199000</v>
      </c>
      <c r="H233" s="67">
        <f t="shared" si="38"/>
        <v>1000</v>
      </c>
      <c r="I233" s="74">
        <v>5</v>
      </c>
      <c r="J233" s="74">
        <v>0.2</v>
      </c>
      <c r="K233" s="68">
        <v>0</v>
      </c>
      <c r="L233" s="110">
        <f t="shared" si="39"/>
        <v>0</v>
      </c>
      <c r="M233" s="67">
        <f t="shared" si="40"/>
        <v>3199000</v>
      </c>
      <c r="N233" s="67">
        <f t="shared" si="41"/>
        <v>1000</v>
      </c>
      <c r="O233" s="230" t="s">
        <v>1382</v>
      </c>
      <c r="P233" s="230">
        <v>1</v>
      </c>
      <c r="Q233" s="464"/>
      <c r="R233" s="23"/>
      <c r="S233" s="23">
        <f t="shared" si="42"/>
        <v>160000</v>
      </c>
      <c r="T233" s="23">
        <f t="shared" si="43"/>
        <v>-159000</v>
      </c>
      <c r="U233" s="23">
        <f t="shared" si="44"/>
        <v>0</v>
      </c>
      <c r="V233" s="10">
        <f t="shared" si="45"/>
        <v>640000</v>
      </c>
      <c r="W233" s="10">
        <f t="shared" si="49"/>
        <v>0</v>
      </c>
      <c r="X233" s="10">
        <f t="shared" si="47"/>
        <v>0</v>
      </c>
      <c r="Y233" s="9" t="b">
        <f t="shared" si="50"/>
        <v>1</v>
      </c>
    </row>
    <row r="234" spans="1:25" s="9" customFormat="1" ht="13.5" customHeight="1" x14ac:dyDescent="0.2">
      <c r="A234" s="107">
        <f t="shared" si="48"/>
        <v>230</v>
      </c>
      <c r="B234" s="77" t="s">
        <v>1475</v>
      </c>
      <c r="C234" s="163">
        <v>40080</v>
      </c>
      <c r="D234" s="175">
        <v>12400000</v>
      </c>
      <c r="E234" s="462"/>
      <c r="F234" s="67">
        <f t="shared" si="37"/>
        <v>12400000</v>
      </c>
      <c r="G234" s="67">
        <v>12399000</v>
      </c>
      <c r="H234" s="67">
        <f t="shared" si="38"/>
        <v>1000</v>
      </c>
      <c r="I234" s="74">
        <v>5</v>
      </c>
      <c r="J234" s="74">
        <v>0.2</v>
      </c>
      <c r="K234" s="68">
        <v>0</v>
      </c>
      <c r="L234" s="110">
        <f t="shared" si="39"/>
        <v>0</v>
      </c>
      <c r="M234" s="67">
        <f t="shared" si="40"/>
        <v>12399000</v>
      </c>
      <c r="N234" s="67">
        <f t="shared" si="41"/>
        <v>1000</v>
      </c>
      <c r="O234" s="230" t="s">
        <v>1382</v>
      </c>
      <c r="P234" s="230">
        <v>1</v>
      </c>
      <c r="Q234" s="464"/>
      <c r="R234" s="23"/>
      <c r="S234" s="23">
        <f t="shared" si="42"/>
        <v>620000</v>
      </c>
      <c r="T234" s="23">
        <f t="shared" si="43"/>
        <v>-619000</v>
      </c>
      <c r="U234" s="23">
        <f t="shared" si="44"/>
        <v>0</v>
      </c>
      <c r="V234" s="10">
        <f t="shared" si="45"/>
        <v>2480000</v>
      </c>
      <c r="W234" s="10">
        <f t="shared" si="49"/>
        <v>0</v>
      </c>
      <c r="X234" s="10">
        <f t="shared" si="47"/>
        <v>0</v>
      </c>
      <c r="Y234" s="9" t="b">
        <f t="shared" si="50"/>
        <v>1</v>
      </c>
    </row>
    <row r="235" spans="1:25" s="9" customFormat="1" ht="13.5" customHeight="1" x14ac:dyDescent="0.2">
      <c r="A235" s="107">
        <f t="shared" si="48"/>
        <v>231</v>
      </c>
      <c r="B235" s="77" t="s">
        <v>1471</v>
      </c>
      <c r="C235" s="163">
        <v>40080</v>
      </c>
      <c r="D235" s="175">
        <v>13025000</v>
      </c>
      <c r="E235" s="462"/>
      <c r="F235" s="67">
        <f t="shared" si="37"/>
        <v>13025000</v>
      </c>
      <c r="G235" s="67">
        <v>13024000</v>
      </c>
      <c r="H235" s="67">
        <f t="shared" si="38"/>
        <v>1000</v>
      </c>
      <c r="I235" s="74">
        <v>5</v>
      </c>
      <c r="J235" s="74">
        <v>0.2</v>
      </c>
      <c r="K235" s="68">
        <v>0</v>
      </c>
      <c r="L235" s="110">
        <f t="shared" si="39"/>
        <v>0</v>
      </c>
      <c r="M235" s="67">
        <f t="shared" si="40"/>
        <v>13024000</v>
      </c>
      <c r="N235" s="67">
        <f t="shared" si="41"/>
        <v>1000</v>
      </c>
      <c r="O235" s="230" t="s">
        <v>1382</v>
      </c>
      <c r="P235" s="230">
        <v>1</v>
      </c>
      <c r="Q235" s="464"/>
      <c r="R235" s="23"/>
      <c r="S235" s="23">
        <f t="shared" si="42"/>
        <v>651250</v>
      </c>
      <c r="T235" s="23">
        <f t="shared" si="43"/>
        <v>-650250</v>
      </c>
      <c r="U235" s="23">
        <f t="shared" si="44"/>
        <v>0</v>
      </c>
      <c r="V235" s="10">
        <f t="shared" si="45"/>
        <v>2605000</v>
      </c>
      <c r="W235" s="10">
        <f t="shared" si="49"/>
        <v>0</v>
      </c>
      <c r="X235" s="10">
        <f t="shared" si="47"/>
        <v>0</v>
      </c>
      <c r="Y235" s="9" t="b">
        <f t="shared" si="50"/>
        <v>1</v>
      </c>
    </row>
    <row r="236" spans="1:25" s="9" customFormat="1" ht="13.5" customHeight="1" x14ac:dyDescent="0.2">
      <c r="A236" s="64">
        <f t="shared" si="48"/>
        <v>232</v>
      </c>
      <c r="B236" s="77" t="s">
        <v>1476</v>
      </c>
      <c r="C236" s="163">
        <v>40081</v>
      </c>
      <c r="D236" s="175">
        <v>14000000</v>
      </c>
      <c r="E236" s="462"/>
      <c r="F236" s="67">
        <f t="shared" si="37"/>
        <v>14000000</v>
      </c>
      <c r="G236" s="67">
        <v>13999000</v>
      </c>
      <c r="H236" s="67">
        <f t="shared" si="38"/>
        <v>1000</v>
      </c>
      <c r="I236" s="68">
        <v>5</v>
      </c>
      <c r="J236" s="68">
        <v>0.2</v>
      </c>
      <c r="K236" s="68">
        <v>0</v>
      </c>
      <c r="L236" s="110">
        <f t="shared" si="39"/>
        <v>0</v>
      </c>
      <c r="M236" s="67">
        <f t="shared" si="40"/>
        <v>13999000</v>
      </c>
      <c r="N236" s="67">
        <f t="shared" si="41"/>
        <v>1000</v>
      </c>
      <c r="O236" s="230" t="s">
        <v>1290</v>
      </c>
      <c r="P236" s="230">
        <v>1</v>
      </c>
      <c r="Q236" s="464"/>
      <c r="R236" s="23"/>
      <c r="S236" s="23">
        <f t="shared" si="42"/>
        <v>700000</v>
      </c>
      <c r="T236" s="23">
        <f t="shared" si="43"/>
        <v>-699000</v>
      </c>
      <c r="U236" s="23">
        <f t="shared" si="44"/>
        <v>0</v>
      </c>
      <c r="V236" s="10">
        <f t="shared" si="45"/>
        <v>2800000</v>
      </c>
      <c r="W236" s="10">
        <f t="shared" si="49"/>
        <v>0</v>
      </c>
      <c r="X236" s="10">
        <f t="shared" si="47"/>
        <v>0</v>
      </c>
      <c r="Y236" s="9" t="b">
        <f t="shared" si="50"/>
        <v>1</v>
      </c>
    </row>
    <row r="237" spans="1:25" s="9" customFormat="1" ht="13.5" customHeight="1" x14ac:dyDescent="0.2">
      <c r="A237" s="64">
        <f t="shared" si="48"/>
        <v>233</v>
      </c>
      <c r="B237" s="206" t="s">
        <v>719</v>
      </c>
      <c r="C237" s="163">
        <v>40111</v>
      </c>
      <c r="D237" s="175">
        <v>13150000</v>
      </c>
      <c r="E237" s="249"/>
      <c r="F237" s="67">
        <f t="shared" ref="F237:F300" si="51">+D237+E237</f>
        <v>13150000</v>
      </c>
      <c r="G237" s="67">
        <v>13149000</v>
      </c>
      <c r="H237" s="67">
        <f t="shared" si="38"/>
        <v>1000</v>
      </c>
      <c r="I237" s="68">
        <v>5</v>
      </c>
      <c r="J237" s="68">
        <v>0.2</v>
      </c>
      <c r="K237" s="68">
        <v>0</v>
      </c>
      <c r="L237" s="110">
        <f t="shared" si="39"/>
        <v>0</v>
      </c>
      <c r="M237" s="67">
        <f t="shared" si="40"/>
        <v>13149000</v>
      </c>
      <c r="N237" s="67">
        <f t="shared" si="41"/>
        <v>1000</v>
      </c>
      <c r="O237" s="145" t="s">
        <v>985</v>
      </c>
      <c r="P237" s="243">
        <v>10</v>
      </c>
      <c r="Q237" s="464"/>
      <c r="R237" s="23"/>
      <c r="S237" s="23">
        <f t="shared" si="42"/>
        <v>657500</v>
      </c>
      <c r="T237" s="23">
        <f t="shared" si="43"/>
        <v>-656500</v>
      </c>
      <c r="U237" s="23">
        <f t="shared" si="44"/>
        <v>0</v>
      </c>
      <c r="V237" s="10">
        <f t="shared" si="45"/>
        <v>2630000</v>
      </c>
      <c r="W237" s="10">
        <f t="shared" si="49"/>
        <v>0</v>
      </c>
      <c r="X237" s="10">
        <f t="shared" si="47"/>
        <v>0</v>
      </c>
      <c r="Y237" s="9" t="b">
        <f t="shared" si="50"/>
        <v>1</v>
      </c>
    </row>
    <row r="238" spans="1:25" s="9" customFormat="1" ht="13.5" customHeight="1" x14ac:dyDescent="0.2">
      <c r="A238" s="64">
        <f t="shared" si="48"/>
        <v>234</v>
      </c>
      <c r="B238" s="206" t="s">
        <v>1477</v>
      </c>
      <c r="C238" s="163">
        <v>40117</v>
      </c>
      <c r="D238" s="175">
        <v>2000000</v>
      </c>
      <c r="E238" s="249"/>
      <c r="F238" s="67">
        <f t="shared" si="51"/>
        <v>2000000</v>
      </c>
      <c r="G238" s="67">
        <v>1999000</v>
      </c>
      <c r="H238" s="67">
        <f t="shared" si="38"/>
        <v>1000</v>
      </c>
      <c r="I238" s="68">
        <v>5</v>
      </c>
      <c r="J238" s="68">
        <v>0.2</v>
      </c>
      <c r="K238" s="68">
        <v>0</v>
      </c>
      <c r="L238" s="110">
        <f t="shared" si="39"/>
        <v>0</v>
      </c>
      <c r="M238" s="67">
        <f t="shared" si="40"/>
        <v>1999000</v>
      </c>
      <c r="N238" s="67">
        <f t="shared" si="41"/>
        <v>1000</v>
      </c>
      <c r="O238" s="145" t="s">
        <v>407</v>
      </c>
      <c r="P238" s="243">
        <v>1</v>
      </c>
      <c r="Q238" s="464"/>
      <c r="R238" s="23"/>
      <c r="S238" s="23">
        <f t="shared" si="42"/>
        <v>100000</v>
      </c>
      <c r="T238" s="23">
        <f t="shared" si="43"/>
        <v>-99000</v>
      </c>
      <c r="U238" s="23">
        <f t="shared" si="44"/>
        <v>0</v>
      </c>
      <c r="V238" s="10">
        <f t="shared" si="45"/>
        <v>400000</v>
      </c>
      <c r="W238" s="10">
        <f t="shared" si="49"/>
        <v>0</v>
      </c>
      <c r="X238" s="10">
        <f t="shared" si="47"/>
        <v>0</v>
      </c>
      <c r="Y238" s="9" t="b">
        <f t="shared" si="50"/>
        <v>1</v>
      </c>
    </row>
    <row r="239" spans="1:25" s="9" customFormat="1" ht="13.5" customHeight="1" x14ac:dyDescent="0.2">
      <c r="A239" s="64">
        <f t="shared" si="48"/>
        <v>235</v>
      </c>
      <c r="B239" s="206" t="s">
        <v>1478</v>
      </c>
      <c r="C239" s="163">
        <v>40117</v>
      </c>
      <c r="D239" s="175">
        <v>3000000</v>
      </c>
      <c r="E239" s="249"/>
      <c r="F239" s="67">
        <f t="shared" si="51"/>
        <v>3000000</v>
      </c>
      <c r="G239" s="67">
        <v>2999000</v>
      </c>
      <c r="H239" s="67">
        <f t="shared" si="38"/>
        <v>1000</v>
      </c>
      <c r="I239" s="68">
        <v>5</v>
      </c>
      <c r="J239" s="68">
        <v>0.2</v>
      </c>
      <c r="K239" s="68">
        <v>0</v>
      </c>
      <c r="L239" s="110">
        <f t="shared" si="39"/>
        <v>0</v>
      </c>
      <c r="M239" s="67">
        <f t="shared" si="40"/>
        <v>2999000</v>
      </c>
      <c r="N239" s="67">
        <f t="shared" si="41"/>
        <v>1000</v>
      </c>
      <c r="O239" s="145" t="s">
        <v>306</v>
      </c>
      <c r="P239" s="243">
        <v>1</v>
      </c>
      <c r="Q239" s="464"/>
      <c r="R239" s="23"/>
      <c r="S239" s="23">
        <f t="shared" si="42"/>
        <v>150000</v>
      </c>
      <c r="T239" s="23">
        <f t="shared" si="43"/>
        <v>-149000</v>
      </c>
      <c r="U239" s="23">
        <f t="shared" si="44"/>
        <v>0</v>
      </c>
      <c r="V239" s="10">
        <f t="shared" si="45"/>
        <v>600000</v>
      </c>
      <c r="W239" s="10">
        <f t="shared" si="49"/>
        <v>0</v>
      </c>
      <c r="X239" s="10">
        <f t="shared" si="47"/>
        <v>0</v>
      </c>
      <c r="Y239" s="9" t="b">
        <f t="shared" si="50"/>
        <v>1</v>
      </c>
    </row>
    <row r="240" spans="1:25" s="9" customFormat="1" ht="13.5" customHeight="1" x14ac:dyDescent="0.2">
      <c r="A240" s="64">
        <f t="shared" si="48"/>
        <v>236</v>
      </c>
      <c r="B240" s="206" t="s">
        <v>1479</v>
      </c>
      <c r="C240" s="163">
        <v>40142</v>
      </c>
      <c r="D240" s="175">
        <v>25000000</v>
      </c>
      <c r="E240" s="249"/>
      <c r="F240" s="67">
        <f t="shared" si="51"/>
        <v>25000000</v>
      </c>
      <c r="G240" s="67">
        <v>24999000</v>
      </c>
      <c r="H240" s="67">
        <f t="shared" si="38"/>
        <v>1000</v>
      </c>
      <c r="I240" s="68">
        <v>5</v>
      </c>
      <c r="J240" s="68">
        <v>0.2</v>
      </c>
      <c r="K240" s="68">
        <v>0</v>
      </c>
      <c r="L240" s="110">
        <f t="shared" si="39"/>
        <v>0</v>
      </c>
      <c r="M240" s="67">
        <f t="shared" si="40"/>
        <v>24999000</v>
      </c>
      <c r="N240" s="67">
        <f t="shared" si="41"/>
        <v>1000</v>
      </c>
      <c r="O240" s="145" t="s">
        <v>1480</v>
      </c>
      <c r="P240" s="243">
        <v>1</v>
      </c>
      <c r="Q240" s="464"/>
      <c r="R240" s="23"/>
      <c r="S240" s="23">
        <f t="shared" si="42"/>
        <v>1250000</v>
      </c>
      <c r="T240" s="23">
        <f t="shared" si="43"/>
        <v>-1249000</v>
      </c>
      <c r="U240" s="23">
        <f t="shared" si="44"/>
        <v>0</v>
      </c>
      <c r="V240" s="10">
        <f t="shared" si="45"/>
        <v>5000000</v>
      </c>
      <c r="W240" s="10">
        <f t="shared" si="49"/>
        <v>0</v>
      </c>
      <c r="X240" s="10">
        <f t="shared" si="47"/>
        <v>0</v>
      </c>
      <c r="Y240" s="9" t="b">
        <f t="shared" si="50"/>
        <v>1</v>
      </c>
    </row>
    <row r="241" spans="1:25" s="9" customFormat="1" ht="13.5" customHeight="1" x14ac:dyDescent="0.2">
      <c r="A241" s="64">
        <f t="shared" si="48"/>
        <v>237</v>
      </c>
      <c r="B241" s="206" t="s">
        <v>1481</v>
      </c>
      <c r="C241" s="163">
        <v>40142</v>
      </c>
      <c r="D241" s="175">
        <v>3000000</v>
      </c>
      <c r="E241" s="249"/>
      <c r="F241" s="67">
        <f t="shared" si="51"/>
        <v>3000000</v>
      </c>
      <c r="G241" s="67">
        <v>2999000</v>
      </c>
      <c r="H241" s="67">
        <f t="shared" ref="H241:H304" si="52">+F241-G241</f>
        <v>1000</v>
      </c>
      <c r="I241" s="68">
        <v>5</v>
      </c>
      <c r="J241" s="68">
        <v>0.2</v>
      </c>
      <c r="K241" s="68">
        <v>0</v>
      </c>
      <c r="L241" s="110">
        <f t="shared" ref="L241:L304" si="53">ROUND(IF(F241*J241*K241/12&gt;=H241,H241-1000,F241*J241*K241/12),0)</f>
        <v>0</v>
      </c>
      <c r="M241" s="67">
        <f t="shared" ref="M241:M304" si="54">+G241+L241</f>
        <v>2999000</v>
      </c>
      <c r="N241" s="67">
        <f t="shared" si="41"/>
        <v>1000</v>
      </c>
      <c r="O241" s="145" t="s">
        <v>1480</v>
      </c>
      <c r="P241" s="243">
        <v>1</v>
      </c>
      <c r="Q241" s="464"/>
      <c r="R241" s="23"/>
      <c r="S241" s="23">
        <f t="shared" si="42"/>
        <v>150000</v>
      </c>
      <c r="T241" s="23">
        <f t="shared" si="43"/>
        <v>-149000</v>
      </c>
      <c r="U241" s="23">
        <f t="shared" si="44"/>
        <v>0</v>
      </c>
      <c r="V241" s="10">
        <f t="shared" si="45"/>
        <v>600000</v>
      </c>
      <c r="W241" s="10">
        <f t="shared" si="49"/>
        <v>0</v>
      </c>
      <c r="X241" s="10">
        <f t="shared" si="47"/>
        <v>0</v>
      </c>
      <c r="Y241" s="9" t="b">
        <f t="shared" si="50"/>
        <v>1</v>
      </c>
    </row>
    <row r="242" spans="1:25" s="9" customFormat="1" ht="13.5" customHeight="1" x14ac:dyDescent="0.2">
      <c r="A242" s="64">
        <f t="shared" si="48"/>
        <v>238</v>
      </c>
      <c r="B242" s="206" t="s">
        <v>1482</v>
      </c>
      <c r="C242" s="163">
        <v>40147</v>
      </c>
      <c r="D242" s="175">
        <v>14000000</v>
      </c>
      <c r="E242" s="249"/>
      <c r="F242" s="67">
        <f t="shared" si="51"/>
        <v>14000000</v>
      </c>
      <c r="G242" s="67">
        <v>13999000</v>
      </c>
      <c r="H242" s="67">
        <f t="shared" si="52"/>
        <v>1000</v>
      </c>
      <c r="I242" s="68">
        <v>5</v>
      </c>
      <c r="J242" s="68">
        <v>0.2</v>
      </c>
      <c r="K242" s="68">
        <v>0</v>
      </c>
      <c r="L242" s="110">
        <f t="shared" si="53"/>
        <v>0</v>
      </c>
      <c r="M242" s="67">
        <f t="shared" si="54"/>
        <v>13999000</v>
      </c>
      <c r="N242" s="67">
        <f t="shared" si="41"/>
        <v>1000</v>
      </c>
      <c r="O242" s="145" t="s">
        <v>1290</v>
      </c>
      <c r="P242" s="243">
        <v>1</v>
      </c>
      <c r="Q242" s="464"/>
      <c r="R242" s="23"/>
      <c r="S242" s="23">
        <f t="shared" si="42"/>
        <v>700000</v>
      </c>
      <c r="T242" s="23">
        <f t="shared" si="43"/>
        <v>-699000</v>
      </c>
      <c r="U242" s="23">
        <f t="shared" si="44"/>
        <v>0</v>
      </c>
      <c r="V242" s="10">
        <f t="shared" si="45"/>
        <v>2800000</v>
      </c>
      <c r="W242" s="10">
        <f t="shared" si="49"/>
        <v>0</v>
      </c>
      <c r="X242" s="10">
        <f t="shared" si="47"/>
        <v>0</v>
      </c>
      <c r="Y242" s="9" t="b">
        <f t="shared" si="50"/>
        <v>1</v>
      </c>
    </row>
    <row r="243" spans="1:25" s="9" customFormat="1" ht="13.5" customHeight="1" x14ac:dyDescent="0.2">
      <c r="A243" s="64">
        <f t="shared" si="48"/>
        <v>239</v>
      </c>
      <c r="B243" s="206" t="s">
        <v>719</v>
      </c>
      <c r="C243" s="163">
        <v>40147</v>
      </c>
      <c r="D243" s="175">
        <v>12950000</v>
      </c>
      <c r="E243" s="249"/>
      <c r="F243" s="67">
        <f t="shared" si="51"/>
        <v>12950000</v>
      </c>
      <c r="G243" s="67">
        <v>12949000</v>
      </c>
      <c r="H243" s="67">
        <f t="shared" si="52"/>
        <v>1000</v>
      </c>
      <c r="I243" s="68">
        <v>5</v>
      </c>
      <c r="J243" s="68">
        <v>0.2</v>
      </c>
      <c r="K243" s="68">
        <v>0</v>
      </c>
      <c r="L243" s="110">
        <f t="shared" si="53"/>
        <v>0</v>
      </c>
      <c r="M243" s="67">
        <f t="shared" si="54"/>
        <v>12949000</v>
      </c>
      <c r="N243" s="67">
        <f t="shared" si="41"/>
        <v>1000</v>
      </c>
      <c r="O243" s="145" t="s">
        <v>985</v>
      </c>
      <c r="P243" s="243">
        <v>10</v>
      </c>
      <c r="Q243" s="464"/>
      <c r="R243" s="23"/>
      <c r="S243" s="23">
        <f t="shared" si="42"/>
        <v>647500</v>
      </c>
      <c r="T243" s="23">
        <f t="shared" si="43"/>
        <v>-646500</v>
      </c>
      <c r="U243" s="23">
        <f t="shared" si="44"/>
        <v>0</v>
      </c>
      <c r="V243" s="10">
        <f t="shared" si="45"/>
        <v>2590000</v>
      </c>
      <c r="W243" s="10">
        <f t="shared" si="49"/>
        <v>0</v>
      </c>
      <c r="X243" s="10">
        <f t="shared" si="47"/>
        <v>0</v>
      </c>
      <c r="Y243" s="9" t="b">
        <f t="shared" si="50"/>
        <v>1</v>
      </c>
    </row>
    <row r="244" spans="1:25" s="9" customFormat="1" ht="13.5" customHeight="1" x14ac:dyDescent="0.2">
      <c r="A244" s="64">
        <f t="shared" si="48"/>
        <v>240</v>
      </c>
      <c r="B244" s="206" t="s">
        <v>1483</v>
      </c>
      <c r="C244" s="163">
        <v>40176</v>
      </c>
      <c r="D244" s="175">
        <v>1250000</v>
      </c>
      <c r="E244" s="249"/>
      <c r="F244" s="67">
        <f t="shared" si="51"/>
        <v>1250000</v>
      </c>
      <c r="G244" s="67">
        <v>1249000</v>
      </c>
      <c r="H244" s="67">
        <f t="shared" si="52"/>
        <v>1000</v>
      </c>
      <c r="I244" s="68">
        <v>5</v>
      </c>
      <c r="J244" s="68">
        <v>0.2</v>
      </c>
      <c r="K244" s="68">
        <v>0</v>
      </c>
      <c r="L244" s="110">
        <f t="shared" si="53"/>
        <v>0</v>
      </c>
      <c r="M244" s="67">
        <f t="shared" si="54"/>
        <v>1249000</v>
      </c>
      <c r="N244" s="67">
        <f t="shared" si="41"/>
        <v>1000</v>
      </c>
      <c r="O244" s="145" t="s">
        <v>1484</v>
      </c>
      <c r="P244" s="243">
        <v>1</v>
      </c>
      <c r="Q244" s="464"/>
      <c r="R244" s="23"/>
      <c r="S244" s="23">
        <f t="shared" si="42"/>
        <v>62500</v>
      </c>
      <c r="T244" s="23">
        <f t="shared" si="43"/>
        <v>-61500</v>
      </c>
      <c r="U244" s="23">
        <f t="shared" si="44"/>
        <v>0</v>
      </c>
      <c r="V244" s="10">
        <f t="shared" si="45"/>
        <v>250000</v>
      </c>
      <c r="W244" s="10">
        <f t="shared" si="49"/>
        <v>0</v>
      </c>
      <c r="X244" s="10">
        <f t="shared" si="47"/>
        <v>0</v>
      </c>
      <c r="Y244" s="9" t="b">
        <f t="shared" si="50"/>
        <v>1</v>
      </c>
    </row>
    <row r="245" spans="1:25" s="9" customFormat="1" ht="13.5" customHeight="1" x14ac:dyDescent="0.2">
      <c r="A245" s="64">
        <f t="shared" si="48"/>
        <v>241</v>
      </c>
      <c r="B245" s="77" t="s">
        <v>1485</v>
      </c>
      <c r="C245" s="163">
        <v>40198</v>
      </c>
      <c r="D245" s="175">
        <v>7692000</v>
      </c>
      <c r="E245" s="462"/>
      <c r="F245" s="67">
        <f t="shared" si="51"/>
        <v>7692000</v>
      </c>
      <c r="G245" s="67">
        <v>7691000</v>
      </c>
      <c r="H245" s="67">
        <f t="shared" si="52"/>
        <v>1000</v>
      </c>
      <c r="I245" s="68">
        <v>5</v>
      </c>
      <c r="J245" s="68">
        <v>0.2</v>
      </c>
      <c r="K245" s="68">
        <v>0</v>
      </c>
      <c r="L245" s="110">
        <f t="shared" si="53"/>
        <v>0</v>
      </c>
      <c r="M245" s="67">
        <f t="shared" si="54"/>
        <v>7691000</v>
      </c>
      <c r="N245" s="67">
        <f t="shared" si="41"/>
        <v>1000</v>
      </c>
      <c r="O245" s="230" t="s">
        <v>959</v>
      </c>
      <c r="P245" s="230">
        <v>6</v>
      </c>
      <c r="Q245" s="464"/>
      <c r="R245" s="23"/>
      <c r="S245" s="23">
        <f t="shared" si="42"/>
        <v>384600</v>
      </c>
      <c r="T245" s="23">
        <f t="shared" si="43"/>
        <v>-383600</v>
      </c>
      <c r="U245" s="23">
        <f t="shared" si="44"/>
        <v>0</v>
      </c>
      <c r="V245" s="10">
        <f t="shared" si="45"/>
        <v>1538400</v>
      </c>
      <c r="W245" s="10">
        <f t="shared" si="49"/>
        <v>0</v>
      </c>
      <c r="X245" s="10">
        <f t="shared" si="47"/>
        <v>0</v>
      </c>
      <c r="Y245" s="9" t="b">
        <f t="shared" si="50"/>
        <v>1</v>
      </c>
    </row>
    <row r="246" spans="1:25" s="9" customFormat="1" ht="13.5" customHeight="1" x14ac:dyDescent="0.2">
      <c r="A246" s="64">
        <f t="shared" si="48"/>
        <v>242</v>
      </c>
      <c r="B246" s="77" t="s">
        <v>719</v>
      </c>
      <c r="C246" s="163">
        <v>40203</v>
      </c>
      <c r="D246" s="175">
        <v>2500000</v>
      </c>
      <c r="E246" s="462"/>
      <c r="F246" s="67">
        <f t="shared" si="51"/>
        <v>2500000</v>
      </c>
      <c r="G246" s="67">
        <v>2499000</v>
      </c>
      <c r="H246" s="67">
        <f t="shared" si="52"/>
        <v>1000</v>
      </c>
      <c r="I246" s="68">
        <v>5</v>
      </c>
      <c r="J246" s="68">
        <v>0.2</v>
      </c>
      <c r="K246" s="68">
        <v>0</v>
      </c>
      <c r="L246" s="110">
        <f t="shared" si="53"/>
        <v>0</v>
      </c>
      <c r="M246" s="67">
        <f t="shared" si="54"/>
        <v>2499000</v>
      </c>
      <c r="N246" s="67">
        <f t="shared" si="41"/>
        <v>1000</v>
      </c>
      <c r="O246" s="230" t="s">
        <v>427</v>
      </c>
      <c r="P246" s="230">
        <v>1</v>
      </c>
      <c r="Q246" s="464"/>
      <c r="R246" s="23"/>
      <c r="S246" s="23">
        <f t="shared" si="42"/>
        <v>125000</v>
      </c>
      <c r="T246" s="23">
        <f t="shared" si="43"/>
        <v>-124000</v>
      </c>
      <c r="U246" s="23">
        <f t="shared" si="44"/>
        <v>0</v>
      </c>
      <c r="V246" s="10">
        <f t="shared" si="45"/>
        <v>500000</v>
      </c>
      <c r="W246" s="10">
        <f t="shared" si="49"/>
        <v>0</v>
      </c>
      <c r="X246" s="10">
        <f t="shared" si="47"/>
        <v>0</v>
      </c>
      <c r="Y246" s="9" t="b">
        <f t="shared" si="50"/>
        <v>1</v>
      </c>
    </row>
    <row r="247" spans="1:25" s="9" customFormat="1" ht="13.5" customHeight="1" x14ac:dyDescent="0.2">
      <c r="A247" s="64">
        <f t="shared" si="48"/>
        <v>243</v>
      </c>
      <c r="B247" s="77" t="s">
        <v>719</v>
      </c>
      <c r="C247" s="163">
        <v>40233</v>
      </c>
      <c r="D247" s="175">
        <v>6410000</v>
      </c>
      <c r="E247" s="462"/>
      <c r="F247" s="67">
        <f t="shared" si="51"/>
        <v>6410000</v>
      </c>
      <c r="G247" s="67">
        <v>6409000</v>
      </c>
      <c r="H247" s="67">
        <f t="shared" si="52"/>
        <v>1000</v>
      </c>
      <c r="I247" s="68">
        <v>5</v>
      </c>
      <c r="J247" s="68">
        <v>0.2</v>
      </c>
      <c r="K247" s="68">
        <v>0</v>
      </c>
      <c r="L247" s="110">
        <f t="shared" si="53"/>
        <v>0</v>
      </c>
      <c r="M247" s="67">
        <f t="shared" si="54"/>
        <v>6409000</v>
      </c>
      <c r="N247" s="67">
        <f t="shared" si="41"/>
        <v>1000</v>
      </c>
      <c r="O247" s="230" t="s">
        <v>1486</v>
      </c>
      <c r="P247" s="230">
        <v>5</v>
      </c>
      <c r="Q247" s="464"/>
      <c r="R247" s="23"/>
      <c r="S247" s="23">
        <f t="shared" si="42"/>
        <v>320500</v>
      </c>
      <c r="T247" s="23">
        <f t="shared" si="43"/>
        <v>-319500</v>
      </c>
      <c r="U247" s="23">
        <f t="shared" si="44"/>
        <v>0</v>
      </c>
      <c r="V247" s="10">
        <f t="shared" si="45"/>
        <v>1282000</v>
      </c>
      <c r="W247" s="10">
        <f t="shared" si="49"/>
        <v>0</v>
      </c>
      <c r="X247" s="10">
        <f t="shared" si="47"/>
        <v>0</v>
      </c>
      <c r="Y247" s="9" t="b">
        <f t="shared" si="50"/>
        <v>1</v>
      </c>
    </row>
    <row r="248" spans="1:25" s="9" customFormat="1" ht="13.5" customHeight="1" x14ac:dyDescent="0.2">
      <c r="A248" s="64">
        <f t="shared" si="48"/>
        <v>244</v>
      </c>
      <c r="B248" s="77" t="s">
        <v>1487</v>
      </c>
      <c r="C248" s="163">
        <v>40234</v>
      </c>
      <c r="D248" s="175">
        <v>7000000</v>
      </c>
      <c r="E248" s="462"/>
      <c r="F248" s="67">
        <f t="shared" si="51"/>
        <v>7000000</v>
      </c>
      <c r="G248" s="67">
        <v>6999000</v>
      </c>
      <c r="H248" s="67">
        <f t="shared" si="52"/>
        <v>1000</v>
      </c>
      <c r="I248" s="68">
        <v>5</v>
      </c>
      <c r="J248" s="68">
        <v>0.2</v>
      </c>
      <c r="K248" s="68">
        <v>0</v>
      </c>
      <c r="L248" s="110">
        <f t="shared" si="53"/>
        <v>0</v>
      </c>
      <c r="M248" s="67">
        <f t="shared" si="54"/>
        <v>6999000</v>
      </c>
      <c r="N248" s="67">
        <f t="shared" si="41"/>
        <v>1000</v>
      </c>
      <c r="O248" s="230" t="s">
        <v>1290</v>
      </c>
      <c r="P248" s="230">
        <v>1</v>
      </c>
      <c r="Q248" s="464"/>
      <c r="R248" s="23"/>
      <c r="S248" s="23">
        <f t="shared" si="42"/>
        <v>350000</v>
      </c>
      <c r="T248" s="23">
        <f t="shared" si="43"/>
        <v>-349000</v>
      </c>
      <c r="U248" s="23">
        <f t="shared" si="44"/>
        <v>0</v>
      </c>
      <c r="V248" s="10">
        <f t="shared" si="45"/>
        <v>1400000</v>
      </c>
      <c r="W248" s="10">
        <f t="shared" si="49"/>
        <v>0</v>
      </c>
      <c r="X248" s="10">
        <f t="shared" si="47"/>
        <v>0</v>
      </c>
      <c r="Y248" s="9" t="b">
        <f t="shared" si="50"/>
        <v>1</v>
      </c>
    </row>
    <row r="249" spans="1:25" s="9" customFormat="1" ht="13.5" customHeight="1" x14ac:dyDescent="0.2">
      <c r="A249" s="64">
        <f t="shared" si="48"/>
        <v>245</v>
      </c>
      <c r="B249" s="71" t="s">
        <v>1488</v>
      </c>
      <c r="C249" s="148">
        <v>40273</v>
      </c>
      <c r="D249" s="372">
        <v>1661000</v>
      </c>
      <c r="E249" s="484"/>
      <c r="F249" s="67">
        <f t="shared" si="51"/>
        <v>1661000</v>
      </c>
      <c r="G249" s="67">
        <v>1660000</v>
      </c>
      <c r="H249" s="67">
        <f t="shared" si="52"/>
        <v>1000</v>
      </c>
      <c r="I249" s="68">
        <v>5</v>
      </c>
      <c r="J249" s="68">
        <v>0.2</v>
      </c>
      <c r="K249" s="68">
        <v>0</v>
      </c>
      <c r="L249" s="110">
        <f t="shared" si="53"/>
        <v>0</v>
      </c>
      <c r="M249" s="67">
        <f t="shared" si="54"/>
        <v>1660000</v>
      </c>
      <c r="N249" s="67">
        <f t="shared" si="41"/>
        <v>1000</v>
      </c>
      <c r="O249" s="233" t="s">
        <v>427</v>
      </c>
      <c r="P249" s="233">
        <v>1</v>
      </c>
      <c r="Q249" s="487"/>
      <c r="R249" s="23"/>
      <c r="S249" s="23">
        <f t="shared" si="42"/>
        <v>83050</v>
      </c>
      <c r="T249" s="23">
        <f t="shared" si="43"/>
        <v>-82050</v>
      </c>
      <c r="U249" s="23">
        <f t="shared" si="44"/>
        <v>0</v>
      </c>
      <c r="V249" s="10">
        <f t="shared" si="45"/>
        <v>332200</v>
      </c>
      <c r="W249" s="10">
        <f t="shared" si="49"/>
        <v>0</v>
      </c>
      <c r="X249" s="10">
        <f t="shared" si="47"/>
        <v>0</v>
      </c>
      <c r="Y249" s="9" t="b">
        <f t="shared" si="50"/>
        <v>1</v>
      </c>
    </row>
    <row r="250" spans="1:25" s="9" customFormat="1" ht="13.5" customHeight="1" x14ac:dyDescent="0.2">
      <c r="A250" s="64">
        <f t="shared" si="48"/>
        <v>246</v>
      </c>
      <c r="B250" s="71" t="s">
        <v>1489</v>
      </c>
      <c r="C250" s="148">
        <v>40277</v>
      </c>
      <c r="D250" s="372">
        <v>1790000</v>
      </c>
      <c r="E250" s="484"/>
      <c r="F250" s="67">
        <f t="shared" si="51"/>
        <v>1790000</v>
      </c>
      <c r="G250" s="67">
        <v>1789000</v>
      </c>
      <c r="H250" s="67">
        <f t="shared" si="52"/>
        <v>1000</v>
      </c>
      <c r="I250" s="68">
        <v>5</v>
      </c>
      <c r="J250" s="68">
        <v>0.2</v>
      </c>
      <c r="K250" s="68">
        <v>0</v>
      </c>
      <c r="L250" s="110">
        <f t="shared" si="53"/>
        <v>0</v>
      </c>
      <c r="M250" s="67">
        <f t="shared" si="54"/>
        <v>1789000</v>
      </c>
      <c r="N250" s="67">
        <f t="shared" si="41"/>
        <v>1000</v>
      </c>
      <c r="O250" s="233" t="s">
        <v>1490</v>
      </c>
      <c r="P250" s="233">
        <v>1</v>
      </c>
      <c r="Q250" s="487"/>
      <c r="R250" s="23"/>
      <c r="S250" s="23">
        <f t="shared" si="42"/>
        <v>89500</v>
      </c>
      <c r="T250" s="23">
        <f t="shared" si="43"/>
        <v>-88500</v>
      </c>
      <c r="U250" s="23">
        <f t="shared" si="44"/>
        <v>0</v>
      </c>
      <c r="V250" s="10">
        <f t="shared" si="45"/>
        <v>358000</v>
      </c>
      <c r="W250" s="10">
        <f t="shared" si="49"/>
        <v>0</v>
      </c>
      <c r="X250" s="10">
        <f t="shared" si="47"/>
        <v>0</v>
      </c>
      <c r="Y250" s="9" t="b">
        <f t="shared" si="50"/>
        <v>1</v>
      </c>
    </row>
    <row r="251" spans="1:25" s="9" customFormat="1" ht="13.5" customHeight="1" x14ac:dyDescent="0.2">
      <c r="A251" s="64">
        <f t="shared" si="48"/>
        <v>247</v>
      </c>
      <c r="B251" s="71" t="s">
        <v>1491</v>
      </c>
      <c r="C251" s="148">
        <v>40277</v>
      </c>
      <c r="D251" s="372">
        <v>6290000</v>
      </c>
      <c r="E251" s="484"/>
      <c r="F251" s="67">
        <f t="shared" si="51"/>
        <v>6290000</v>
      </c>
      <c r="G251" s="67">
        <v>6289000</v>
      </c>
      <c r="H251" s="67">
        <f t="shared" si="52"/>
        <v>1000</v>
      </c>
      <c r="I251" s="68">
        <v>5</v>
      </c>
      <c r="J251" s="68">
        <v>0.2</v>
      </c>
      <c r="K251" s="68">
        <v>0</v>
      </c>
      <c r="L251" s="110">
        <f t="shared" si="53"/>
        <v>0</v>
      </c>
      <c r="M251" s="67">
        <f t="shared" si="54"/>
        <v>6289000</v>
      </c>
      <c r="N251" s="67">
        <f t="shared" si="41"/>
        <v>1000</v>
      </c>
      <c r="O251" s="233" t="s">
        <v>1492</v>
      </c>
      <c r="P251" s="233">
        <v>1</v>
      </c>
      <c r="Q251" s="487"/>
      <c r="R251" s="23"/>
      <c r="S251" s="23">
        <f t="shared" si="42"/>
        <v>314500</v>
      </c>
      <c r="T251" s="23">
        <f t="shared" si="43"/>
        <v>-313500</v>
      </c>
      <c r="U251" s="23">
        <f t="shared" si="44"/>
        <v>0</v>
      </c>
      <c r="V251" s="10">
        <f t="shared" si="45"/>
        <v>1258000</v>
      </c>
      <c r="W251" s="10">
        <f t="shared" si="49"/>
        <v>0</v>
      </c>
      <c r="X251" s="10">
        <f t="shared" si="47"/>
        <v>0</v>
      </c>
      <c r="Y251" s="9" t="b">
        <f t="shared" si="50"/>
        <v>1</v>
      </c>
    </row>
    <row r="252" spans="1:25" s="9" customFormat="1" ht="13.5" customHeight="1" x14ac:dyDescent="0.2">
      <c r="A252" s="64">
        <f t="shared" si="48"/>
        <v>248</v>
      </c>
      <c r="B252" s="71" t="s">
        <v>1493</v>
      </c>
      <c r="C252" s="148">
        <v>40277</v>
      </c>
      <c r="D252" s="372">
        <v>2350000</v>
      </c>
      <c r="E252" s="484"/>
      <c r="F252" s="67">
        <f t="shared" si="51"/>
        <v>2350000</v>
      </c>
      <c r="G252" s="67">
        <v>2349000</v>
      </c>
      <c r="H252" s="67">
        <f t="shared" si="52"/>
        <v>1000</v>
      </c>
      <c r="I252" s="68">
        <v>5</v>
      </c>
      <c r="J252" s="68">
        <v>0.2</v>
      </c>
      <c r="K252" s="68">
        <v>0</v>
      </c>
      <c r="L252" s="110">
        <f t="shared" si="53"/>
        <v>0</v>
      </c>
      <c r="M252" s="67">
        <f t="shared" si="54"/>
        <v>2349000</v>
      </c>
      <c r="N252" s="67">
        <f t="shared" si="41"/>
        <v>1000</v>
      </c>
      <c r="O252" s="233" t="s">
        <v>1492</v>
      </c>
      <c r="P252" s="233">
        <v>1</v>
      </c>
      <c r="Q252" s="487"/>
      <c r="R252" s="23"/>
      <c r="S252" s="23">
        <f t="shared" si="42"/>
        <v>117500</v>
      </c>
      <c r="T252" s="23">
        <f t="shared" si="43"/>
        <v>-116500</v>
      </c>
      <c r="U252" s="23">
        <f t="shared" si="44"/>
        <v>0</v>
      </c>
      <c r="V252" s="10">
        <f t="shared" si="45"/>
        <v>470000</v>
      </c>
      <c r="W252" s="10">
        <f t="shared" si="49"/>
        <v>0</v>
      </c>
      <c r="X252" s="10">
        <f t="shared" si="47"/>
        <v>0</v>
      </c>
      <c r="Y252" s="9" t="b">
        <f t="shared" si="50"/>
        <v>1</v>
      </c>
    </row>
    <row r="253" spans="1:25" s="9" customFormat="1" ht="13.5" customHeight="1" x14ac:dyDescent="0.2">
      <c r="A253" s="64">
        <f t="shared" si="48"/>
        <v>249</v>
      </c>
      <c r="B253" s="71" t="s">
        <v>1494</v>
      </c>
      <c r="C253" s="148">
        <v>40280</v>
      </c>
      <c r="D253" s="372">
        <v>9800000</v>
      </c>
      <c r="E253" s="484"/>
      <c r="F253" s="67">
        <f t="shared" si="51"/>
        <v>9800000</v>
      </c>
      <c r="G253" s="67">
        <v>9799000</v>
      </c>
      <c r="H253" s="67">
        <f t="shared" si="52"/>
        <v>1000</v>
      </c>
      <c r="I253" s="68">
        <v>5</v>
      </c>
      <c r="J253" s="68">
        <v>0.2</v>
      </c>
      <c r="K253" s="68">
        <v>0</v>
      </c>
      <c r="L253" s="110">
        <f t="shared" si="53"/>
        <v>0</v>
      </c>
      <c r="M253" s="67">
        <f t="shared" si="54"/>
        <v>9799000</v>
      </c>
      <c r="N253" s="67">
        <f t="shared" si="41"/>
        <v>1000</v>
      </c>
      <c r="O253" s="233" t="s">
        <v>357</v>
      </c>
      <c r="P253" s="233">
        <v>1</v>
      </c>
      <c r="Q253" s="487"/>
      <c r="R253" s="23"/>
      <c r="S253" s="23">
        <f t="shared" si="42"/>
        <v>490000</v>
      </c>
      <c r="T253" s="23">
        <f t="shared" si="43"/>
        <v>-489000</v>
      </c>
      <c r="U253" s="23">
        <f t="shared" si="44"/>
        <v>0</v>
      </c>
      <c r="V253" s="10">
        <f t="shared" si="45"/>
        <v>1960000</v>
      </c>
      <c r="W253" s="10">
        <f t="shared" si="49"/>
        <v>0</v>
      </c>
      <c r="X253" s="10">
        <f t="shared" si="47"/>
        <v>0</v>
      </c>
      <c r="Y253" s="9" t="b">
        <f t="shared" si="50"/>
        <v>1</v>
      </c>
    </row>
    <row r="254" spans="1:25" s="9" customFormat="1" ht="13.5" customHeight="1" x14ac:dyDescent="0.2">
      <c r="A254" s="64">
        <f t="shared" si="48"/>
        <v>250</v>
      </c>
      <c r="B254" s="71" t="s">
        <v>1495</v>
      </c>
      <c r="C254" s="148">
        <v>40289</v>
      </c>
      <c r="D254" s="372">
        <v>8000000</v>
      </c>
      <c r="E254" s="484"/>
      <c r="F254" s="67">
        <f t="shared" si="51"/>
        <v>8000000</v>
      </c>
      <c r="G254" s="67">
        <v>7999000</v>
      </c>
      <c r="H254" s="67">
        <f t="shared" si="52"/>
        <v>1000</v>
      </c>
      <c r="I254" s="68">
        <v>5</v>
      </c>
      <c r="J254" s="68">
        <v>0.2</v>
      </c>
      <c r="K254" s="68">
        <v>0</v>
      </c>
      <c r="L254" s="110">
        <f t="shared" si="53"/>
        <v>0</v>
      </c>
      <c r="M254" s="67">
        <f t="shared" si="54"/>
        <v>7999000</v>
      </c>
      <c r="N254" s="67">
        <f t="shared" si="41"/>
        <v>1000</v>
      </c>
      <c r="O254" s="233" t="s">
        <v>1496</v>
      </c>
      <c r="P254" s="233">
        <v>1</v>
      </c>
      <c r="Q254" s="487"/>
      <c r="R254" s="23"/>
      <c r="S254" s="23">
        <f t="shared" si="42"/>
        <v>400000</v>
      </c>
      <c r="T254" s="23">
        <f t="shared" si="43"/>
        <v>-399000</v>
      </c>
      <c r="U254" s="23">
        <f t="shared" si="44"/>
        <v>0</v>
      </c>
      <c r="V254" s="10">
        <f t="shared" si="45"/>
        <v>1600000</v>
      </c>
      <c r="W254" s="10">
        <f t="shared" si="49"/>
        <v>0</v>
      </c>
      <c r="X254" s="10">
        <f t="shared" si="47"/>
        <v>0</v>
      </c>
      <c r="Y254" s="9" t="b">
        <f t="shared" si="50"/>
        <v>1</v>
      </c>
    </row>
    <row r="255" spans="1:25" s="9" customFormat="1" ht="13.5" customHeight="1" x14ac:dyDescent="0.2">
      <c r="A255" s="64">
        <f t="shared" si="48"/>
        <v>251</v>
      </c>
      <c r="B255" s="71" t="s">
        <v>1497</v>
      </c>
      <c r="C255" s="148">
        <v>40289</v>
      </c>
      <c r="D255" s="372">
        <v>6000000</v>
      </c>
      <c r="E255" s="484"/>
      <c r="F255" s="67">
        <f t="shared" si="51"/>
        <v>6000000</v>
      </c>
      <c r="G255" s="67">
        <v>5999000</v>
      </c>
      <c r="H255" s="67">
        <f t="shared" si="52"/>
        <v>1000</v>
      </c>
      <c r="I255" s="68">
        <v>5</v>
      </c>
      <c r="J255" s="68">
        <v>0.2</v>
      </c>
      <c r="K255" s="68">
        <v>0</v>
      </c>
      <c r="L255" s="110">
        <f t="shared" si="53"/>
        <v>0</v>
      </c>
      <c r="M255" s="67">
        <f t="shared" si="54"/>
        <v>5999000</v>
      </c>
      <c r="N255" s="67">
        <f t="shared" si="41"/>
        <v>1000</v>
      </c>
      <c r="O255" s="233" t="s">
        <v>1496</v>
      </c>
      <c r="P255" s="233">
        <v>1</v>
      </c>
      <c r="Q255" s="487"/>
      <c r="R255" s="23"/>
      <c r="S255" s="23">
        <f t="shared" si="42"/>
        <v>300000</v>
      </c>
      <c r="T255" s="23">
        <f t="shared" si="43"/>
        <v>-299000</v>
      </c>
      <c r="U255" s="23">
        <f t="shared" si="44"/>
        <v>0</v>
      </c>
      <c r="V255" s="10">
        <f t="shared" si="45"/>
        <v>1200000</v>
      </c>
      <c r="W255" s="10">
        <f t="shared" si="49"/>
        <v>0</v>
      </c>
      <c r="X255" s="10">
        <f t="shared" si="47"/>
        <v>0</v>
      </c>
      <c r="Y255" s="9" t="b">
        <f t="shared" si="50"/>
        <v>1</v>
      </c>
    </row>
    <row r="256" spans="1:25" s="9" customFormat="1" ht="13.5" customHeight="1" x14ac:dyDescent="0.2">
      <c r="A256" s="64">
        <f t="shared" si="48"/>
        <v>252</v>
      </c>
      <c r="B256" s="71" t="s">
        <v>719</v>
      </c>
      <c r="C256" s="148">
        <v>40294</v>
      </c>
      <c r="D256" s="372">
        <v>17592000</v>
      </c>
      <c r="E256" s="484"/>
      <c r="F256" s="67">
        <f t="shared" si="51"/>
        <v>17592000</v>
      </c>
      <c r="G256" s="67">
        <v>17591000</v>
      </c>
      <c r="H256" s="67">
        <f t="shared" si="52"/>
        <v>1000</v>
      </c>
      <c r="I256" s="68">
        <v>5</v>
      </c>
      <c r="J256" s="68">
        <v>0.2</v>
      </c>
      <c r="K256" s="68">
        <v>0</v>
      </c>
      <c r="L256" s="110">
        <f t="shared" si="53"/>
        <v>0</v>
      </c>
      <c r="M256" s="67">
        <f t="shared" si="54"/>
        <v>17591000</v>
      </c>
      <c r="N256" s="67">
        <f t="shared" si="41"/>
        <v>1000</v>
      </c>
      <c r="O256" s="233" t="s">
        <v>1498</v>
      </c>
      <c r="P256" s="233">
        <v>15</v>
      </c>
      <c r="Q256" s="487"/>
      <c r="R256" s="23"/>
      <c r="S256" s="23">
        <f t="shared" si="42"/>
        <v>879600</v>
      </c>
      <c r="T256" s="23">
        <f t="shared" si="43"/>
        <v>-878600</v>
      </c>
      <c r="U256" s="23">
        <f t="shared" si="44"/>
        <v>0</v>
      </c>
      <c r="V256" s="10">
        <f t="shared" si="45"/>
        <v>3518400</v>
      </c>
      <c r="W256" s="10">
        <f t="shared" si="49"/>
        <v>0</v>
      </c>
      <c r="X256" s="10">
        <f t="shared" si="47"/>
        <v>0</v>
      </c>
      <c r="Y256" s="9" t="b">
        <f t="shared" si="50"/>
        <v>1</v>
      </c>
    </row>
    <row r="257" spans="1:25" s="9" customFormat="1" ht="13.5" customHeight="1" x14ac:dyDescent="0.2">
      <c r="A257" s="64">
        <f t="shared" si="48"/>
        <v>253</v>
      </c>
      <c r="B257" s="71" t="s">
        <v>1499</v>
      </c>
      <c r="C257" s="148">
        <v>40305</v>
      </c>
      <c r="D257" s="372">
        <v>5500000</v>
      </c>
      <c r="E257" s="484"/>
      <c r="F257" s="67">
        <f t="shared" si="51"/>
        <v>5500000</v>
      </c>
      <c r="G257" s="67">
        <v>5499000</v>
      </c>
      <c r="H257" s="67">
        <f t="shared" si="52"/>
        <v>1000</v>
      </c>
      <c r="I257" s="68">
        <v>5</v>
      </c>
      <c r="J257" s="68">
        <v>0.2</v>
      </c>
      <c r="K257" s="68">
        <v>0</v>
      </c>
      <c r="L257" s="110">
        <f t="shared" si="53"/>
        <v>0</v>
      </c>
      <c r="M257" s="67">
        <f t="shared" si="54"/>
        <v>5499000</v>
      </c>
      <c r="N257" s="67">
        <f t="shared" si="41"/>
        <v>1000</v>
      </c>
      <c r="O257" s="233" t="s">
        <v>1500</v>
      </c>
      <c r="P257" s="233">
        <v>1</v>
      </c>
      <c r="Q257" s="487"/>
      <c r="R257" s="23"/>
      <c r="S257" s="23">
        <f t="shared" si="42"/>
        <v>275000</v>
      </c>
      <c r="T257" s="23">
        <f t="shared" si="43"/>
        <v>-274000</v>
      </c>
      <c r="U257" s="23">
        <f t="shared" si="44"/>
        <v>0</v>
      </c>
      <c r="V257" s="10">
        <f t="shared" si="45"/>
        <v>1100000</v>
      </c>
      <c r="W257" s="10">
        <f t="shared" si="49"/>
        <v>0</v>
      </c>
      <c r="X257" s="10">
        <f t="shared" si="47"/>
        <v>0</v>
      </c>
      <c r="Y257" s="9" t="b">
        <f t="shared" si="50"/>
        <v>1</v>
      </c>
    </row>
    <row r="258" spans="1:25" s="9" customFormat="1" ht="13.5" customHeight="1" x14ac:dyDescent="0.2">
      <c r="A258" s="64">
        <f t="shared" si="48"/>
        <v>254</v>
      </c>
      <c r="B258" s="71" t="s">
        <v>1501</v>
      </c>
      <c r="C258" s="148">
        <v>40323</v>
      </c>
      <c r="D258" s="372">
        <v>1850000</v>
      </c>
      <c r="E258" s="484"/>
      <c r="F258" s="67">
        <f t="shared" si="51"/>
        <v>1850000</v>
      </c>
      <c r="G258" s="67">
        <v>1849000</v>
      </c>
      <c r="H258" s="67">
        <f t="shared" si="52"/>
        <v>1000</v>
      </c>
      <c r="I258" s="68">
        <v>5</v>
      </c>
      <c r="J258" s="68">
        <v>0.2</v>
      </c>
      <c r="K258" s="68">
        <v>0</v>
      </c>
      <c r="L258" s="110">
        <f t="shared" si="53"/>
        <v>0</v>
      </c>
      <c r="M258" s="67">
        <f t="shared" si="54"/>
        <v>1849000</v>
      </c>
      <c r="N258" s="67">
        <f t="shared" si="41"/>
        <v>1000</v>
      </c>
      <c r="O258" s="233" t="s">
        <v>1502</v>
      </c>
      <c r="P258" s="233">
        <v>1</v>
      </c>
      <c r="Q258" s="487"/>
      <c r="R258" s="23"/>
      <c r="S258" s="23">
        <f t="shared" si="42"/>
        <v>92500</v>
      </c>
      <c r="T258" s="23">
        <f t="shared" si="43"/>
        <v>-91500</v>
      </c>
      <c r="U258" s="23">
        <f t="shared" si="44"/>
        <v>0</v>
      </c>
      <c r="V258" s="10">
        <f t="shared" si="45"/>
        <v>370000</v>
      </c>
      <c r="W258" s="10">
        <f t="shared" si="49"/>
        <v>0</v>
      </c>
      <c r="X258" s="10">
        <f t="shared" si="47"/>
        <v>0</v>
      </c>
      <c r="Y258" s="9" t="b">
        <f t="shared" si="50"/>
        <v>1</v>
      </c>
    </row>
    <row r="259" spans="1:25" s="9" customFormat="1" ht="13.5" customHeight="1" x14ac:dyDescent="0.2">
      <c r="A259" s="64">
        <f t="shared" si="48"/>
        <v>255</v>
      </c>
      <c r="B259" s="71" t="s">
        <v>1503</v>
      </c>
      <c r="C259" s="148">
        <v>40357</v>
      </c>
      <c r="D259" s="372">
        <v>3100000</v>
      </c>
      <c r="E259" s="484"/>
      <c r="F259" s="67">
        <f t="shared" si="51"/>
        <v>3100000</v>
      </c>
      <c r="G259" s="67">
        <v>3099000</v>
      </c>
      <c r="H259" s="67">
        <f t="shared" si="52"/>
        <v>1000</v>
      </c>
      <c r="I259" s="68">
        <v>5</v>
      </c>
      <c r="J259" s="68">
        <v>0.2</v>
      </c>
      <c r="K259" s="68">
        <v>0</v>
      </c>
      <c r="L259" s="110">
        <f t="shared" si="53"/>
        <v>0</v>
      </c>
      <c r="M259" s="67">
        <f t="shared" si="54"/>
        <v>3099000</v>
      </c>
      <c r="N259" s="67">
        <f t="shared" si="41"/>
        <v>1000</v>
      </c>
      <c r="O259" s="233" t="s">
        <v>1492</v>
      </c>
      <c r="P259" s="233">
        <v>1</v>
      </c>
      <c r="Q259" s="487"/>
      <c r="R259" s="23"/>
      <c r="S259" s="23">
        <f t="shared" si="42"/>
        <v>155000</v>
      </c>
      <c r="T259" s="23">
        <f t="shared" si="43"/>
        <v>-154000</v>
      </c>
      <c r="U259" s="23">
        <f t="shared" si="44"/>
        <v>0</v>
      </c>
      <c r="V259" s="10">
        <f t="shared" si="45"/>
        <v>620000</v>
      </c>
      <c r="W259" s="10">
        <f t="shared" si="49"/>
        <v>0</v>
      </c>
      <c r="X259" s="10">
        <f t="shared" si="47"/>
        <v>0</v>
      </c>
      <c r="Y259" s="9" t="b">
        <f t="shared" si="50"/>
        <v>1</v>
      </c>
    </row>
    <row r="260" spans="1:25" s="9" customFormat="1" ht="13.5" customHeight="1" x14ac:dyDescent="0.2">
      <c r="A260" s="64">
        <f t="shared" si="48"/>
        <v>256</v>
      </c>
      <c r="B260" s="71" t="s">
        <v>742</v>
      </c>
      <c r="C260" s="148">
        <v>40358</v>
      </c>
      <c r="D260" s="372">
        <v>25770000</v>
      </c>
      <c r="E260" s="484"/>
      <c r="F260" s="67">
        <f t="shared" si="51"/>
        <v>25770000</v>
      </c>
      <c r="G260" s="67">
        <v>25769000</v>
      </c>
      <c r="H260" s="67">
        <f t="shared" si="52"/>
        <v>1000</v>
      </c>
      <c r="I260" s="68">
        <v>5</v>
      </c>
      <c r="J260" s="68">
        <v>0.2</v>
      </c>
      <c r="K260" s="68">
        <v>0</v>
      </c>
      <c r="L260" s="110">
        <f t="shared" si="53"/>
        <v>0</v>
      </c>
      <c r="M260" s="67">
        <f t="shared" si="54"/>
        <v>25769000</v>
      </c>
      <c r="N260" s="67">
        <f t="shared" si="41"/>
        <v>1000</v>
      </c>
      <c r="O260" s="233" t="s">
        <v>819</v>
      </c>
      <c r="P260" s="233">
        <v>10</v>
      </c>
      <c r="Q260" s="487"/>
      <c r="R260" s="23"/>
      <c r="S260" s="23">
        <f t="shared" si="42"/>
        <v>1288500</v>
      </c>
      <c r="T260" s="23">
        <f t="shared" si="43"/>
        <v>-1287500</v>
      </c>
      <c r="U260" s="23">
        <f t="shared" si="44"/>
        <v>0</v>
      </c>
      <c r="V260" s="10">
        <f t="shared" si="45"/>
        <v>5154000</v>
      </c>
      <c r="W260" s="10">
        <f t="shared" si="49"/>
        <v>0</v>
      </c>
      <c r="X260" s="10">
        <f t="shared" si="47"/>
        <v>0</v>
      </c>
      <c r="Y260" s="9" t="b">
        <f t="shared" si="50"/>
        <v>1</v>
      </c>
    </row>
    <row r="261" spans="1:25" s="9" customFormat="1" ht="13.5" customHeight="1" x14ac:dyDescent="0.2">
      <c r="A261" s="64">
        <f t="shared" si="48"/>
        <v>257</v>
      </c>
      <c r="B261" s="71" t="s">
        <v>1504</v>
      </c>
      <c r="C261" s="148">
        <v>40359</v>
      </c>
      <c r="D261" s="372">
        <v>3900000</v>
      </c>
      <c r="E261" s="484"/>
      <c r="F261" s="67">
        <f t="shared" si="51"/>
        <v>3900000</v>
      </c>
      <c r="G261" s="67">
        <v>3899000</v>
      </c>
      <c r="H261" s="67">
        <f t="shared" si="52"/>
        <v>1000</v>
      </c>
      <c r="I261" s="68">
        <v>5</v>
      </c>
      <c r="J261" s="68">
        <v>0.2</v>
      </c>
      <c r="K261" s="68">
        <v>0</v>
      </c>
      <c r="L261" s="110">
        <f t="shared" si="53"/>
        <v>0</v>
      </c>
      <c r="M261" s="67">
        <f t="shared" si="54"/>
        <v>3899000</v>
      </c>
      <c r="N261" s="67">
        <f t="shared" ref="N261:N323" si="55">+F261-M261</f>
        <v>1000</v>
      </c>
      <c r="O261" s="233" t="s">
        <v>1413</v>
      </c>
      <c r="P261" s="233">
        <v>1</v>
      </c>
      <c r="Q261" s="487"/>
      <c r="R261" s="23"/>
      <c r="S261" s="23">
        <f t="shared" ref="S261:S289" si="56">D261*0.05</f>
        <v>195000</v>
      </c>
      <c r="T261" s="23">
        <f t="shared" ref="T261:T324" si="57">N261-S261</f>
        <v>-194000</v>
      </c>
      <c r="U261" s="23">
        <f t="shared" ref="U261:U323" si="58">N261-1000</f>
        <v>0</v>
      </c>
      <c r="V261" s="10">
        <f t="shared" ref="V261:V324" si="59">F261/I261</f>
        <v>780000</v>
      </c>
      <c r="W261" s="10">
        <f t="shared" si="49"/>
        <v>0</v>
      </c>
      <c r="X261" s="10">
        <f t="shared" ref="X261:X324" si="60">L261-W261</f>
        <v>0</v>
      </c>
      <c r="Y261" s="9" t="b">
        <f t="shared" si="50"/>
        <v>1</v>
      </c>
    </row>
    <row r="262" spans="1:25" s="9" customFormat="1" ht="13.5" customHeight="1" x14ac:dyDescent="0.2">
      <c r="A262" s="64">
        <f t="shared" ref="A262:A324" si="61">+A261+1</f>
        <v>258</v>
      </c>
      <c r="B262" s="71" t="s">
        <v>1505</v>
      </c>
      <c r="C262" s="148">
        <v>40359</v>
      </c>
      <c r="D262" s="372">
        <v>37000000</v>
      </c>
      <c r="E262" s="484"/>
      <c r="F262" s="73">
        <f t="shared" si="51"/>
        <v>37000000</v>
      </c>
      <c r="G262" s="73">
        <v>36999000</v>
      </c>
      <c r="H262" s="73">
        <f t="shared" si="52"/>
        <v>1000</v>
      </c>
      <c r="I262" s="74">
        <v>5</v>
      </c>
      <c r="J262" s="74">
        <v>0.2</v>
      </c>
      <c r="K262" s="68">
        <v>0</v>
      </c>
      <c r="L262" s="110">
        <f t="shared" si="53"/>
        <v>0</v>
      </c>
      <c r="M262" s="73">
        <f t="shared" si="54"/>
        <v>36999000</v>
      </c>
      <c r="N262" s="73">
        <f t="shared" si="55"/>
        <v>1000</v>
      </c>
      <c r="O262" s="233" t="s">
        <v>1290</v>
      </c>
      <c r="P262" s="233">
        <v>1</v>
      </c>
      <c r="Q262" s="487"/>
      <c r="R262" s="23"/>
      <c r="S262" s="23">
        <f t="shared" si="56"/>
        <v>1850000</v>
      </c>
      <c r="T262" s="23">
        <f t="shared" si="57"/>
        <v>-1849000</v>
      </c>
      <c r="U262" s="23">
        <f t="shared" si="58"/>
        <v>0</v>
      </c>
      <c r="V262" s="10">
        <f t="shared" si="59"/>
        <v>7400000</v>
      </c>
      <c r="W262" s="10">
        <f t="shared" si="49"/>
        <v>0</v>
      </c>
      <c r="X262" s="10">
        <f t="shared" si="60"/>
        <v>0</v>
      </c>
      <c r="Y262" s="9" t="b">
        <f t="shared" si="50"/>
        <v>1</v>
      </c>
    </row>
    <row r="263" spans="1:25" s="9" customFormat="1" ht="13.5" customHeight="1" x14ac:dyDescent="0.2">
      <c r="A263" s="64">
        <f t="shared" si="61"/>
        <v>259</v>
      </c>
      <c r="B263" s="204" t="s">
        <v>1506</v>
      </c>
      <c r="C263" s="148">
        <v>40361</v>
      </c>
      <c r="D263" s="372">
        <v>17200000</v>
      </c>
      <c r="E263" s="484"/>
      <c r="F263" s="73">
        <f t="shared" si="51"/>
        <v>17200000</v>
      </c>
      <c r="G263" s="73">
        <v>17199000</v>
      </c>
      <c r="H263" s="73">
        <f t="shared" si="52"/>
        <v>1000</v>
      </c>
      <c r="I263" s="74">
        <v>5</v>
      </c>
      <c r="J263" s="74">
        <v>0.2</v>
      </c>
      <c r="K263" s="68">
        <v>0</v>
      </c>
      <c r="L263" s="110">
        <f t="shared" si="53"/>
        <v>0</v>
      </c>
      <c r="M263" s="73">
        <f t="shared" si="54"/>
        <v>17199000</v>
      </c>
      <c r="N263" s="73">
        <f t="shared" si="55"/>
        <v>1000</v>
      </c>
      <c r="O263" s="233" t="s">
        <v>1507</v>
      </c>
      <c r="P263" s="233">
        <v>1</v>
      </c>
      <c r="Q263" s="487"/>
      <c r="R263" s="23"/>
      <c r="S263" s="23">
        <f t="shared" si="56"/>
        <v>860000</v>
      </c>
      <c r="T263" s="23">
        <f t="shared" si="57"/>
        <v>-859000</v>
      </c>
      <c r="U263" s="23">
        <f t="shared" si="58"/>
        <v>0</v>
      </c>
      <c r="V263" s="10">
        <f t="shared" si="59"/>
        <v>3440000</v>
      </c>
      <c r="W263" s="10">
        <f t="shared" si="49"/>
        <v>0</v>
      </c>
      <c r="X263" s="10">
        <f t="shared" si="60"/>
        <v>0</v>
      </c>
      <c r="Y263" s="9" t="b">
        <f t="shared" si="50"/>
        <v>1</v>
      </c>
    </row>
    <row r="264" spans="1:25" s="9" customFormat="1" ht="13.5" customHeight="1" x14ac:dyDescent="0.2">
      <c r="A264" s="64">
        <f t="shared" si="61"/>
        <v>260</v>
      </c>
      <c r="B264" s="204" t="s">
        <v>1508</v>
      </c>
      <c r="C264" s="163">
        <v>40372</v>
      </c>
      <c r="D264" s="175">
        <v>1090909</v>
      </c>
      <c r="E264" s="249"/>
      <c r="F264" s="67">
        <f t="shared" si="51"/>
        <v>1090909</v>
      </c>
      <c r="G264" s="73">
        <v>1089909</v>
      </c>
      <c r="H264" s="67">
        <f t="shared" si="52"/>
        <v>1000</v>
      </c>
      <c r="I264" s="68">
        <v>5</v>
      </c>
      <c r="J264" s="68">
        <v>0.2</v>
      </c>
      <c r="K264" s="68">
        <v>0</v>
      </c>
      <c r="L264" s="110">
        <f t="shared" si="53"/>
        <v>0</v>
      </c>
      <c r="M264" s="73">
        <f t="shared" si="54"/>
        <v>1089909</v>
      </c>
      <c r="N264" s="67">
        <f t="shared" si="55"/>
        <v>1000</v>
      </c>
      <c r="O264" s="145" t="s">
        <v>1509</v>
      </c>
      <c r="P264" s="514">
        <v>1</v>
      </c>
      <c r="Q264" s="487"/>
      <c r="R264" s="23"/>
      <c r="S264" s="23">
        <f t="shared" si="56"/>
        <v>54545.450000000004</v>
      </c>
      <c r="T264" s="23">
        <f t="shared" si="57"/>
        <v>-53545.450000000004</v>
      </c>
      <c r="U264" s="23">
        <f t="shared" si="58"/>
        <v>0</v>
      </c>
      <c r="V264" s="10">
        <f t="shared" si="59"/>
        <v>218181.8</v>
      </c>
      <c r="W264" s="10">
        <f t="shared" si="49"/>
        <v>0</v>
      </c>
      <c r="X264" s="10">
        <f t="shared" si="60"/>
        <v>0</v>
      </c>
      <c r="Y264" s="9" t="b">
        <f t="shared" si="50"/>
        <v>1</v>
      </c>
    </row>
    <row r="265" spans="1:25" s="9" customFormat="1" ht="13.5" customHeight="1" x14ac:dyDescent="0.2">
      <c r="A265" s="64">
        <f t="shared" si="61"/>
        <v>261</v>
      </c>
      <c r="B265" s="204" t="s">
        <v>742</v>
      </c>
      <c r="C265" s="163">
        <v>40385</v>
      </c>
      <c r="D265" s="175">
        <v>2200000</v>
      </c>
      <c r="E265" s="249"/>
      <c r="F265" s="67">
        <f t="shared" si="51"/>
        <v>2200000</v>
      </c>
      <c r="G265" s="73">
        <v>2199000</v>
      </c>
      <c r="H265" s="67">
        <f t="shared" si="52"/>
        <v>1000</v>
      </c>
      <c r="I265" s="68">
        <v>5</v>
      </c>
      <c r="J265" s="68">
        <v>0.2</v>
      </c>
      <c r="K265" s="68">
        <v>0</v>
      </c>
      <c r="L265" s="110">
        <f t="shared" si="53"/>
        <v>0</v>
      </c>
      <c r="M265" s="67">
        <f t="shared" si="54"/>
        <v>2199000</v>
      </c>
      <c r="N265" s="67">
        <f t="shared" si="55"/>
        <v>1000</v>
      </c>
      <c r="O265" s="145" t="s">
        <v>819</v>
      </c>
      <c r="P265" s="514">
        <v>2</v>
      </c>
      <c r="Q265" s="487"/>
      <c r="R265" s="23"/>
      <c r="S265" s="23">
        <f t="shared" si="56"/>
        <v>110000</v>
      </c>
      <c r="T265" s="23">
        <f t="shared" si="57"/>
        <v>-109000</v>
      </c>
      <c r="U265" s="23">
        <f t="shared" si="58"/>
        <v>0</v>
      </c>
      <c r="V265" s="10">
        <f t="shared" si="59"/>
        <v>440000</v>
      </c>
      <c r="W265" s="10">
        <f t="shared" si="49"/>
        <v>0</v>
      </c>
      <c r="X265" s="10">
        <f t="shared" si="60"/>
        <v>0</v>
      </c>
      <c r="Y265" s="9" t="b">
        <f t="shared" si="50"/>
        <v>1</v>
      </c>
    </row>
    <row r="266" spans="1:25" s="9" customFormat="1" ht="13.5" customHeight="1" x14ac:dyDescent="0.2">
      <c r="A266" s="64">
        <f t="shared" si="61"/>
        <v>262</v>
      </c>
      <c r="B266" s="204" t="s">
        <v>1510</v>
      </c>
      <c r="C266" s="163">
        <v>40415</v>
      </c>
      <c r="D266" s="175">
        <v>5800000</v>
      </c>
      <c r="E266" s="249"/>
      <c r="F266" s="67">
        <f t="shared" si="51"/>
        <v>5800000</v>
      </c>
      <c r="G266" s="73">
        <v>5799000</v>
      </c>
      <c r="H266" s="67">
        <f t="shared" si="52"/>
        <v>1000</v>
      </c>
      <c r="I266" s="68">
        <v>5</v>
      </c>
      <c r="J266" s="68">
        <v>0.2</v>
      </c>
      <c r="K266" s="68">
        <v>0</v>
      </c>
      <c r="L266" s="110">
        <f t="shared" si="53"/>
        <v>0</v>
      </c>
      <c r="M266" s="67">
        <f t="shared" si="54"/>
        <v>5799000</v>
      </c>
      <c r="N266" s="67">
        <f t="shared" si="55"/>
        <v>1000</v>
      </c>
      <c r="O266" s="145" t="s">
        <v>1511</v>
      </c>
      <c r="P266" s="514">
        <v>1</v>
      </c>
      <c r="Q266" s="487"/>
      <c r="R266" s="23"/>
      <c r="S266" s="23">
        <f t="shared" si="56"/>
        <v>290000</v>
      </c>
      <c r="T266" s="23">
        <f t="shared" si="57"/>
        <v>-289000</v>
      </c>
      <c r="U266" s="23">
        <f t="shared" si="58"/>
        <v>0</v>
      </c>
      <c r="V266" s="10">
        <f t="shared" si="59"/>
        <v>1160000</v>
      </c>
      <c r="W266" s="10">
        <f t="shared" si="49"/>
        <v>0</v>
      </c>
      <c r="X266" s="10">
        <f t="shared" si="60"/>
        <v>0</v>
      </c>
      <c r="Y266" s="9" t="b">
        <f t="shared" si="50"/>
        <v>1</v>
      </c>
    </row>
    <row r="267" spans="1:25" s="9" customFormat="1" ht="13.5" customHeight="1" x14ac:dyDescent="0.2">
      <c r="A267" s="64">
        <f t="shared" si="61"/>
        <v>263</v>
      </c>
      <c r="B267" s="204" t="s">
        <v>1512</v>
      </c>
      <c r="C267" s="163">
        <v>40415</v>
      </c>
      <c r="D267" s="175">
        <v>5500000</v>
      </c>
      <c r="E267" s="249"/>
      <c r="F267" s="67">
        <f t="shared" si="51"/>
        <v>5500000</v>
      </c>
      <c r="G267" s="73">
        <v>5499000</v>
      </c>
      <c r="H267" s="67">
        <f t="shared" si="52"/>
        <v>1000</v>
      </c>
      <c r="I267" s="68">
        <v>5</v>
      </c>
      <c r="J267" s="68">
        <v>0.2</v>
      </c>
      <c r="K267" s="68">
        <v>0</v>
      </c>
      <c r="L267" s="110">
        <f t="shared" si="53"/>
        <v>0</v>
      </c>
      <c r="M267" s="67">
        <f t="shared" si="54"/>
        <v>5499000</v>
      </c>
      <c r="N267" s="67">
        <f t="shared" si="55"/>
        <v>1000</v>
      </c>
      <c r="O267" s="145" t="s">
        <v>1511</v>
      </c>
      <c r="P267" s="514">
        <v>1</v>
      </c>
      <c r="Q267" s="487"/>
      <c r="R267" s="23"/>
      <c r="S267" s="23">
        <f t="shared" si="56"/>
        <v>275000</v>
      </c>
      <c r="T267" s="23">
        <f t="shared" si="57"/>
        <v>-274000</v>
      </c>
      <c r="U267" s="23">
        <f t="shared" si="58"/>
        <v>0</v>
      </c>
      <c r="V267" s="10">
        <f t="shared" si="59"/>
        <v>1100000</v>
      </c>
      <c r="W267" s="10">
        <f t="shared" si="49"/>
        <v>0</v>
      </c>
      <c r="X267" s="10">
        <f t="shared" si="60"/>
        <v>0</v>
      </c>
      <c r="Y267" s="9" t="b">
        <f t="shared" si="50"/>
        <v>1</v>
      </c>
    </row>
    <row r="268" spans="1:25" s="9" customFormat="1" ht="13.5" customHeight="1" x14ac:dyDescent="0.2">
      <c r="A268" s="64">
        <f t="shared" si="61"/>
        <v>264</v>
      </c>
      <c r="B268" s="204" t="s">
        <v>1513</v>
      </c>
      <c r="C268" s="163">
        <v>40438</v>
      </c>
      <c r="D268" s="175">
        <v>4700000</v>
      </c>
      <c r="E268" s="249"/>
      <c r="F268" s="67">
        <f t="shared" si="51"/>
        <v>4700000</v>
      </c>
      <c r="G268" s="73">
        <v>4699000</v>
      </c>
      <c r="H268" s="67">
        <f t="shared" si="52"/>
        <v>1000</v>
      </c>
      <c r="I268" s="68">
        <v>5</v>
      </c>
      <c r="J268" s="68">
        <v>0.2</v>
      </c>
      <c r="K268" s="68">
        <v>0</v>
      </c>
      <c r="L268" s="110">
        <f t="shared" si="53"/>
        <v>0</v>
      </c>
      <c r="M268" s="67">
        <f t="shared" si="54"/>
        <v>4699000</v>
      </c>
      <c r="N268" s="67">
        <f t="shared" si="55"/>
        <v>1000</v>
      </c>
      <c r="O268" s="145" t="s">
        <v>1514</v>
      </c>
      <c r="P268" s="514">
        <v>1</v>
      </c>
      <c r="Q268" s="487"/>
      <c r="R268" s="23"/>
      <c r="S268" s="23">
        <f t="shared" si="56"/>
        <v>235000</v>
      </c>
      <c r="T268" s="23">
        <f t="shared" si="57"/>
        <v>-234000</v>
      </c>
      <c r="U268" s="23">
        <f t="shared" si="58"/>
        <v>0</v>
      </c>
      <c r="V268" s="10">
        <f t="shared" si="59"/>
        <v>940000</v>
      </c>
      <c r="W268" s="10">
        <f t="shared" si="49"/>
        <v>0</v>
      </c>
      <c r="X268" s="10">
        <f t="shared" si="60"/>
        <v>0</v>
      </c>
      <c r="Y268" s="9" t="b">
        <f t="shared" si="50"/>
        <v>1</v>
      </c>
    </row>
    <row r="269" spans="1:25" s="9" customFormat="1" ht="13.5" customHeight="1" x14ac:dyDescent="0.2">
      <c r="A269" s="64">
        <f t="shared" si="61"/>
        <v>265</v>
      </c>
      <c r="B269" s="204" t="s">
        <v>1515</v>
      </c>
      <c r="C269" s="163">
        <v>40446</v>
      </c>
      <c r="D269" s="175">
        <v>10450000</v>
      </c>
      <c r="E269" s="249"/>
      <c r="F269" s="67">
        <f t="shared" si="51"/>
        <v>10450000</v>
      </c>
      <c r="G269" s="73">
        <v>10449000</v>
      </c>
      <c r="H269" s="67">
        <f t="shared" si="52"/>
        <v>1000</v>
      </c>
      <c r="I269" s="68">
        <v>5</v>
      </c>
      <c r="J269" s="68">
        <v>0.2</v>
      </c>
      <c r="K269" s="68">
        <v>0</v>
      </c>
      <c r="L269" s="110">
        <f t="shared" si="53"/>
        <v>0</v>
      </c>
      <c r="M269" s="67">
        <f t="shared" si="54"/>
        <v>10449000</v>
      </c>
      <c r="N269" s="67">
        <f t="shared" si="55"/>
        <v>1000</v>
      </c>
      <c r="O269" s="145" t="s">
        <v>1215</v>
      </c>
      <c r="P269" s="514">
        <v>1</v>
      </c>
      <c r="Q269" s="487"/>
      <c r="R269" s="23"/>
      <c r="S269" s="23">
        <f t="shared" si="56"/>
        <v>522500</v>
      </c>
      <c r="T269" s="23">
        <f t="shared" si="57"/>
        <v>-521500</v>
      </c>
      <c r="U269" s="23">
        <f t="shared" si="58"/>
        <v>0</v>
      </c>
      <c r="V269" s="10">
        <f t="shared" si="59"/>
        <v>2090000</v>
      </c>
      <c r="W269" s="10">
        <f t="shared" si="49"/>
        <v>0</v>
      </c>
      <c r="X269" s="10">
        <f t="shared" si="60"/>
        <v>0</v>
      </c>
      <c r="Y269" s="9" t="b">
        <f t="shared" si="50"/>
        <v>1</v>
      </c>
    </row>
    <row r="270" spans="1:25" s="9" customFormat="1" ht="13.5" customHeight="1" x14ac:dyDescent="0.2">
      <c r="A270" s="64">
        <f t="shared" si="61"/>
        <v>266</v>
      </c>
      <c r="B270" s="204" t="s">
        <v>1516</v>
      </c>
      <c r="C270" s="163">
        <v>40446</v>
      </c>
      <c r="D270" s="175">
        <v>8550000</v>
      </c>
      <c r="E270" s="249"/>
      <c r="F270" s="67">
        <f t="shared" si="51"/>
        <v>8550000</v>
      </c>
      <c r="G270" s="73">
        <v>8549000</v>
      </c>
      <c r="H270" s="67">
        <f t="shared" si="52"/>
        <v>1000</v>
      </c>
      <c r="I270" s="68">
        <v>5</v>
      </c>
      <c r="J270" s="68">
        <v>0.2</v>
      </c>
      <c r="K270" s="68">
        <v>0</v>
      </c>
      <c r="L270" s="110">
        <f t="shared" si="53"/>
        <v>0</v>
      </c>
      <c r="M270" s="67">
        <f t="shared" si="54"/>
        <v>8549000</v>
      </c>
      <c r="N270" s="67">
        <f t="shared" si="55"/>
        <v>1000</v>
      </c>
      <c r="O270" s="145" t="s">
        <v>1215</v>
      </c>
      <c r="P270" s="514">
        <v>1</v>
      </c>
      <c r="Q270" s="487"/>
      <c r="R270" s="23"/>
      <c r="S270" s="23">
        <f t="shared" si="56"/>
        <v>427500</v>
      </c>
      <c r="T270" s="23">
        <f t="shared" si="57"/>
        <v>-426500</v>
      </c>
      <c r="U270" s="23">
        <f t="shared" si="58"/>
        <v>0</v>
      </c>
      <c r="V270" s="10">
        <f t="shared" si="59"/>
        <v>1710000</v>
      </c>
      <c r="W270" s="10">
        <f t="shared" ref="W270:W301" si="62">ROUND(IF(H270&lt;=1000,0,V270/12*3),0)</f>
        <v>0</v>
      </c>
      <c r="X270" s="10">
        <f t="shared" si="60"/>
        <v>0</v>
      </c>
      <c r="Y270" s="9" t="b">
        <f t="shared" si="50"/>
        <v>1</v>
      </c>
    </row>
    <row r="271" spans="1:25" s="9" customFormat="1" ht="13.5" customHeight="1" x14ac:dyDescent="0.2">
      <c r="A271" s="64">
        <f t="shared" si="61"/>
        <v>267</v>
      </c>
      <c r="B271" s="204" t="s">
        <v>1517</v>
      </c>
      <c r="C271" s="163">
        <v>40446</v>
      </c>
      <c r="D271" s="175">
        <v>7125000</v>
      </c>
      <c r="E271" s="249"/>
      <c r="F271" s="67">
        <f t="shared" si="51"/>
        <v>7125000</v>
      </c>
      <c r="G271" s="73">
        <v>7124000</v>
      </c>
      <c r="H271" s="67">
        <f t="shared" si="52"/>
        <v>1000</v>
      </c>
      <c r="I271" s="68">
        <v>5</v>
      </c>
      <c r="J271" s="68">
        <v>0.2</v>
      </c>
      <c r="K271" s="68">
        <v>0</v>
      </c>
      <c r="L271" s="110">
        <f t="shared" si="53"/>
        <v>0</v>
      </c>
      <c r="M271" s="67">
        <f t="shared" si="54"/>
        <v>7124000</v>
      </c>
      <c r="N271" s="67">
        <f t="shared" si="55"/>
        <v>1000</v>
      </c>
      <c r="O271" s="145" t="s">
        <v>1215</v>
      </c>
      <c r="P271" s="514">
        <v>1</v>
      </c>
      <c r="Q271" s="487"/>
      <c r="R271" s="23"/>
      <c r="S271" s="23">
        <f t="shared" si="56"/>
        <v>356250</v>
      </c>
      <c r="T271" s="23">
        <f t="shared" si="57"/>
        <v>-355250</v>
      </c>
      <c r="U271" s="23">
        <f t="shared" si="58"/>
        <v>0</v>
      </c>
      <c r="V271" s="10">
        <f t="shared" si="59"/>
        <v>1425000</v>
      </c>
      <c r="W271" s="10">
        <f t="shared" si="62"/>
        <v>0</v>
      </c>
      <c r="X271" s="10">
        <f t="shared" si="60"/>
        <v>0</v>
      </c>
      <c r="Y271" s="9" t="b">
        <f t="shared" si="50"/>
        <v>1</v>
      </c>
    </row>
    <row r="272" spans="1:25" s="9" customFormat="1" ht="13.5" customHeight="1" x14ac:dyDescent="0.2">
      <c r="A272" s="64">
        <f t="shared" si="61"/>
        <v>268</v>
      </c>
      <c r="B272" s="77" t="s">
        <v>1518</v>
      </c>
      <c r="C272" s="148">
        <v>40602</v>
      </c>
      <c r="D272" s="372">
        <v>1450000</v>
      </c>
      <c r="E272" s="484"/>
      <c r="F272" s="67">
        <f t="shared" si="51"/>
        <v>1450000</v>
      </c>
      <c r="G272" s="73">
        <v>1449000</v>
      </c>
      <c r="H272" s="73">
        <f t="shared" si="52"/>
        <v>1000</v>
      </c>
      <c r="I272" s="74">
        <v>5</v>
      </c>
      <c r="J272" s="74">
        <v>0.2</v>
      </c>
      <c r="K272" s="68">
        <v>0</v>
      </c>
      <c r="L272" s="110">
        <f t="shared" si="53"/>
        <v>0</v>
      </c>
      <c r="M272" s="73">
        <f t="shared" si="54"/>
        <v>1449000</v>
      </c>
      <c r="N272" s="73">
        <f t="shared" si="55"/>
        <v>1000</v>
      </c>
      <c r="O272" s="233" t="s">
        <v>1492</v>
      </c>
      <c r="P272" s="233">
        <v>1</v>
      </c>
      <c r="Q272" s="487" t="s">
        <v>486</v>
      </c>
      <c r="R272" s="23"/>
      <c r="S272" s="23">
        <f t="shared" si="56"/>
        <v>72500</v>
      </c>
      <c r="T272" s="23">
        <f t="shared" si="57"/>
        <v>-71500</v>
      </c>
      <c r="U272" s="23">
        <f t="shared" si="58"/>
        <v>0</v>
      </c>
      <c r="V272" s="10">
        <f t="shared" si="59"/>
        <v>290000</v>
      </c>
      <c r="W272" s="10">
        <f t="shared" si="62"/>
        <v>0</v>
      </c>
      <c r="X272" s="10">
        <f t="shared" si="60"/>
        <v>0</v>
      </c>
      <c r="Y272" s="9" t="b">
        <f t="shared" si="50"/>
        <v>1</v>
      </c>
    </row>
    <row r="273" spans="1:25" s="9" customFormat="1" ht="13.5" customHeight="1" x14ac:dyDescent="0.2">
      <c r="A273" s="64">
        <f t="shared" si="61"/>
        <v>269</v>
      </c>
      <c r="B273" s="71" t="s">
        <v>1519</v>
      </c>
      <c r="C273" s="148">
        <v>40646</v>
      </c>
      <c r="D273" s="372">
        <v>1150000</v>
      </c>
      <c r="E273" s="484"/>
      <c r="F273" s="67">
        <f t="shared" si="51"/>
        <v>1150000</v>
      </c>
      <c r="G273" s="73">
        <v>1149000</v>
      </c>
      <c r="H273" s="73">
        <f t="shared" si="52"/>
        <v>1000</v>
      </c>
      <c r="I273" s="74">
        <v>5</v>
      </c>
      <c r="J273" s="74">
        <v>0.2</v>
      </c>
      <c r="K273" s="68">
        <v>0</v>
      </c>
      <c r="L273" s="110">
        <f t="shared" si="53"/>
        <v>0</v>
      </c>
      <c r="M273" s="73">
        <f t="shared" si="54"/>
        <v>1149000</v>
      </c>
      <c r="N273" s="73">
        <f t="shared" si="55"/>
        <v>1000</v>
      </c>
      <c r="O273" s="233" t="s">
        <v>427</v>
      </c>
      <c r="P273" s="233">
        <v>1</v>
      </c>
      <c r="Q273" s="487" t="s">
        <v>532</v>
      </c>
      <c r="R273" s="23"/>
      <c r="S273" s="23">
        <f t="shared" si="56"/>
        <v>57500</v>
      </c>
      <c r="T273" s="23">
        <f t="shared" si="57"/>
        <v>-56500</v>
      </c>
      <c r="U273" s="23">
        <f t="shared" si="58"/>
        <v>0</v>
      </c>
      <c r="V273" s="10">
        <f t="shared" si="59"/>
        <v>230000</v>
      </c>
      <c r="W273" s="10">
        <f t="shared" si="62"/>
        <v>0</v>
      </c>
      <c r="X273" s="10">
        <f t="shared" si="60"/>
        <v>0</v>
      </c>
      <c r="Y273" s="9" t="b">
        <f t="shared" si="50"/>
        <v>1</v>
      </c>
    </row>
    <row r="274" spans="1:25" s="9" customFormat="1" ht="13.5" customHeight="1" x14ac:dyDescent="0.2">
      <c r="A274" s="64">
        <f t="shared" si="61"/>
        <v>270</v>
      </c>
      <c r="B274" s="71" t="s">
        <v>1520</v>
      </c>
      <c r="C274" s="148">
        <v>40647</v>
      </c>
      <c r="D274" s="372">
        <v>2500000</v>
      </c>
      <c r="E274" s="484"/>
      <c r="F274" s="67">
        <f t="shared" si="51"/>
        <v>2500000</v>
      </c>
      <c r="G274" s="73">
        <v>2499000</v>
      </c>
      <c r="H274" s="73">
        <f t="shared" si="52"/>
        <v>1000</v>
      </c>
      <c r="I274" s="74">
        <v>5</v>
      </c>
      <c r="J274" s="74">
        <v>0.2</v>
      </c>
      <c r="K274" s="68">
        <v>0</v>
      </c>
      <c r="L274" s="110">
        <f t="shared" si="53"/>
        <v>0</v>
      </c>
      <c r="M274" s="73">
        <f t="shared" si="54"/>
        <v>2499000</v>
      </c>
      <c r="N274" s="73">
        <f t="shared" si="55"/>
        <v>1000</v>
      </c>
      <c r="O274" s="233" t="s">
        <v>1521</v>
      </c>
      <c r="P274" s="233">
        <v>1</v>
      </c>
      <c r="Q274" s="487" t="s">
        <v>1522</v>
      </c>
      <c r="R274" s="23"/>
      <c r="S274" s="23">
        <f t="shared" si="56"/>
        <v>125000</v>
      </c>
      <c r="T274" s="23">
        <f t="shared" si="57"/>
        <v>-124000</v>
      </c>
      <c r="U274" s="23">
        <f t="shared" si="58"/>
        <v>0</v>
      </c>
      <c r="V274" s="10">
        <f t="shared" si="59"/>
        <v>500000</v>
      </c>
      <c r="W274" s="10">
        <f t="shared" si="62"/>
        <v>0</v>
      </c>
      <c r="X274" s="10">
        <f t="shared" si="60"/>
        <v>0</v>
      </c>
      <c r="Y274" s="9" t="b">
        <f t="shared" si="50"/>
        <v>1</v>
      </c>
    </row>
    <row r="275" spans="1:25" s="9" customFormat="1" ht="13.5" customHeight="1" x14ac:dyDescent="0.2">
      <c r="A275" s="64">
        <f t="shared" si="61"/>
        <v>271</v>
      </c>
      <c r="B275" s="71" t="s">
        <v>1523</v>
      </c>
      <c r="C275" s="148">
        <v>40683</v>
      </c>
      <c r="D275" s="372">
        <v>14000000</v>
      </c>
      <c r="E275" s="484"/>
      <c r="F275" s="67">
        <f t="shared" si="51"/>
        <v>14000000</v>
      </c>
      <c r="G275" s="73">
        <v>13999000</v>
      </c>
      <c r="H275" s="73">
        <f t="shared" si="52"/>
        <v>1000</v>
      </c>
      <c r="I275" s="74">
        <v>5</v>
      </c>
      <c r="J275" s="74">
        <v>0.2</v>
      </c>
      <c r="K275" s="68">
        <v>0</v>
      </c>
      <c r="L275" s="110">
        <f t="shared" si="53"/>
        <v>0</v>
      </c>
      <c r="M275" s="73">
        <f t="shared" si="54"/>
        <v>13999000</v>
      </c>
      <c r="N275" s="73">
        <f t="shared" si="55"/>
        <v>1000</v>
      </c>
      <c r="O275" s="233" t="s">
        <v>1524</v>
      </c>
      <c r="P275" s="233">
        <v>1</v>
      </c>
      <c r="Q275" s="487" t="s">
        <v>1525</v>
      </c>
      <c r="R275" s="23"/>
      <c r="S275" s="23">
        <f t="shared" si="56"/>
        <v>700000</v>
      </c>
      <c r="T275" s="23">
        <f t="shared" si="57"/>
        <v>-699000</v>
      </c>
      <c r="U275" s="23">
        <f t="shared" si="58"/>
        <v>0</v>
      </c>
      <c r="V275" s="10">
        <f t="shared" si="59"/>
        <v>2800000</v>
      </c>
      <c r="W275" s="10">
        <f t="shared" si="62"/>
        <v>0</v>
      </c>
      <c r="X275" s="10">
        <f t="shared" si="60"/>
        <v>0</v>
      </c>
      <c r="Y275" s="9" t="b">
        <f t="shared" si="50"/>
        <v>1</v>
      </c>
    </row>
    <row r="276" spans="1:25" s="9" customFormat="1" ht="13.5" customHeight="1" x14ac:dyDescent="0.2">
      <c r="A276" s="64">
        <f t="shared" si="61"/>
        <v>272</v>
      </c>
      <c r="B276" s="71" t="s">
        <v>1526</v>
      </c>
      <c r="C276" s="148">
        <v>40683</v>
      </c>
      <c r="D276" s="372">
        <v>10000000</v>
      </c>
      <c r="E276" s="484"/>
      <c r="F276" s="67">
        <f t="shared" si="51"/>
        <v>10000000</v>
      </c>
      <c r="G276" s="73">
        <v>9999000</v>
      </c>
      <c r="H276" s="73">
        <f t="shared" si="52"/>
        <v>1000</v>
      </c>
      <c r="I276" s="74">
        <v>5</v>
      </c>
      <c r="J276" s="74">
        <v>0.2</v>
      </c>
      <c r="K276" s="68">
        <v>0</v>
      </c>
      <c r="L276" s="110">
        <f t="shared" si="53"/>
        <v>0</v>
      </c>
      <c r="M276" s="73">
        <f t="shared" si="54"/>
        <v>9999000</v>
      </c>
      <c r="N276" s="73">
        <f t="shared" si="55"/>
        <v>1000</v>
      </c>
      <c r="O276" s="233" t="s">
        <v>1527</v>
      </c>
      <c r="P276" s="233">
        <v>1</v>
      </c>
      <c r="Q276" s="487" t="s">
        <v>1525</v>
      </c>
      <c r="R276" s="23"/>
      <c r="S276" s="23">
        <f t="shared" si="56"/>
        <v>500000</v>
      </c>
      <c r="T276" s="23">
        <f t="shared" si="57"/>
        <v>-499000</v>
      </c>
      <c r="U276" s="23">
        <f t="shared" si="58"/>
        <v>0</v>
      </c>
      <c r="V276" s="10">
        <f t="shared" si="59"/>
        <v>2000000</v>
      </c>
      <c r="W276" s="10">
        <f t="shared" si="62"/>
        <v>0</v>
      </c>
      <c r="X276" s="10">
        <f t="shared" si="60"/>
        <v>0</v>
      </c>
      <c r="Y276" s="9" t="b">
        <f t="shared" si="50"/>
        <v>1</v>
      </c>
    </row>
    <row r="277" spans="1:25" s="9" customFormat="1" ht="13.5" customHeight="1" x14ac:dyDescent="0.2">
      <c r="A277" s="64">
        <f t="shared" si="61"/>
        <v>273</v>
      </c>
      <c r="B277" s="71" t="s">
        <v>1528</v>
      </c>
      <c r="C277" s="148">
        <v>40683</v>
      </c>
      <c r="D277" s="372">
        <v>9000000</v>
      </c>
      <c r="E277" s="484"/>
      <c r="F277" s="67">
        <f t="shared" si="51"/>
        <v>9000000</v>
      </c>
      <c r="G277" s="73">
        <v>8999000</v>
      </c>
      <c r="H277" s="73">
        <f t="shared" si="52"/>
        <v>1000</v>
      </c>
      <c r="I277" s="74">
        <v>5</v>
      </c>
      <c r="J277" s="74">
        <v>0.2</v>
      </c>
      <c r="K277" s="68">
        <v>0</v>
      </c>
      <c r="L277" s="110">
        <f t="shared" si="53"/>
        <v>0</v>
      </c>
      <c r="M277" s="73">
        <f t="shared" si="54"/>
        <v>8999000</v>
      </c>
      <c r="N277" s="73">
        <f t="shared" si="55"/>
        <v>1000</v>
      </c>
      <c r="O277" s="233" t="s">
        <v>1524</v>
      </c>
      <c r="P277" s="233">
        <v>1</v>
      </c>
      <c r="Q277" s="487" t="s">
        <v>1525</v>
      </c>
      <c r="R277" s="23"/>
      <c r="S277" s="23">
        <f t="shared" si="56"/>
        <v>450000</v>
      </c>
      <c r="T277" s="23">
        <f t="shared" si="57"/>
        <v>-449000</v>
      </c>
      <c r="U277" s="23">
        <f t="shared" si="58"/>
        <v>0</v>
      </c>
      <c r="V277" s="10">
        <f t="shared" si="59"/>
        <v>1800000</v>
      </c>
      <c r="W277" s="10">
        <f t="shared" si="62"/>
        <v>0</v>
      </c>
      <c r="X277" s="10">
        <f t="shared" si="60"/>
        <v>0</v>
      </c>
      <c r="Y277" s="9" t="b">
        <f t="shared" si="50"/>
        <v>1</v>
      </c>
    </row>
    <row r="278" spans="1:25" s="9" customFormat="1" ht="13.5" customHeight="1" x14ac:dyDescent="0.2">
      <c r="A278" s="64">
        <f t="shared" si="61"/>
        <v>274</v>
      </c>
      <c r="B278" s="71" t="s">
        <v>1529</v>
      </c>
      <c r="C278" s="148">
        <v>40683</v>
      </c>
      <c r="D278" s="372">
        <v>7700000</v>
      </c>
      <c r="E278" s="484"/>
      <c r="F278" s="67">
        <f t="shared" si="51"/>
        <v>7700000</v>
      </c>
      <c r="G278" s="73">
        <v>7699000</v>
      </c>
      <c r="H278" s="73">
        <f t="shared" si="52"/>
        <v>1000</v>
      </c>
      <c r="I278" s="74">
        <v>5</v>
      </c>
      <c r="J278" s="74">
        <v>0.2</v>
      </c>
      <c r="K278" s="68">
        <v>0</v>
      </c>
      <c r="L278" s="110">
        <f t="shared" si="53"/>
        <v>0</v>
      </c>
      <c r="M278" s="73">
        <f t="shared" si="54"/>
        <v>7699000</v>
      </c>
      <c r="N278" s="73">
        <f t="shared" si="55"/>
        <v>1000</v>
      </c>
      <c r="O278" s="233" t="s">
        <v>1524</v>
      </c>
      <c r="P278" s="233">
        <v>1</v>
      </c>
      <c r="Q278" s="487" t="s">
        <v>1525</v>
      </c>
      <c r="R278" s="23"/>
      <c r="S278" s="23">
        <f t="shared" si="56"/>
        <v>385000</v>
      </c>
      <c r="T278" s="23">
        <f t="shared" si="57"/>
        <v>-384000</v>
      </c>
      <c r="U278" s="23">
        <f t="shared" si="58"/>
        <v>0</v>
      </c>
      <c r="V278" s="10">
        <f t="shared" si="59"/>
        <v>1540000</v>
      </c>
      <c r="W278" s="10">
        <f t="shared" si="62"/>
        <v>0</v>
      </c>
      <c r="X278" s="10">
        <f t="shared" si="60"/>
        <v>0</v>
      </c>
      <c r="Y278" s="9" t="b">
        <f t="shared" si="50"/>
        <v>1</v>
      </c>
    </row>
    <row r="279" spans="1:25" s="9" customFormat="1" ht="13.5" customHeight="1" x14ac:dyDescent="0.2">
      <c r="A279" s="64">
        <f t="shared" si="61"/>
        <v>275</v>
      </c>
      <c r="B279" s="71" t="s">
        <v>1530</v>
      </c>
      <c r="C279" s="148">
        <v>40683</v>
      </c>
      <c r="D279" s="372">
        <v>7300000</v>
      </c>
      <c r="E279" s="484"/>
      <c r="F279" s="67">
        <f t="shared" si="51"/>
        <v>7300000</v>
      </c>
      <c r="G279" s="73">
        <v>7299000</v>
      </c>
      <c r="H279" s="73">
        <f t="shared" si="52"/>
        <v>1000</v>
      </c>
      <c r="I279" s="74">
        <v>5</v>
      </c>
      <c r="J279" s="74">
        <v>0.2</v>
      </c>
      <c r="K279" s="68">
        <v>0</v>
      </c>
      <c r="L279" s="110">
        <f t="shared" si="53"/>
        <v>0</v>
      </c>
      <c r="M279" s="73">
        <f t="shared" si="54"/>
        <v>7299000</v>
      </c>
      <c r="N279" s="73">
        <f t="shared" si="55"/>
        <v>1000</v>
      </c>
      <c r="O279" s="233" t="s">
        <v>1524</v>
      </c>
      <c r="P279" s="233">
        <v>1</v>
      </c>
      <c r="Q279" s="487" t="s">
        <v>1525</v>
      </c>
      <c r="R279" s="23"/>
      <c r="S279" s="23">
        <f t="shared" si="56"/>
        <v>365000</v>
      </c>
      <c r="T279" s="23">
        <f t="shared" si="57"/>
        <v>-364000</v>
      </c>
      <c r="U279" s="23">
        <f t="shared" si="58"/>
        <v>0</v>
      </c>
      <c r="V279" s="10">
        <f t="shared" si="59"/>
        <v>1460000</v>
      </c>
      <c r="W279" s="10">
        <f t="shared" si="62"/>
        <v>0</v>
      </c>
      <c r="X279" s="10">
        <f t="shared" si="60"/>
        <v>0</v>
      </c>
      <c r="Y279" s="9" t="b">
        <f t="shared" si="50"/>
        <v>1</v>
      </c>
    </row>
    <row r="280" spans="1:25" s="9" customFormat="1" ht="13.5" customHeight="1" x14ac:dyDescent="0.2">
      <c r="A280" s="64">
        <f t="shared" si="61"/>
        <v>276</v>
      </c>
      <c r="B280" s="71" t="s">
        <v>1531</v>
      </c>
      <c r="C280" s="148">
        <v>40780</v>
      </c>
      <c r="D280" s="372">
        <v>8900000</v>
      </c>
      <c r="E280" s="484"/>
      <c r="F280" s="67">
        <f t="shared" si="51"/>
        <v>8900000</v>
      </c>
      <c r="G280" s="73">
        <v>8899000</v>
      </c>
      <c r="H280" s="73">
        <f t="shared" si="52"/>
        <v>1000</v>
      </c>
      <c r="I280" s="74">
        <v>5</v>
      </c>
      <c r="J280" s="74">
        <v>0.2</v>
      </c>
      <c r="K280" s="68">
        <v>0</v>
      </c>
      <c r="L280" s="110">
        <f t="shared" si="53"/>
        <v>0</v>
      </c>
      <c r="M280" s="73">
        <f t="shared" si="54"/>
        <v>8899000</v>
      </c>
      <c r="N280" s="73">
        <f t="shared" si="55"/>
        <v>1000</v>
      </c>
      <c r="O280" s="233" t="s">
        <v>1511</v>
      </c>
      <c r="P280" s="233">
        <v>1</v>
      </c>
      <c r="Q280" s="487"/>
      <c r="R280" s="23"/>
      <c r="S280" s="23">
        <f t="shared" si="56"/>
        <v>445000</v>
      </c>
      <c r="T280" s="23">
        <f t="shared" si="57"/>
        <v>-444000</v>
      </c>
      <c r="U280" s="23">
        <f t="shared" si="58"/>
        <v>0</v>
      </c>
      <c r="V280" s="10">
        <f t="shared" si="59"/>
        <v>1780000</v>
      </c>
      <c r="W280" s="10">
        <f t="shared" si="62"/>
        <v>0</v>
      </c>
      <c r="X280" s="10">
        <f t="shared" si="60"/>
        <v>0</v>
      </c>
      <c r="Y280" s="9" t="b">
        <f t="shared" si="50"/>
        <v>1</v>
      </c>
    </row>
    <row r="281" spans="1:25" s="9" customFormat="1" ht="13.5" customHeight="1" x14ac:dyDescent="0.2">
      <c r="A281" s="64">
        <f t="shared" si="61"/>
        <v>277</v>
      </c>
      <c r="B281" s="71" t="s">
        <v>1532</v>
      </c>
      <c r="C281" s="148">
        <v>40780</v>
      </c>
      <c r="D281" s="372">
        <v>4900000</v>
      </c>
      <c r="E281" s="484"/>
      <c r="F281" s="67">
        <f t="shared" si="51"/>
        <v>4900000</v>
      </c>
      <c r="G281" s="73">
        <v>4899000</v>
      </c>
      <c r="H281" s="73">
        <f t="shared" si="52"/>
        <v>1000</v>
      </c>
      <c r="I281" s="74">
        <v>5</v>
      </c>
      <c r="J281" s="74">
        <v>0.2</v>
      </c>
      <c r="K281" s="68">
        <v>0</v>
      </c>
      <c r="L281" s="110">
        <f t="shared" si="53"/>
        <v>0</v>
      </c>
      <c r="M281" s="73">
        <f t="shared" si="54"/>
        <v>4899000</v>
      </c>
      <c r="N281" s="73">
        <f t="shared" si="55"/>
        <v>1000</v>
      </c>
      <c r="O281" s="233" t="s">
        <v>1511</v>
      </c>
      <c r="P281" s="233">
        <v>1</v>
      </c>
      <c r="Q281" s="487"/>
      <c r="R281" s="23"/>
      <c r="S281" s="23">
        <f t="shared" si="56"/>
        <v>245000</v>
      </c>
      <c r="T281" s="23">
        <f t="shared" si="57"/>
        <v>-244000</v>
      </c>
      <c r="U281" s="23">
        <f t="shared" si="58"/>
        <v>0</v>
      </c>
      <c r="V281" s="10">
        <f t="shared" si="59"/>
        <v>980000</v>
      </c>
      <c r="W281" s="10">
        <f t="shared" si="62"/>
        <v>0</v>
      </c>
      <c r="X281" s="10">
        <f t="shared" si="60"/>
        <v>0</v>
      </c>
      <c r="Y281" s="9" t="b">
        <f t="shared" si="50"/>
        <v>1</v>
      </c>
    </row>
    <row r="282" spans="1:25" s="9" customFormat="1" ht="13.5" customHeight="1" x14ac:dyDescent="0.2">
      <c r="A282" s="64">
        <f t="shared" si="61"/>
        <v>278</v>
      </c>
      <c r="B282" s="71" t="s">
        <v>1533</v>
      </c>
      <c r="C282" s="148">
        <v>40780</v>
      </c>
      <c r="D282" s="372">
        <v>9300000</v>
      </c>
      <c r="E282" s="484"/>
      <c r="F282" s="67">
        <f t="shared" si="51"/>
        <v>9300000</v>
      </c>
      <c r="G282" s="73">
        <v>9299000</v>
      </c>
      <c r="H282" s="73">
        <f t="shared" si="52"/>
        <v>1000</v>
      </c>
      <c r="I282" s="74">
        <v>5</v>
      </c>
      <c r="J282" s="74">
        <v>0.2</v>
      </c>
      <c r="K282" s="68">
        <v>0</v>
      </c>
      <c r="L282" s="110">
        <f t="shared" si="53"/>
        <v>0</v>
      </c>
      <c r="M282" s="73">
        <f t="shared" si="54"/>
        <v>9299000</v>
      </c>
      <c r="N282" s="73">
        <f t="shared" si="55"/>
        <v>1000</v>
      </c>
      <c r="O282" s="233" t="s">
        <v>357</v>
      </c>
      <c r="P282" s="233">
        <v>1</v>
      </c>
      <c r="Q282" s="487"/>
      <c r="R282" s="23"/>
      <c r="S282" s="23">
        <f t="shared" si="56"/>
        <v>465000</v>
      </c>
      <c r="T282" s="23">
        <f t="shared" si="57"/>
        <v>-464000</v>
      </c>
      <c r="U282" s="23">
        <f t="shared" si="58"/>
        <v>0</v>
      </c>
      <c r="V282" s="10">
        <f t="shared" si="59"/>
        <v>1860000</v>
      </c>
      <c r="W282" s="10">
        <f t="shared" si="62"/>
        <v>0</v>
      </c>
      <c r="X282" s="10">
        <f t="shared" si="60"/>
        <v>0</v>
      </c>
      <c r="Y282" s="9" t="b">
        <f t="shared" ref="Y282:Y345" si="63">W282=L282</f>
        <v>1</v>
      </c>
    </row>
    <row r="283" spans="1:25" s="9" customFormat="1" ht="13.5" customHeight="1" x14ac:dyDescent="0.2">
      <c r="A283" s="64">
        <f t="shared" si="61"/>
        <v>279</v>
      </c>
      <c r="B283" s="71" t="s">
        <v>1534</v>
      </c>
      <c r="C283" s="148">
        <v>40786</v>
      </c>
      <c r="D283" s="372">
        <v>13000000</v>
      </c>
      <c r="E283" s="484"/>
      <c r="F283" s="67">
        <f t="shared" si="51"/>
        <v>13000000</v>
      </c>
      <c r="G283" s="73">
        <v>12999000</v>
      </c>
      <c r="H283" s="73">
        <f t="shared" si="52"/>
        <v>1000</v>
      </c>
      <c r="I283" s="74">
        <v>5</v>
      </c>
      <c r="J283" s="74">
        <v>0.2</v>
      </c>
      <c r="K283" s="68">
        <v>0</v>
      </c>
      <c r="L283" s="110">
        <f t="shared" si="53"/>
        <v>0</v>
      </c>
      <c r="M283" s="73">
        <f t="shared" si="54"/>
        <v>12999000</v>
      </c>
      <c r="N283" s="73">
        <f t="shared" si="55"/>
        <v>1000</v>
      </c>
      <c r="O283" s="233" t="s">
        <v>1290</v>
      </c>
      <c r="P283" s="233">
        <v>1</v>
      </c>
      <c r="Q283" s="487"/>
      <c r="R283" s="23"/>
      <c r="S283" s="23">
        <f t="shared" si="56"/>
        <v>650000</v>
      </c>
      <c r="T283" s="23">
        <f t="shared" si="57"/>
        <v>-649000</v>
      </c>
      <c r="U283" s="23">
        <f t="shared" si="58"/>
        <v>0</v>
      </c>
      <c r="V283" s="10">
        <f t="shared" si="59"/>
        <v>2600000</v>
      </c>
      <c r="W283" s="10">
        <f t="shared" si="62"/>
        <v>0</v>
      </c>
      <c r="X283" s="10">
        <f t="shared" si="60"/>
        <v>0</v>
      </c>
      <c r="Y283" s="9" t="b">
        <f t="shared" si="63"/>
        <v>1</v>
      </c>
    </row>
    <row r="284" spans="1:25" s="9" customFormat="1" ht="13.5" customHeight="1" x14ac:dyDescent="0.2">
      <c r="A284" s="64">
        <f t="shared" si="61"/>
        <v>280</v>
      </c>
      <c r="B284" s="71" t="s">
        <v>1535</v>
      </c>
      <c r="C284" s="148">
        <v>40812</v>
      </c>
      <c r="D284" s="372">
        <v>3705000</v>
      </c>
      <c r="E284" s="484"/>
      <c r="F284" s="67">
        <f t="shared" si="51"/>
        <v>3705000</v>
      </c>
      <c r="G284" s="73">
        <v>3704000</v>
      </c>
      <c r="H284" s="73">
        <f t="shared" si="52"/>
        <v>1000</v>
      </c>
      <c r="I284" s="74">
        <v>5</v>
      </c>
      <c r="J284" s="74">
        <v>0.2</v>
      </c>
      <c r="K284" s="68">
        <v>0</v>
      </c>
      <c r="L284" s="110">
        <f t="shared" si="53"/>
        <v>0</v>
      </c>
      <c r="M284" s="73">
        <f t="shared" si="54"/>
        <v>3704000</v>
      </c>
      <c r="N284" s="73">
        <f t="shared" si="55"/>
        <v>1000</v>
      </c>
      <c r="O284" s="233" t="s">
        <v>819</v>
      </c>
      <c r="P284" s="233">
        <v>3</v>
      </c>
      <c r="Q284" s="487"/>
      <c r="R284" s="23"/>
      <c r="S284" s="23">
        <f t="shared" si="56"/>
        <v>185250</v>
      </c>
      <c r="T284" s="23">
        <f t="shared" si="57"/>
        <v>-184250</v>
      </c>
      <c r="U284" s="23">
        <f t="shared" si="58"/>
        <v>0</v>
      </c>
      <c r="V284" s="10">
        <f t="shared" si="59"/>
        <v>741000</v>
      </c>
      <c r="W284" s="10">
        <f t="shared" si="62"/>
        <v>0</v>
      </c>
      <c r="X284" s="10">
        <f t="shared" si="60"/>
        <v>0</v>
      </c>
      <c r="Y284" s="9" t="b">
        <f t="shared" si="63"/>
        <v>1</v>
      </c>
    </row>
    <row r="285" spans="1:25" s="9" customFormat="1" ht="13.5" customHeight="1" x14ac:dyDescent="0.2">
      <c r="A285" s="64">
        <f t="shared" si="61"/>
        <v>281</v>
      </c>
      <c r="B285" s="71" t="s">
        <v>1536</v>
      </c>
      <c r="C285" s="148">
        <v>40816</v>
      </c>
      <c r="D285" s="372">
        <v>15000000</v>
      </c>
      <c r="E285" s="484"/>
      <c r="F285" s="73">
        <f t="shared" si="51"/>
        <v>15000000</v>
      </c>
      <c r="G285" s="73">
        <v>14999000</v>
      </c>
      <c r="H285" s="73">
        <f t="shared" si="52"/>
        <v>1000</v>
      </c>
      <c r="I285" s="74">
        <v>5</v>
      </c>
      <c r="J285" s="74">
        <v>0.2</v>
      </c>
      <c r="K285" s="68">
        <v>0</v>
      </c>
      <c r="L285" s="110">
        <f t="shared" si="53"/>
        <v>0</v>
      </c>
      <c r="M285" s="73">
        <f t="shared" si="54"/>
        <v>14999000</v>
      </c>
      <c r="N285" s="73">
        <f t="shared" si="55"/>
        <v>1000</v>
      </c>
      <c r="O285" s="233" t="s">
        <v>1290</v>
      </c>
      <c r="P285" s="233">
        <v>1</v>
      </c>
      <c r="Q285" s="487"/>
      <c r="R285" s="23"/>
      <c r="S285" s="23">
        <f t="shared" si="56"/>
        <v>750000</v>
      </c>
      <c r="T285" s="23">
        <f t="shared" si="57"/>
        <v>-749000</v>
      </c>
      <c r="U285" s="23">
        <f t="shared" si="58"/>
        <v>0</v>
      </c>
      <c r="V285" s="10">
        <f t="shared" si="59"/>
        <v>3000000</v>
      </c>
      <c r="W285" s="10">
        <f t="shared" si="62"/>
        <v>0</v>
      </c>
      <c r="X285" s="10">
        <f t="shared" si="60"/>
        <v>0</v>
      </c>
      <c r="Y285" s="9" t="b">
        <f t="shared" si="63"/>
        <v>1</v>
      </c>
    </row>
    <row r="286" spans="1:25" s="9" customFormat="1" ht="13.5" customHeight="1" x14ac:dyDescent="0.2">
      <c r="A286" s="64">
        <f t="shared" si="61"/>
        <v>282</v>
      </c>
      <c r="B286" s="515" t="s">
        <v>1537</v>
      </c>
      <c r="C286" s="183">
        <v>40841</v>
      </c>
      <c r="D286" s="359">
        <v>3500000</v>
      </c>
      <c r="E286" s="508"/>
      <c r="F286" s="184">
        <f t="shared" si="51"/>
        <v>3500000</v>
      </c>
      <c r="G286" s="271">
        <v>3499000</v>
      </c>
      <c r="H286" s="271">
        <f t="shared" si="52"/>
        <v>1000</v>
      </c>
      <c r="I286" s="186">
        <v>5</v>
      </c>
      <c r="J286" s="186">
        <v>0.2</v>
      </c>
      <c r="K286" s="68">
        <v>0</v>
      </c>
      <c r="L286" s="110">
        <f t="shared" si="53"/>
        <v>0</v>
      </c>
      <c r="M286" s="184">
        <f t="shared" si="54"/>
        <v>3499000</v>
      </c>
      <c r="N286" s="184">
        <f t="shared" si="55"/>
        <v>1000</v>
      </c>
      <c r="O286" s="516" t="s">
        <v>1511</v>
      </c>
      <c r="P286" s="517">
        <v>1</v>
      </c>
      <c r="Q286" s="509"/>
      <c r="R286" s="23"/>
      <c r="S286" s="23">
        <f t="shared" si="56"/>
        <v>175000</v>
      </c>
      <c r="T286" s="23">
        <f t="shared" si="57"/>
        <v>-174000</v>
      </c>
      <c r="U286" s="23">
        <f t="shared" si="58"/>
        <v>0</v>
      </c>
      <c r="V286" s="10">
        <f t="shared" si="59"/>
        <v>700000</v>
      </c>
      <c r="W286" s="10">
        <f t="shared" si="62"/>
        <v>0</v>
      </c>
      <c r="X286" s="10">
        <f t="shared" si="60"/>
        <v>0</v>
      </c>
      <c r="Y286" s="9" t="b">
        <f t="shared" si="63"/>
        <v>1</v>
      </c>
    </row>
    <row r="287" spans="1:25" s="9" customFormat="1" ht="13.5" customHeight="1" x14ac:dyDescent="0.2">
      <c r="A287" s="64">
        <f t="shared" si="61"/>
        <v>283</v>
      </c>
      <c r="B287" s="515" t="s">
        <v>1538</v>
      </c>
      <c r="C287" s="183">
        <v>40850</v>
      </c>
      <c r="D287" s="359">
        <v>320000</v>
      </c>
      <c r="E287" s="508"/>
      <c r="F287" s="184">
        <f t="shared" si="51"/>
        <v>320000</v>
      </c>
      <c r="G287" s="271">
        <v>319000</v>
      </c>
      <c r="H287" s="271">
        <f t="shared" si="52"/>
        <v>1000</v>
      </c>
      <c r="I287" s="186">
        <v>5</v>
      </c>
      <c r="J287" s="186">
        <v>0.2</v>
      </c>
      <c r="K287" s="68">
        <v>0</v>
      </c>
      <c r="L287" s="110">
        <f t="shared" si="53"/>
        <v>0</v>
      </c>
      <c r="M287" s="184">
        <f t="shared" si="54"/>
        <v>319000</v>
      </c>
      <c r="N287" s="184">
        <f t="shared" si="55"/>
        <v>1000</v>
      </c>
      <c r="O287" s="516" t="s">
        <v>1539</v>
      </c>
      <c r="P287" s="517">
        <v>1</v>
      </c>
      <c r="Q287" s="509" t="s">
        <v>1540</v>
      </c>
      <c r="R287" s="23"/>
      <c r="S287" s="23">
        <f t="shared" si="56"/>
        <v>16000</v>
      </c>
      <c r="T287" s="23">
        <f t="shared" si="57"/>
        <v>-15000</v>
      </c>
      <c r="U287" s="23">
        <f t="shared" si="58"/>
        <v>0</v>
      </c>
      <c r="V287" s="10">
        <f t="shared" si="59"/>
        <v>64000</v>
      </c>
      <c r="W287" s="10">
        <f t="shared" si="62"/>
        <v>0</v>
      </c>
      <c r="X287" s="10">
        <f t="shared" si="60"/>
        <v>0</v>
      </c>
      <c r="Y287" s="9" t="b">
        <f t="shared" si="63"/>
        <v>1</v>
      </c>
    </row>
    <row r="288" spans="1:25" s="9" customFormat="1" ht="13.5" customHeight="1" x14ac:dyDescent="0.2">
      <c r="A288" s="64">
        <f t="shared" si="61"/>
        <v>284</v>
      </c>
      <c r="B288" s="515" t="s">
        <v>1538</v>
      </c>
      <c r="C288" s="183">
        <v>40868</v>
      </c>
      <c r="D288" s="359">
        <v>280000</v>
      </c>
      <c r="E288" s="508"/>
      <c r="F288" s="184">
        <f t="shared" si="51"/>
        <v>280000</v>
      </c>
      <c r="G288" s="271">
        <v>279000</v>
      </c>
      <c r="H288" s="271">
        <f t="shared" si="52"/>
        <v>1000</v>
      </c>
      <c r="I288" s="186">
        <v>5</v>
      </c>
      <c r="J288" s="186">
        <v>0.2</v>
      </c>
      <c r="K288" s="68">
        <v>0</v>
      </c>
      <c r="L288" s="110">
        <f t="shared" si="53"/>
        <v>0</v>
      </c>
      <c r="M288" s="184">
        <f t="shared" si="54"/>
        <v>279000</v>
      </c>
      <c r="N288" s="184">
        <f t="shared" si="55"/>
        <v>1000</v>
      </c>
      <c r="O288" s="516" t="s">
        <v>1541</v>
      </c>
      <c r="P288" s="517">
        <v>1</v>
      </c>
      <c r="Q288" s="509" t="s">
        <v>486</v>
      </c>
      <c r="R288" s="23"/>
      <c r="S288" s="23">
        <f t="shared" si="56"/>
        <v>14000</v>
      </c>
      <c r="T288" s="23">
        <f t="shared" si="57"/>
        <v>-13000</v>
      </c>
      <c r="U288" s="23">
        <f t="shared" si="58"/>
        <v>0</v>
      </c>
      <c r="V288" s="10">
        <f t="shared" si="59"/>
        <v>56000</v>
      </c>
      <c r="W288" s="10">
        <f t="shared" si="62"/>
        <v>0</v>
      </c>
      <c r="X288" s="10">
        <f t="shared" si="60"/>
        <v>0</v>
      </c>
      <c r="Y288" s="9" t="b">
        <f t="shared" si="63"/>
        <v>1</v>
      </c>
    </row>
    <row r="289" spans="1:25" s="9" customFormat="1" ht="13.5" customHeight="1" x14ac:dyDescent="0.2">
      <c r="A289" s="64">
        <f t="shared" si="61"/>
        <v>285</v>
      </c>
      <c r="B289" s="515" t="s">
        <v>1542</v>
      </c>
      <c r="C289" s="183">
        <v>40902</v>
      </c>
      <c r="D289" s="359">
        <v>10000000</v>
      </c>
      <c r="E289" s="508"/>
      <c r="F289" s="184">
        <f t="shared" si="51"/>
        <v>10000000</v>
      </c>
      <c r="G289" s="271">
        <v>9999000</v>
      </c>
      <c r="H289" s="271">
        <f t="shared" si="52"/>
        <v>1000</v>
      </c>
      <c r="I289" s="186">
        <v>5</v>
      </c>
      <c r="J289" s="186">
        <v>0.2</v>
      </c>
      <c r="K289" s="68">
        <v>0</v>
      </c>
      <c r="L289" s="110">
        <f t="shared" si="53"/>
        <v>0</v>
      </c>
      <c r="M289" s="184">
        <f t="shared" si="54"/>
        <v>9999000</v>
      </c>
      <c r="N289" s="184">
        <f t="shared" si="55"/>
        <v>1000</v>
      </c>
      <c r="O289" s="516" t="s">
        <v>1543</v>
      </c>
      <c r="P289" s="517">
        <v>1</v>
      </c>
      <c r="Q289" s="509"/>
      <c r="R289" s="23"/>
      <c r="S289" s="23">
        <f t="shared" si="56"/>
        <v>500000</v>
      </c>
      <c r="T289" s="23">
        <f t="shared" si="57"/>
        <v>-499000</v>
      </c>
      <c r="U289" s="23">
        <f t="shared" si="58"/>
        <v>0</v>
      </c>
      <c r="V289" s="10">
        <f t="shared" si="59"/>
        <v>2000000</v>
      </c>
      <c r="W289" s="10">
        <f t="shared" si="62"/>
        <v>0</v>
      </c>
      <c r="X289" s="10">
        <f t="shared" si="60"/>
        <v>0</v>
      </c>
      <c r="Y289" s="9" t="b">
        <f t="shared" si="63"/>
        <v>1</v>
      </c>
    </row>
    <row r="290" spans="1:25" s="9" customFormat="1" ht="13.5" customHeight="1" x14ac:dyDescent="0.2">
      <c r="A290" s="64">
        <f t="shared" si="61"/>
        <v>286</v>
      </c>
      <c r="B290" s="515" t="s">
        <v>1544</v>
      </c>
      <c r="C290" s="183">
        <v>40926</v>
      </c>
      <c r="D290" s="359">
        <v>11600000</v>
      </c>
      <c r="E290" s="508"/>
      <c r="F290" s="184">
        <f t="shared" si="51"/>
        <v>11600000</v>
      </c>
      <c r="G290" s="271">
        <v>11599000</v>
      </c>
      <c r="H290" s="271">
        <f t="shared" si="52"/>
        <v>1000</v>
      </c>
      <c r="I290" s="186">
        <v>5</v>
      </c>
      <c r="J290" s="186">
        <v>0.2</v>
      </c>
      <c r="K290" s="68">
        <v>0</v>
      </c>
      <c r="L290" s="110">
        <f t="shared" si="53"/>
        <v>0</v>
      </c>
      <c r="M290" s="184">
        <f t="shared" si="54"/>
        <v>11599000</v>
      </c>
      <c r="N290" s="184">
        <f t="shared" si="55"/>
        <v>1000</v>
      </c>
      <c r="O290" s="516" t="s">
        <v>1290</v>
      </c>
      <c r="P290" s="517">
        <v>1</v>
      </c>
      <c r="Q290" s="509"/>
      <c r="R290" s="23"/>
      <c r="S290" s="23">
        <f t="shared" ref="S290:S353" si="64">F290*0.05</f>
        <v>580000</v>
      </c>
      <c r="T290" s="23">
        <f t="shared" si="57"/>
        <v>-579000</v>
      </c>
      <c r="U290" s="23">
        <f t="shared" si="58"/>
        <v>0</v>
      </c>
      <c r="V290" s="10">
        <f t="shared" si="59"/>
        <v>2320000</v>
      </c>
      <c r="W290" s="10">
        <f t="shared" si="62"/>
        <v>0</v>
      </c>
      <c r="X290" s="10">
        <f t="shared" si="60"/>
        <v>0</v>
      </c>
      <c r="Y290" s="9" t="b">
        <f t="shared" si="63"/>
        <v>1</v>
      </c>
    </row>
    <row r="291" spans="1:25" s="9" customFormat="1" ht="13.5" customHeight="1" x14ac:dyDescent="0.2">
      <c r="A291" s="64">
        <f t="shared" si="61"/>
        <v>287</v>
      </c>
      <c r="B291" s="515" t="s">
        <v>1535</v>
      </c>
      <c r="C291" s="183">
        <v>40947</v>
      </c>
      <c r="D291" s="359">
        <v>3620000</v>
      </c>
      <c r="E291" s="508"/>
      <c r="F291" s="184">
        <f t="shared" si="51"/>
        <v>3620000</v>
      </c>
      <c r="G291" s="271">
        <v>3619000</v>
      </c>
      <c r="H291" s="271">
        <f t="shared" si="52"/>
        <v>1000</v>
      </c>
      <c r="I291" s="186">
        <v>5</v>
      </c>
      <c r="J291" s="186">
        <v>0.2</v>
      </c>
      <c r="K291" s="68">
        <v>0</v>
      </c>
      <c r="L291" s="110">
        <f t="shared" si="53"/>
        <v>0</v>
      </c>
      <c r="M291" s="184">
        <f t="shared" si="54"/>
        <v>3619000</v>
      </c>
      <c r="N291" s="184">
        <f t="shared" si="55"/>
        <v>1000</v>
      </c>
      <c r="O291" s="516" t="s">
        <v>819</v>
      </c>
      <c r="P291" s="517">
        <v>3</v>
      </c>
      <c r="Q291" s="509"/>
      <c r="R291" s="23"/>
      <c r="S291" s="23">
        <f t="shared" si="64"/>
        <v>181000</v>
      </c>
      <c r="T291" s="23">
        <f t="shared" si="57"/>
        <v>-180000</v>
      </c>
      <c r="U291" s="23">
        <f t="shared" si="58"/>
        <v>0</v>
      </c>
      <c r="V291" s="10">
        <f t="shared" si="59"/>
        <v>724000</v>
      </c>
      <c r="W291" s="10">
        <f t="shared" si="62"/>
        <v>0</v>
      </c>
      <c r="X291" s="10">
        <f t="shared" si="60"/>
        <v>0</v>
      </c>
      <c r="Y291" s="9" t="b">
        <f t="shared" si="63"/>
        <v>1</v>
      </c>
    </row>
    <row r="292" spans="1:25" s="9" customFormat="1" ht="13.5" customHeight="1" x14ac:dyDescent="0.2">
      <c r="A292" s="64">
        <f t="shared" si="61"/>
        <v>288</v>
      </c>
      <c r="B292" s="515" t="s">
        <v>1545</v>
      </c>
      <c r="C292" s="183">
        <v>40956</v>
      </c>
      <c r="D292" s="359">
        <v>780000</v>
      </c>
      <c r="E292" s="508"/>
      <c r="F292" s="184">
        <f t="shared" si="51"/>
        <v>780000</v>
      </c>
      <c r="G292" s="271">
        <v>779000</v>
      </c>
      <c r="H292" s="271">
        <f t="shared" si="52"/>
        <v>1000</v>
      </c>
      <c r="I292" s="186">
        <v>5</v>
      </c>
      <c r="J292" s="186">
        <v>0.2</v>
      </c>
      <c r="K292" s="68">
        <v>0</v>
      </c>
      <c r="L292" s="110">
        <f t="shared" si="53"/>
        <v>0</v>
      </c>
      <c r="M292" s="184">
        <f t="shared" si="54"/>
        <v>779000</v>
      </c>
      <c r="N292" s="184">
        <f t="shared" si="55"/>
        <v>1000</v>
      </c>
      <c r="O292" s="516" t="s">
        <v>1546</v>
      </c>
      <c r="P292" s="517">
        <v>1</v>
      </c>
      <c r="Q292" s="509" t="s">
        <v>1547</v>
      </c>
      <c r="R292" s="23"/>
      <c r="S292" s="23">
        <f t="shared" si="64"/>
        <v>39000</v>
      </c>
      <c r="T292" s="23">
        <f t="shared" si="57"/>
        <v>-38000</v>
      </c>
      <c r="U292" s="23">
        <f t="shared" si="58"/>
        <v>0</v>
      </c>
      <c r="V292" s="10">
        <f t="shared" si="59"/>
        <v>156000</v>
      </c>
      <c r="W292" s="10">
        <f t="shared" si="62"/>
        <v>0</v>
      </c>
      <c r="X292" s="10">
        <f t="shared" si="60"/>
        <v>0</v>
      </c>
      <c r="Y292" s="9" t="b">
        <f t="shared" si="63"/>
        <v>1</v>
      </c>
    </row>
    <row r="293" spans="1:25" s="9" customFormat="1" ht="13.5" customHeight="1" x14ac:dyDescent="0.2">
      <c r="A293" s="64">
        <f t="shared" si="61"/>
        <v>289</v>
      </c>
      <c r="B293" s="515" t="s">
        <v>1548</v>
      </c>
      <c r="C293" s="183">
        <v>40967</v>
      </c>
      <c r="D293" s="359">
        <v>9500000</v>
      </c>
      <c r="E293" s="508"/>
      <c r="F293" s="184">
        <f t="shared" si="51"/>
        <v>9500000</v>
      </c>
      <c r="G293" s="271">
        <v>9499000</v>
      </c>
      <c r="H293" s="271">
        <f t="shared" si="52"/>
        <v>1000</v>
      </c>
      <c r="I293" s="186">
        <v>5</v>
      </c>
      <c r="J293" s="186">
        <v>0.2</v>
      </c>
      <c r="K293" s="68">
        <v>0</v>
      </c>
      <c r="L293" s="110">
        <f t="shared" si="53"/>
        <v>0</v>
      </c>
      <c r="M293" s="184">
        <f t="shared" si="54"/>
        <v>9499000</v>
      </c>
      <c r="N293" s="184">
        <f t="shared" si="55"/>
        <v>1000</v>
      </c>
      <c r="O293" s="516" t="s">
        <v>427</v>
      </c>
      <c r="P293" s="517">
        <v>1</v>
      </c>
      <c r="Q293" s="509"/>
      <c r="R293" s="23"/>
      <c r="S293" s="23">
        <f t="shared" si="64"/>
        <v>475000</v>
      </c>
      <c r="T293" s="23">
        <f t="shared" si="57"/>
        <v>-474000</v>
      </c>
      <c r="U293" s="23">
        <f t="shared" si="58"/>
        <v>0</v>
      </c>
      <c r="V293" s="10">
        <f t="shared" si="59"/>
        <v>1900000</v>
      </c>
      <c r="W293" s="10">
        <f t="shared" si="62"/>
        <v>0</v>
      </c>
      <c r="X293" s="10">
        <f t="shared" si="60"/>
        <v>0</v>
      </c>
      <c r="Y293" s="9" t="b">
        <f t="shared" si="63"/>
        <v>1</v>
      </c>
    </row>
    <row r="294" spans="1:25" s="9" customFormat="1" ht="13.5" customHeight="1" x14ac:dyDescent="0.2">
      <c r="A294" s="64">
        <f t="shared" si="61"/>
        <v>290</v>
      </c>
      <c r="B294" s="515" t="s">
        <v>1549</v>
      </c>
      <c r="C294" s="183">
        <v>40968</v>
      </c>
      <c r="D294" s="359">
        <v>8000000</v>
      </c>
      <c r="E294" s="508"/>
      <c r="F294" s="184">
        <f t="shared" si="51"/>
        <v>8000000</v>
      </c>
      <c r="G294" s="271">
        <v>7999000</v>
      </c>
      <c r="H294" s="271">
        <f t="shared" si="52"/>
        <v>1000</v>
      </c>
      <c r="I294" s="186">
        <v>5</v>
      </c>
      <c r="J294" s="186">
        <v>0.2</v>
      </c>
      <c r="K294" s="68">
        <v>0</v>
      </c>
      <c r="L294" s="110">
        <f t="shared" si="53"/>
        <v>0</v>
      </c>
      <c r="M294" s="184">
        <f t="shared" si="54"/>
        <v>7999000</v>
      </c>
      <c r="N294" s="184">
        <f t="shared" si="55"/>
        <v>1000</v>
      </c>
      <c r="O294" s="516" t="s">
        <v>1511</v>
      </c>
      <c r="P294" s="517">
        <v>1</v>
      </c>
      <c r="Q294" s="509"/>
      <c r="R294" s="23"/>
      <c r="S294" s="23">
        <f t="shared" si="64"/>
        <v>400000</v>
      </c>
      <c r="T294" s="23">
        <f t="shared" si="57"/>
        <v>-399000</v>
      </c>
      <c r="U294" s="23">
        <f t="shared" si="58"/>
        <v>0</v>
      </c>
      <c r="V294" s="10">
        <f t="shared" si="59"/>
        <v>1600000</v>
      </c>
      <c r="W294" s="10">
        <f t="shared" si="62"/>
        <v>0</v>
      </c>
      <c r="X294" s="10">
        <f t="shared" si="60"/>
        <v>0</v>
      </c>
      <c r="Y294" s="9" t="b">
        <f t="shared" si="63"/>
        <v>1</v>
      </c>
    </row>
    <row r="295" spans="1:25" s="9" customFormat="1" ht="13.5" customHeight="1" x14ac:dyDescent="0.2">
      <c r="A295" s="64">
        <f t="shared" si="61"/>
        <v>291</v>
      </c>
      <c r="B295" s="515" t="s">
        <v>1550</v>
      </c>
      <c r="C295" s="183">
        <v>40968</v>
      </c>
      <c r="D295" s="359">
        <v>5000000</v>
      </c>
      <c r="E295" s="508"/>
      <c r="F295" s="184">
        <f t="shared" si="51"/>
        <v>5000000</v>
      </c>
      <c r="G295" s="271">
        <v>4999000</v>
      </c>
      <c r="H295" s="271">
        <f t="shared" si="52"/>
        <v>1000</v>
      </c>
      <c r="I295" s="186">
        <v>5</v>
      </c>
      <c r="J295" s="186">
        <v>0.2</v>
      </c>
      <c r="K295" s="68">
        <v>0</v>
      </c>
      <c r="L295" s="110">
        <f t="shared" si="53"/>
        <v>0</v>
      </c>
      <c r="M295" s="184">
        <f t="shared" si="54"/>
        <v>4999000</v>
      </c>
      <c r="N295" s="184">
        <f t="shared" si="55"/>
        <v>1000</v>
      </c>
      <c r="O295" s="516" t="s">
        <v>1511</v>
      </c>
      <c r="P295" s="517">
        <v>2</v>
      </c>
      <c r="Q295" s="509"/>
      <c r="R295" s="23"/>
      <c r="S295" s="23">
        <f t="shared" si="64"/>
        <v>250000</v>
      </c>
      <c r="T295" s="23">
        <f t="shared" si="57"/>
        <v>-249000</v>
      </c>
      <c r="U295" s="23">
        <f t="shared" si="58"/>
        <v>0</v>
      </c>
      <c r="V295" s="10">
        <f t="shared" si="59"/>
        <v>1000000</v>
      </c>
      <c r="W295" s="10">
        <f t="shared" si="62"/>
        <v>0</v>
      </c>
      <c r="X295" s="10">
        <f t="shared" si="60"/>
        <v>0</v>
      </c>
      <c r="Y295" s="9" t="b">
        <f t="shared" si="63"/>
        <v>1</v>
      </c>
    </row>
    <row r="296" spans="1:25" s="9" customFormat="1" ht="13.5" customHeight="1" x14ac:dyDescent="0.2">
      <c r="A296" s="64">
        <f t="shared" si="61"/>
        <v>292</v>
      </c>
      <c r="B296" s="515" t="s">
        <v>1551</v>
      </c>
      <c r="C296" s="183">
        <v>40968</v>
      </c>
      <c r="D296" s="359">
        <v>3800000</v>
      </c>
      <c r="E296" s="508"/>
      <c r="F296" s="184">
        <f t="shared" si="51"/>
        <v>3800000</v>
      </c>
      <c r="G296" s="271">
        <v>3799000</v>
      </c>
      <c r="H296" s="271">
        <f t="shared" si="52"/>
        <v>1000</v>
      </c>
      <c r="I296" s="186">
        <v>5</v>
      </c>
      <c r="J296" s="186">
        <v>0.2</v>
      </c>
      <c r="K296" s="68">
        <v>0</v>
      </c>
      <c r="L296" s="110">
        <f t="shared" si="53"/>
        <v>0</v>
      </c>
      <c r="M296" s="184">
        <f t="shared" si="54"/>
        <v>3799000</v>
      </c>
      <c r="N296" s="184">
        <f t="shared" si="55"/>
        <v>1000</v>
      </c>
      <c r="O296" s="516" t="s">
        <v>1511</v>
      </c>
      <c r="P296" s="517">
        <v>3</v>
      </c>
      <c r="Q296" s="509"/>
      <c r="R296" s="23"/>
      <c r="S296" s="23">
        <f t="shared" si="64"/>
        <v>190000</v>
      </c>
      <c r="T296" s="23">
        <f t="shared" si="57"/>
        <v>-189000</v>
      </c>
      <c r="U296" s="23">
        <f t="shared" si="58"/>
        <v>0</v>
      </c>
      <c r="V296" s="10">
        <f t="shared" si="59"/>
        <v>760000</v>
      </c>
      <c r="W296" s="10">
        <f t="shared" si="62"/>
        <v>0</v>
      </c>
      <c r="X296" s="10">
        <f t="shared" si="60"/>
        <v>0</v>
      </c>
      <c r="Y296" s="9" t="b">
        <f t="shared" si="63"/>
        <v>1</v>
      </c>
    </row>
    <row r="297" spans="1:25" s="9" customFormat="1" ht="13.5" customHeight="1" x14ac:dyDescent="0.2">
      <c r="A297" s="64">
        <f t="shared" si="61"/>
        <v>293</v>
      </c>
      <c r="B297" s="515" t="s">
        <v>1552</v>
      </c>
      <c r="C297" s="183">
        <v>41019</v>
      </c>
      <c r="D297" s="359">
        <v>16000000</v>
      </c>
      <c r="E297" s="508"/>
      <c r="F297" s="184">
        <f t="shared" si="51"/>
        <v>16000000</v>
      </c>
      <c r="G297" s="271">
        <v>15999000</v>
      </c>
      <c r="H297" s="271">
        <f t="shared" si="52"/>
        <v>1000</v>
      </c>
      <c r="I297" s="186">
        <v>5</v>
      </c>
      <c r="J297" s="186">
        <v>0.2</v>
      </c>
      <c r="K297" s="68">
        <v>0</v>
      </c>
      <c r="L297" s="110">
        <f t="shared" si="53"/>
        <v>0</v>
      </c>
      <c r="M297" s="184">
        <f t="shared" si="54"/>
        <v>15999000</v>
      </c>
      <c r="N297" s="184">
        <f t="shared" si="55"/>
        <v>1000</v>
      </c>
      <c r="O297" s="516" t="s">
        <v>1511</v>
      </c>
      <c r="P297" s="230">
        <v>1</v>
      </c>
      <c r="Q297" s="464" t="s">
        <v>1553</v>
      </c>
      <c r="R297" s="23"/>
      <c r="S297" s="23">
        <f t="shared" si="64"/>
        <v>800000</v>
      </c>
      <c r="T297" s="23">
        <f t="shared" si="57"/>
        <v>-799000</v>
      </c>
      <c r="U297" s="23">
        <f t="shared" si="58"/>
        <v>0</v>
      </c>
      <c r="V297" s="10">
        <f t="shared" si="59"/>
        <v>3200000</v>
      </c>
      <c r="W297" s="10">
        <f t="shared" si="62"/>
        <v>0</v>
      </c>
      <c r="X297" s="10">
        <f t="shared" si="60"/>
        <v>0</v>
      </c>
      <c r="Y297" s="9" t="b">
        <f t="shared" si="63"/>
        <v>1</v>
      </c>
    </row>
    <row r="298" spans="1:25" s="9" customFormat="1" ht="13.5" customHeight="1" x14ac:dyDescent="0.2">
      <c r="A298" s="64">
        <f t="shared" si="61"/>
        <v>294</v>
      </c>
      <c r="B298" s="515" t="s">
        <v>1554</v>
      </c>
      <c r="C298" s="183">
        <v>41022</v>
      </c>
      <c r="D298" s="359">
        <v>1650000</v>
      </c>
      <c r="E298" s="508"/>
      <c r="F298" s="184">
        <f t="shared" si="51"/>
        <v>1650000</v>
      </c>
      <c r="G298" s="271">
        <v>1649000</v>
      </c>
      <c r="H298" s="271">
        <f t="shared" si="52"/>
        <v>1000</v>
      </c>
      <c r="I298" s="186">
        <v>5</v>
      </c>
      <c r="J298" s="186">
        <v>0.2</v>
      </c>
      <c r="K298" s="68">
        <v>0</v>
      </c>
      <c r="L298" s="110">
        <f t="shared" si="53"/>
        <v>0</v>
      </c>
      <c r="M298" s="184">
        <f t="shared" si="54"/>
        <v>1649000</v>
      </c>
      <c r="N298" s="184">
        <f t="shared" si="55"/>
        <v>1000</v>
      </c>
      <c r="O298" s="516" t="s">
        <v>221</v>
      </c>
      <c r="P298" s="230">
        <v>1</v>
      </c>
      <c r="Q298" s="464"/>
      <c r="R298" s="23"/>
      <c r="S298" s="23">
        <f t="shared" si="64"/>
        <v>82500</v>
      </c>
      <c r="T298" s="23">
        <f t="shared" si="57"/>
        <v>-81500</v>
      </c>
      <c r="U298" s="23">
        <f t="shared" si="58"/>
        <v>0</v>
      </c>
      <c r="V298" s="10">
        <f t="shared" si="59"/>
        <v>330000</v>
      </c>
      <c r="W298" s="10">
        <f t="shared" si="62"/>
        <v>0</v>
      </c>
      <c r="X298" s="10">
        <f t="shared" si="60"/>
        <v>0</v>
      </c>
      <c r="Y298" s="9" t="b">
        <f t="shared" si="63"/>
        <v>1</v>
      </c>
    </row>
    <row r="299" spans="1:25" s="9" customFormat="1" ht="13.5" customHeight="1" x14ac:dyDescent="0.2">
      <c r="A299" s="64">
        <f t="shared" si="61"/>
        <v>295</v>
      </c>
      <c r="B299" s="515" t="s">
        <v>1555</v>
      </c>
      <c r="C299" s="183">
        <v>41023</v>
      </c>
      <c r="D299" s="359">
        <v>20000000</v>
      </c>
      <c r="E299" s="508"/>
      <c r="F299" s="184">
        <f t="shared" si="51"/>
        <v>20000000</v>
      </c>
      <c r="G299" s="271">
        <v>19999000</v>
      </c>
      <c r="H299" s="271">
        <f t="shared" si="52"/>
        <v>1000</v>
      </c>
      <c r="I299" s="186">
        <v>5</v>
      </c>
      <c r="J299" s="186">
        <v>0.2</v>
      </c>
      <c r="K299" s="68">
        <v>0</v>
      </c>
      <c r="L299" s="110">
        <f t="shared" si="53"/>
        <v>0</v>
      </c>
      <c r="M299" s="184">
        <f t="shared" si="54"/>
        <v>19999000</v>
      </c>
      <c r="N299" s="184">
        <f t="shared" si="55"/>
        <v>1000</v>
      </c>
      <c r="O299" s="516" t="s">
        <v>1511</v>
      </c>
      <c r="P299" s="230">
        <v>1</v>
      </c>
      <c r="Q299" s="464" t="s">
        <v>1553</v>
      </c>
      <c r="R299" s="23"/>
      <c r="S299" s="23">
        <f t="shared" si="64"/>
        <v>1000000</v>
      </c>
      <c r="T299" s="23">
        <f t="shared" si="57"/>
        <v>-999000</v>
      </c>
      <c r="U299" s="23">
        <f t="shared" si="58"/>
        <v>0</v>
      </c>
      <c r="V299" s="10">
        <f t="shared" si="59"/>
        <v>4000000</v>
      </c>
      <c r="W299" s="10">
        <f t="shared" si="62"/>
        <v>0</v>
      </c>
      <c r="X299" s="10">
        <f t="shared" si="60"/>
        <v>0</v>
      </c>
      <c r="Y299" s="9" t="b">
        <f t="shared" si="63"/>
        <v>1</v>
      </c>
    </row>
    <row r="300" spans="1:25" s="9" customFormat="1" ht="13.5" customHeight="1" x14ac:dyDescent="0.2">
      <c r="A300" s="64">
        <f t="shared" si="61"/>
        <v>296</v>
      </c>
      <c r="B300" s="515" t="s">
        <v>1556</v>
      </c>
      <c r="C300" s="183">
        <v>41089</v>
      </c>
      <c r="D300" s="359">
        <v>1610000</v>
      </c>
      <c r="E300" s="508"/>
      <c r="F300" s="184">
        <f t="shared" si="51"/>
        <v>1610000</v>
      </c>
      <c r="G300" s="184">
        <v>1609000</v>
      </c>
      <c r="H300" s="184">
        <f t="shared" si="52"/>
        <v>1000</v>
      </c>
      <c r="I300" s="186">
        <v>5</v>
      </c>
      <c r="J300" s="186">
        <v>0.2</v>
      </c>
      <c r="K300" s="68">
        <v>0</v>
      </c>
      <c r="L300" s="110">
        <f t="shared" si="53"/>
        <v>0</v>
      </c>
      <c r="M300" s="184">
        <f t="shared" si="54"/>
        <v>1609000</v>
      </c>
      <c r="N300" s="184">
        <f t="shared" si="55"/>
        <v>1000</v>
      </c>
      <c r="O300" s="517" t="s">
        <v>1557</v>
      </c>
      <c r="P300" s="230">
        <v>1</v>
      </c>
      <c r="Q300" s="464" t="s">
        <v>564</v>
      </c>
      <c r="R300" s="23"/>
      <c r="S300" s="23">
        <f t="shared" si="64"/>
        <v>80500</v>
      </c>
      <c r="T300" s="23">
        <f t="shared" si="57"/>
        <v>-79500</v>
      </c>
      <c r="U300" s="23">
        <f t="shared" si="58"/>
        <v>0</v>
      </c>
      <c r="V300" s="10">
        <f t="shared" si="59"/>
        <v>322000</v>
      </c>
      <c r="W300" s="10">
        <f t="shared" si="62"/>
        <v>0</v>
      </c>
      <c r="X300" s="10">
        <f t="shared" si="60"/>
        <v>0</v>
      </c>
      <c r="Y300" s="9" t="b">
        <f t="shared" si="63"/>
        <v>1</v>
      </c>
    </row>
    <row r="301" spans="1:25" s="9" customFormat="1" ht="13.5" customHeight="1" x14ac:dyDescent="0.2">
      <c r="A301" s="64">
        <f t="shared" si="61"/>
        <v>297</v>
      </c>
      <c r="B301" s="518" t="s">
        <v>1558</v>
      </c>
      <c r="C301" s="163">
        <v>41180</v>
      </c>
      <c r="D301" s="175">
        <v>2960000</v>
      </c>
      <c r="E301" s="462"/>
      <c r="F301" s="67">
        <f t="shared" ref="F301:F364" si="65">+D301+E301</f>
        <v>2960000</v>
      </c>
      <c r="G301" s="184">
        <v>2959000</v>
      </c>
      <c r="H301" s="184">
        <f t="shared" si="52"/>
        <v>1000</v>
      </c>
      <c r="I301" s="186">
        <v>5</v>
      </c>
      <c r="J301" s="186">
        <v>0.2</v>
      </c>
      <c r="K301" s="68">
        <v>0</v>
      </c>
      <c r="L301" s="110">
        <f t="shared" si="53"/>
        <v>0</v>
      </c>
      <c r="M301" s="184">
        <f t="shared" si="54"/>
        <v>2959000</v>
      </c>
      <c r="N301" s="184">
        <f t="shared" si="55"/>
        <v>1000</v>
      </c>
      <c r="O301" s="517" t="s">
        <v>1502</v>
      </c>
      <c r="P301" s="230">
        <v>1</v>
      </c>
      <c r="Q301" s="464"/>
      <c r="R301" s="23"/>
      <c r="S301" s="23">
        <f t="shared" si="64"/>
        <v>148000</v>
      </c>
      <c r="T301" s="23">
        <f t="shared" si="57"/>
        <v>-147000</v>
      </c>
      <c r="U301" s="23">
        <f t="shared" si="58"/>
        <v>0</v>
      </c>
      <c r="V301" s="10">
        <f t="shared" si="59"/>
        <v>592000</v>
      </c>
      <c r="W301" s="10">
        <f t="shared" si="62"/>
        <v>0</v>
      </c>
      <c r="X301" s="10">
        <f t="shared" si="60"/>
        <v>0</v>
      </c>
      <c r="Y301" s="9" t="b">
        <f t="shared" si="63"/>
        <v>1</v>
      </c>
    </row>
    <row r="302" spans="1:25" s="9" customFormat="1" ht="13.5" customHeight="1" x14ac:dyDescent="0.2">
      <c r="A302" s="64">
        <f t="shared" si="61"/>
        <v>298</v>
      </c>
      <c r="B302" s="519" t="s">
        <v>1559</v>
      </c>
      <c r="C302" s="208">
        <v>41254</v>
      </c>
      <c r="D302" s="383">
        <v>1000000</v>
      </c>
      <c r="E302" s="512"/>
      <c r="F302" s="67">
        <f t="shared" si="65"/>
        <v>1000000</v>
      </c>
      <c r="G302" s="429">
        <v>999000</v>
      </c>
      <c r="H302" s="184">
        <f t="shared" si="52"/>
        <v>1000</v>
      </c>
      <c r="I302" s="186">
        <v>5</v>
      </c>
      <c r="J302" s="186">
        <v>0.2</v>
      </c>
      <c r="K302" s="68">
        <v>0</v>
      </c>
      <c r="L302" s="110">
        <f t="shared" si="53"/>
        <v>0</v>
      </c>
      <c r="M302" s="429">
        <f t="shared" si="54"/>
        <v>999000</v>
      </c>
      <c r="N302" s="429">
        <f t="shared" si="55"/>
        <v>1000</v>
      </c>
      <c r="O302" s="520" t="s">
        <v>1560</v>
      </c>
      <c r="P302" s="521">
        <v>1</v>
      </c>
      <c r="Q302" s="522" t="s">
        <v>1561</v>
      </c>
      <c r="R302" s="23"/>
      <c r="S302" s="23">
        <f t="shared" si="64"/>
        <v>50000</v>
      </c>
      <c r="T302" s="23">
        <f t="shared" si="57"/>
        <v>-49000</v>
      </c>
      <c r="U302" s="23">
        <f t="shared" si="58"/>
        <v>0</v>
      </c>
      <c r="V302" s="10">
        <f t="shared" si="59"/>
        <v>200000</v>
      </c>
      <c r="W302" s="10">
        <f>ROUND(IF(H302&lt;=1000,0,V302/12*3),0)</f>
        <v>0</v>
      </c>
      <c r="X302" s="10">
        <f t="shared" si="60"/>
        <v>0</v>
      </c>
      <c r="Y302" s="9" t="b">
        <f t="shared" si="63"/>
        <v>1</v>
      </c>
    </row>
    <row r="303" spans="1:25" s="9" customFormat="1" ht="13.5" customHeight="1" x14ac:dyDescent="0.2">
      <c r="A303" s="64">
        <f t="shared" si="61"/>
        <v>299</v>
      </c>
      <c r="B303" s="523" t="s">
        <v>1562</v>
      </c>
      <c r="C303" s="369">
        <v>41254</v>
      </c>
      <c r="D303" s="175">
        <v>800000</v>
      </c>
      <c r="E303" s="462"/>
      <c r="F303" s="67">
        <f t="shared" si="65"/>
        <v>800000</v>
      </c>
      <c r="G303" s="184">
        <v>799000</v>
      </c>
      <c r="H303" s="184">
        <f t="shared" si="52"/>
        <v>1000</v>
      </c>
      <c r="I303" s="186">
        <v>5</v>
      </c>
      <c r="J303" s="186">
        <v>0.2</v>
      </c>
      <c r="K303" s="68">
        <v>0</v>
      </c>
      <c r="L303" s="110">
        <f t="shared" si="53"/>
        <v>0</v>
      </c>
      <c r="M303" s="184">
        <f t="shared" si="54"/>
        <v>799000</v>
      </c>
      <c r="N303" s="184">
        <f t="shared" si="55"/>
        <v>1000</v>
      </c>
      <c r="O303" s="517" t="s">
        <v>1560</v>
      </c>
      <c r="P303" s="230">
        <v>1</v>
      </c>
      <c r="Q303" s="464" t="s">
        <v>1561</v>
      </c>
      <c r="R303" s="23"/>
      <c r="S303" s="23">
        <f t="shared" si="64"/>
        <v>40000</v>
      </c>
      <c r="T303" s="23">
        <f t="shared" si="57"/>
        <v>-39000</v>
      </c>
      <c r="U303" s="23">
        <f t="shared" si="58"/>
        <v>0</v>
      </c>
      <c r="V303" s="10">
        <f t="shared" si="59"/>
        <v>160000</v>
      </c>
      <c r="W303" s="10">
        <f>ROUND(IF(H303&lt;=1000,0,V303/12*3),0)</f>
        <v>0</v>
      </c>
      <c r="X303" s="10">
        <f t="shared" si="60"/>
        <v>0</v>
      </c>
      <c r="Y303" s="9" t="b">
        <f t="shared" si="63"/>
        <v>1</v>
      </c>
    </row>
    <row r="304" spans="1:25" s="9" customFormat="1" ht="13.5" customHeight="1" x14ac:dyDescent="0.2">
      <c r="A304" s="64">
        <f t="shared" si="61"/>
        <v>300</v>
      </c>
      <c r="B304" s="523" t="s">
        <v>1563</v>
      </c>
      <c r="C304" s="369">
        <v>41249</v>
      </c>
      <c r="D304" s="175">
        <v>12000000</v>
      </c>
      <c r="E304" s="462"/>
      <c r="F304" s="67">
        <f t="shared" si="65"/>
        <v>12000000</v>
      </c>
      <c r="G304" s="184">
        <v>11999000</v>
      </c>
      <c r="H304" s="184">
        <f t="shared" si="52"/>
        <v>1000</v>
      </c>
      <c r="I304" s="186">
        <v>5</v>
      </c>
      <c r="J304" s="186">
        <v>0.2</v>
      </c>
      <c r="K304" s="68">
        <v>0</v>
      </c>
      <c r="L304" s="110">
        <f t="shared" si="53"/>
        <v>0</v>
      </c>
      <c r="M304" s="184">
        <f t="shared" si="54"/>
        <v>11999000</v>
      </c>
      <c r="N304" s="184">
        <f t="shared" si="55"/>
        <v>1000</v>
      </c>
      <c r="O304" s="517" t="s">
        <v>1564</v>
      </c>
      <c r="P304" s="230">
        <v>2</v>
      </c>
      <c r="Q304" s="464"/>
      <c r="R304" s="23"/>
      <c r="S304" s="23">
        <f t="shared" si="64"/>
        <v>600000</v>
      </c>
      <c r="T304" s="23">
        <f t="shared" si="57"/>
        <v>-599000</v>
      </c>
      <c r="U304" s="23">
        <f t="shared" si="58"/>
        <v>0</v>
      </c>
      <c r="V304" s="10">
        <f t="shared" si="59"/>
        <v>2400000</v>
      </c>
      <c r="W304" s="10">
        <f>ROUND(IF(H304&lt;=1000,0,V304/12*3),0)</f>
        <v>0</v>
      </c>
      <c r="X304" s="10">
        <f t="shared" si="60"/>
        <v>0</v>
      </c>
      <c r="Y304" s="9" t="b">
        <f t="shared" si="63"/>
        <v>1</v>
      </c>
    </row>
    <row r="305" spans="1:25" s="9" customFormat="1" ht="13.5" customHeight="1" x14ac:dyDescent="0.2">
      <c r="A305" s="64">
        <f t="shared" si="61"/>
        <v>301</v>
      </c>
      <c r="B305" s="524" t="s">
        <v>1565</v>
      </c>
      <c r="C305" s="525">
        <v>41419</v>
      </c>
      <c r="D305" s="462">
        <v>5000000</v>
      </c>
      <c r="E305" s="462"/>
      <c r="F305" s="67">
        <f t="shared" si="65"/>
        <v>5000000</v>
      </c>
      <c r="G305" s="184">
        <v>4999000</v>
      </c>
      <c r="H305" s="184">
        <f t="shared" ref="H305:H368" si="66">+F305-G305</f>
        <v>1000</v>
      </c>
      <c r="I305" s="186">
        <v>5</v>
      </c>
      <c r="J305" s="186">
        <v>0.2</v>
      </c>
      <c r="K305" s="68">
        <v>0</v>
      </c>
      <c r="L305" s="110">
        <f t="shared" ref="L305:L314" si="67">ROUND(IF(F305*J305*K305/12&gt;=H305,H305-1000,F305*J305*K305/12),0)</f>
        <v>0</v>
      </c>
      <c r="M305" s="184">
        <f t="shared" ref="M305:M323" si="68">+G305+L305</f>
        <v>4999000</v>
      </c>
      <c r="N305" s="184">
        <f t="shared" si="55"/>
        <v>1000</v>
      </c>
      <c r="O305" s="517" t="s">
        <v>1511</v>
      </c>
      <c r="P305" s="230">
        <v>1</v>
      </c>
      <c r="Q305" s="464"/>
      <c r="R305" s="23"/>
      <c r="S305" s="23">
        <f t="shared" si="64"/>
        <v>250000</v>
      </c>
      <c r="T305" s="23">
        <f t="shared" si="57"/>
        <v>-249000</v>
      </c>
      <c r="U305" s="23">
        <f t="shared" si="58"/>
        <v>0</v>
      </c>
      <c r="V305" s="10">
        <f t="shared" si="59"/>
        <v>1000000</v>
      </c>
      <c r="W305" s="10">
        <f>ROUND(IF(H305&lt;=1000,0,V305/12*K305),0)-1000</f>
        <v>-1000</v>
      </c>
      <c r="X305" s="10">
        <f t="shared" si="60"/>
        <v>1000</v>
      </c>
      <c r="Y305" s="9" t="b">
        <f t="shared" si="63"/>
        <v>0</v>
      </c>
    </row>
    <row r="306" spans="1:25" s="9" customFormat="1" ht="13.5" customHeight="1" x14ac:dyDescent="0.2">
      <c r="A306" s="64">
        <f t="shared" si="61"/>
        <v>302</v>
      </c>
      <c r="B306" s="524" t="s">
        <v>1566</v>
      </c>
      <c r="C306" s="525">
        <v>41423</v>
      </c>
      <c r="D306" s="462">
        <v>17900000</v>
      </c>
      <c r="E306" s="462"/>
      <c r="F306" s="67">
        <f t="shared" si="65"/>
        <v>17900000</v>
      </c>
      <c r="G306" s="184">
        <v>17899000</v>
      </c>
      <c r="H306" s="184">
        <f t="shared" si="66"/>
        <v>1000</v>
      </c>
      <c r="I306" s="186">
        <v>5</v>
      </c>
      <c r="J306" s="186">
        <v>0.2</v>
      </c>
      <c r="K306" s="68">
        <v>0</v>
      </c>
      <c r="L306" s="110">
        <f t="shared" si="67"/>
        <v>0</v>
      </c>
      <c r="M306" s="184">
        <f t="shared" si="68"/>
        <v>17899000</v>
      </c>
      <c r="N306" s="184">
        <f t="shared" si="55"/>
        <v>1000</v>
      </c>
      <c r="O306" s="517" t="s">
        <v>1567</v>
      </c>
      <c r="P306" s="230">
        <v>1</v>
      </c>
      <c r="Q306" s="464"/>
      <c r="R306" s="23"/>
      <c r="S306" s="23">
        <f t="shared" si="64"/>
        <v>895000</v>
      </c>
      <c r="T306" s="23">
        <f t="shared" si="57"/>
        <v>-894000</v>
      </c>
      <c r="U306" s="23">
        <f t="shared" si="58"/>
        <v>0</v>
      </c>
      <c r="V306" s="10">
        <f t="shared" si="59"/>
        <v>3580000</v>
      </c>
      <c r="W306" s="10">
        <f>ROUND(IF(H306&lt;=1000,0,V306/12*K306),0)-1000</f>
        <v>-1000</v>
      </c>
      <c r="X306" s="10">
        <f t="shared" si="60"/>
        <v>1000</v>
      </c>
      <c r="Y306" s="9" t="b">
        <f t="shared" si="63"/>
        <v>0</v>
      </c>
    </row>
    <row r="307" spans="1:25" s="9" customFormat="1" ht="13.5" customHeight="1" x14ac:dyDescent="0.2">
      <c r="A307" s="64">
        <f t="shared" si="61"/>
        <v>303</v>
      </c>
      <c r="B307" s="524" t="s">
        <v>1568</v>
      </c>
      <c r="C307" s="525">
        <v>41438</v>
      </c>
      <c r="D307" s="462">
        <v>4600000</v>
      </c>
      <c r="E307" s="462"/>
      <c r="F307" s="67">
        <f t="shared" si="65"/>
        <v>4600000</v>
      </c>
      <c r="G307" s="184">
        <v>4599000</v>
      </c>
      <c r="H307" s="184">
        <f t="shared" si="66"/>
        <v>1000</v>
      </c>
      <c r="I307" s="186">
        <v>5</v>
      </c>
      <c r="J307" s="186">
        <v>0.2</v>
      </c>
      <c r="K307" s="68">
        <v>0</v>
      </c>
      <c r="L307" s="110">
        <f t="shared" si="67"/>
        <v>0</v>
      </c>
      <c r="M307" s="184">
        <f t="shared" si="68"/>
        <v>4599000</v>
      </c>
      <c r="N307" s="184">
        <f t="shared" si="55"/>
        <v>1000</v>
      </c>
      <c r="O307" s="517" t="s">
        <v>1569</v>
      </c>
      <c r="P307" s="230">
        <v>1</v>
      </c>
      <c r="Q307" s="464"/>
      <c r="R307" s="23"/>
      <c r="S307" s="23">
        <f t="shared" si="64"/>
        <v>230000</v>
      </c>
      <c r="T307" s="23">
        <f t="shared" si="57"/>
        <v>-229000</v>
      </c>
      <c r="U307" s="23">
        <f t="shared" si="58"/>
        <v>0</v>
      </c>
      <c r="V307" s="10">
        <f t="shared" si="59"/>
        <v>920000</v>
      </c>
      <c r="W307" s="10">
        <f>ROUND(IF(H307&lt;=1000,0,V307/12*K307),0)-1000</f>
        <v>-1000</v>
      </c>
      <c r="X307" s="10">
        <f t="shared" si="60"/>
        <v>1000</v>
      </c>
      <c r="Y307" s="9" t="b">
        <f t="shared" si="63"/>
        <v>0</v>
      </c>
    </row>
    <row r="308" spans="1:25" s="9" customFormat="1" ht="13.5" customHeight="1" x14ac:dyDescent="0.2">
      <c r="A308" s="64">
        <f t="shared" si="61"/>
        <v>304</v>
      </c>
      <c r="B308" s="524" t="s">
        <v>1570</v>
      </c>
      <c r="C308" s="525">
        <v>41507</v>
      </c>
      <c r="D308" s="462">
        <v>3000000</v>
      </c>
      <c r="E308" s="462"/>
      <c r="F308" s="67">
        <f t="shared" si="65"/>
        <v>3000000</v>
      </c>
      <c r="G308" s="184">
        <v>2999000</v>
      </c>
      <c r="H308" s="184">
        <f t="shared" si="66"/>
        <v>1000</v>
      </c>
      <c r="I308" s="186">
        <v>5</v>
      </c>
      <c r="J308" s="186">
        <v>0.2</v>
      </c>
      <c r="K308" s="68">
        <v>0</v>
      </c>
      <c r="L308" s="110">
        <f t="shared" si="67"/>
        <v>0</v>
      </c>
      <c r="M308" s="184">
        <f t="shared" si="68"/>
        <v>2999000</v>
      </c>
      <c r="N308" s="184">
        <f t="shared" si="55"/>
        <v>1000</v>
      </c>
      <c r="O308" s="517" t="s">
        <v>1271</v>
      </c>
      <c r="P308" s="230">
        <v>1</v>
      </c>
      <c r="Q308" s="464"/>
      <c r="R308" s="23"/>
      <c r="S308" s="23">
        <f t="shared" si="64"/>
        <v>150000</v>
      </c>
      <c r="T308" s="23">
        <f t="shared" si="57"/>
        <v>-149000</v>
      </c>
      <c r="U308" s="23">
        <f t="shared" si="58"/>
        <v>0</v>
      </c>
      <c r="V308" s="10">
        <f t="shared" si="59"/>
        <v>600000</v>
      </c>
      <c r="W308" s="10">
        <f t="shared" ref="W308:W331" si="69">ROUND(IF(H308&lt;=1000,0,V308/12*K308),0)-1000</f>
        <v>-1000</v>
      </c>
      <c r="X308" s="10">
        <f t="shared" si="60"/>
        <v>1000</v>
      </c>
      <c r="Y308" s="9" t="b">
        <f t="shared" si="63"/>
        <v>0</v>
      </c>
    </row>
    <row r="309" spans="1:25" s="9" customFormat="1" ht="13.5" customHeight="1" x14ac:dyDescent="0.2">
      <c r="A309" s="64">
        <f t="shared" si="61"/>
        <v>305</v>
      </c>
      <c r="B309" s="524" t="s">
        <v>1571</v>
      </c>
      <c r="C309" s="525">
        <v>41519</v>
      </c>
      <c r="D309" s="462">
        <v>700000</v>
      </c>
      <c r="E309" s="462"/>
      <c r="F309" s="67">
        <f t="shared" si="65"/>
        <v>700000</v>
      </c>
      <c r="G309" s="184">
        <v>699000</v>
      </c>
      <c r="H309" s="184">
        <f t="shared" si="66"/>
        <v>1000</v>
      </c>
      <c r="I309" s="186">
        <v>5</v>
      </c>
      <c r="J309" s="186">
        <v>0.2</v>
      </c>
      <c r="K309" s="68">
        <v>0</v>
      </c>
      <c r="L309" s="110">
        <f t="shared" si="67"/>
        <v>0</v>
      </c>
      <c r="M309" s="184">
        <f t="shared" si="68"/>
        <v>699000</v>
      </c>
      <c r="N309" s="184">
        <f t="shared" si="55"/>
        <v>1000</v>
      </c>
      <c r="O309" s="517" t="s">
        <v>1572</v>
      </c>
      <c r="P309" s="230">
        <v>1</v>
      </c>
      <c r="Q309" s="464"/>
      <c r="R309" s="23"/>
      <c r="S309" s="23">
        <f t="shared" si="64"/>
        <v>35000</v>
      </c>
      <c r="T309" s="23">
        <f t="shared" si="57"/>
        <v>-34000</v>
      </c>
      <c r="U309" s="23">
        <f t="shared" si="58"/>
        <v>0</v>
      </c>
      <c r="V309" s="10">
        <f t="shared" si="59"/>
        <v>140000</v>
      </c>
      <c r="W309" s="10">
        <f t="shared" si="69"/>
        <v>-1000</v>
      </c>
      <c r="X309" s="10">
        <f t="shared" si="60"/>
        <v>1000</v>
      </c>
      <c r="Y309" s="9" t="b">
        <f t="shared" si="63"/>
        <v>0</v>
      </c>
    </row>
    <row r="310" spans="1:25" s="9" customFormat="1" ht="13.5" customHeight="1" x14ac:dyDescent="0.2">
      <c r="A310" s="64">
        <f t="shared" si="61"/>
        <v>306</v>
      </c>
      <c r="B310" s="524" t="s">
        <v>1573</v>
      </c>
      <c r="C310" s="525">
        <v>41519</v>
      </c>
      <c r="D310" s="462">
        <v>700000</v>
      </c>
      <c r="E310" s="462"/>
      <c r="F310" s="67">
        <f t="shared" si="65"/>
        <v>700000</v>
      </c>
      <c r="G310" s="184">
        <v>699000</v>
      </c>
      <c r="H310" s="184">
        <f t="shared" si="66"/>
        <v>1000</v>
      </c>
      <c r="I310" s="186">
        <v>5</v>
      </c>
      <c r="J310" s="186">
        <v>0.2</v>
      </c>
      <c r="K310" s="68">
        <v>0</v>
      </c>
      <c r="L310" s="110">
        <f t="shared" si="67"/>
        <v>0</v>
      </c>
      <c r="M310" s="184">
        <f t="shared" si="68"/>
        <v>699000</v>
      </c>
      <c r="N310" s="184">
        <f t="shared" si="55"/>
        <v>1000</v>
      </c>
      <c r="O310" s="517" t="s">
        <v>1572</v>
      </c>
      <c r="P310" s="230">
        <v>1</v>
      </c>
      <c r="Q310" s="464"/>
      <c r="R310" s="23"/>
      <c r="S310" s="23">
        <f t="shared" si="64"/>
        <v>35000</v>
      </c>
      <c r="T310" s="23">
        <f t="shared" si="57"/>
        <v>-34000</v>
      </c>
      <c r="U310" s="23">
        <f t="shared" si="58"/>
        <v>0</v>
      </c>
      <c r="V310" s="10">
        <f t="shared" si="59"/>
        <v>140000</v>
      </c>
      <c r="W310" s="10">
        <f t="shared" si="69"/>
        <v>-1000</v>
      </c>
      <c r="X310" s="10">
        <f t="shared" si="60"/>
        <v>1000</v>
      </c>
      <c r="Y310" s="9" t="b">
        <f t="shared" si="63"/>
        <v>0</v>
      </c>
    </row>
    <row r="311" spans="1:25" s="9" customFormat="1" ht="13.5" customHeight="1" x14ac:dyDescent="0.2">
      <c r="A311" s="64">
        <f t="shared" si="61"/>
        <v>307</v>
      </c>
      <c r="B311" s="524" t="s">
        <v>1574</v>
      </c>
      <c r="C311" s="525">
        <v>41527</v>
      </c>
      <c r="D311" s="462">
        <v>90000000</v>
      </c>
      <c r="E311" s="462"/>
      <c r="F311" s="67">
        <f t="shared" si="65"/>
        <v>90000000</v>
      </c>
      <c r="G311" s="184">
        <v>89999000</v>
      </c>
      <c r="H311" s="184">
        <f t="shared" si="66"/>
        <v>1000</v>
      </c>
      <c r="I311" s="186">
        <v>5</v>
      </c>
      <c r="J311" s="186">
        <v>0.2</v>
      </c>
      <c r="K311" s="68">
        <v>0</v>
      </c>
      <c r="L311" s="110">
        <f t="shared" si="67"/>
        <v>0</v>
      </c>
      <c r="M311" s="184">
        <f t="shared" si="68"/>
        <v>89999000</v>
      </c>
      <c r="N311" s="184">
        <f t="shared" si="55"/>
        <v>1000</v>
      </c>
      <c r="O311" s="517" t="s">
        <v>1290</v>
      </c>
      <c r="P311" s="230">
        <v>1</v>
      </c>
      <c r="Q311" s="464"/>
      <c r="R311" s="23"/>
      <c r="S311" s="23">
        <f t="shared" si="64"/>
        <v>4500000</v>
      </c>
      <c r="T311" s="23">
        <f t="shared" si="57"/>
        <v>-4499000</v>
      </c>
      <c r="U311" s="23">
        <f t="shared" si="58"/>
        <v>0</v>
      </c>
      <c r="V311" s="10">
        <f t="shared" si="59"/>
        <v>18000000</v>
      </c>
      <c r="W311" s="10">
        <f t="shared" si="69"/>
        <v>-1000</v>
      </c>
      <c r="X311" s="10">
        <f t="shared" si="60"/>
        <v>1000</v>
      </c>
      <c r="Y311" s="9" t="b">
        <f t="shared" si="63"/>
        <v>0</v>
      </c>
    </row>
    <row r="312" spans="1:25" s="9" customFormat="1" ht="13.5" customHeight="1" x14ac:dyDescent="0.2">
      <c r="A312" s="64">
        <f t="shared" si="61"/>
        <v>308</v>
      </c>
      <c r="B312" s="524" t="s">
        <v>1575</v>
      </c>
      <c r="C312" s="525">
        <v>41527</v>
      </c>
      <c r="D312" s="462">
        <v>90000000</v>
      </c>
      <c r="E312" s="462"/>
      <c r="F312" s="67">
        <f t="shared" si="65"/>
        <v>90000000</v>
      </c>
      <c r="G312" s="184">
        <v>89999000</v>
      </c>
      <c r="H312" s="184">
        <f t="shared" si="66"/>
        <v>1000</v>
      </c>
      <c r="I312" s="186">
        <v>5</v>
      </c>
      <c r="J312" s="186">
        <v>0.2</v>
      </c>
      <c r="K312" s="68">
        <v>0</v>
      </c>
      <c r="L312" s="110">
        <f t="shared" si="67"/>
        <v>0</v>
      </c>
      <c r="M312" s="184">
        <f t="shared" si="68"/>
        <v>89999000</v>
      </c>
      <c r="N312" s="184">
        <f t="shared" si="55"/>
        <v>1000</v>
      </c>
      <c r="O312" s="517" t="s">
        <v>1290</v>
      </c>
      <c r="P312" s="230">
        <v>1</v>
      </c>
      <c r="Q312" s="464"/>
      <c r="R312" s="23"/>
      <c r="S312" s="23">
        <f t="shared" si="64"/>
        <v>4500000</v>
      </c>
      <c r="T312" s="23">
        <f t="shared" si="57"/>
        <v>-4499000</v>
      </c>
      <c r="U312" s="23">
        <f t="shared" si="58"/>
        <v>0</v>
      </c>
      <c r="V312" s="10">
        <f t="shared" si="59"/>
        <v>18000000</v>
      </c>
      <c r="W312" s="10">
        <f t="shared" si="69"/>
        <v>-1000</v>
      </c>
      <c r="X312" s="10">
        <f t="shared" si="60"/>
        <v>1000</v>
      </c>
      <c r="Y312" s="9" t="b">
        <f t="shared" si="63"/>
        <v>0</v>
      </c>
    </row>
    <row r="313" spans="1:25" s="9" customFormat="1" ht="13.5" customHeight="1" x14ac:dyDescent="0.2">
      <c r="A313" s="64">
        <f t="shared" si="61"/>
        <v>309</v>
      </c>
      <c r="B313" s="524" t="s">
        <v>1576</v>
      </c>
      <c r="C313" s="525">
        <v>41530</v>
      </c>
      <c r="D313" s="462">
        <v>5500000</v>
      </c>
      <c r="E313" s="462"/>
      <c r="F313" s="67">
        <f t="shared" si="65"/>
        <v>5500000</v>
      </c>
      <c r="G313" s="184">
        <v>5499000</v>
      </c>
      <c r="H313" s="184">
        <f t="shared" si="66"/>
        <v>1000</v>
      </c>
      <c r="I313" s="186">
        <v>5</v>
      </c>
      <c r="J313" s="186">
        <v>0.2</v>
      </c>
      <c r="K313" s="68">
        <v>0</v>
      </c>
      <c r="L313" s="110">
        <f t="shared" si="67"/>
        <v>0</v>
      </c>
      <c r="M313" s="184">
        <f t="shared" si="68"/>
        <v>5499000</v>
      </c>
      <c r="N313" s="184">
        <f t="shared" si="55"/>
        <v>1000</v>
      </c>
      <c r="O313" s="517" t="s">
        <v>1511</v>
      </c>
      <c r="P313" s="230">
        <v>1</v>
      </c>
      <c r="Q313" s="464"/>
      <c r="R313" s="23"/>
      <c r="S313" s="23">
        <f t="shared" si="64"/>
        <v>275000</v>
      </c>
      <c r="T313" s="23">
        <f t="shared" si="57"/>
        <v>-274000</v>
      </c>
      <c r="U313" s="23">
        <f t="shared" si="58"/>
        <v>0</v>
      </c>
      <c r="V313" s="10">
        <f t="shared" si="59"/>
        <v>1100000</v>
      </c>
      <c r="W313" s="10">
        <f t="shared" si="69"/>
        <v>-1000</v>
      </c>
      <c r="X313" s="10">
        <f t="shared" si="60"/>
        <v>1000</v>
      </c>
      <c r="Y313" s="9" t="b">
        <f t="shared" si="63"/>
        <v>0</v>
      </c>
    </row>
    <row r="314" spans="1:25" s="9" customFormat="1" ht="13.5" customHeight="1" x14ac:dyDescent="0.2">
      <c r="A314" s="64">
        <f t="shared" si="61"/>
        <v>310</v>
      </c>
      <c r="B314" s="524" t="s">
        <v>1577</v>
      </c>
      <c r="C314" s="525">
        <v>41530</v>
      </c>
      <c r="D314" s="462">
        <v>5500000</v>
      </c>
      <c r="E314" s="462"/>
      <c r="F314" s="67">
        <f t="shared" si="65"/>
        <v>5500000</v>
      </c>
      <c r="G314" s="184">
        <v>5499000</v>
      </c>
      <c r="H314" s="184">
        <f t="shared" si="66"/>
        <v>1000</v>
      </c>
      <c r="I314" s="186">
        <v>5</v>
      </c>
      <c r="J314" s="186">
        <v>0.2</v>
      </c>
      <c r="K314" s="68">
        <v>0</v>
      </c>
      <c r="L314" s="110">
        <f t="shared" si="67"/>
        <v>0</v>
      </c>
      <c r="M314" s="184">
        <f t="shared" si="68"/>
        <v>5499000</v>
      </c>
      <c r="N314" s="184">
        <f t="shared" si="55"/>
        <v>1000</v>
      </c>
      <c r="O314" s="517" t="s">
        <v>1511</v>
      </c>
      <c r="P314" s="230">
        <v>1</v>
      </c>
      <c r="Q314" s="464"/>
      <c r="R314" s="23"/>
      <c r="S314" s="23">
        <f t="shared" si="64"/>
        <v>275000</v>
      </c>
      <c r="T314" s="23">
        <f t="shared" si="57"/>
        <v>-274000</v>
      </c>
      <c r="U314" s="23">
        <f t="shared" si="58"/>
        <v>0</v>
      </c>
      <c r="V314" s="10">
        <f t="shared" si="59"/>
        <v>1100000</v>
      </c>
      <c r="W314" s="10">
        <f t="shared" si="69"/>
        <v>-1000</v>
      </c>
      <c r="X314" s="10">
        <f t="shared" si="60"/>
        <v>1000</v>
      </c>
      <c r="Y314" s="9" t="b">
        <f t="shared" si="63"/>
        <v>0</v>
      </c>
    </row>
    <row r="315" spans="1:25" s="9" customFormat="1" ht="13.5" customHeight="1" x14ac:dyDescent="0.2">
      <c r="A315" s="64">
        <f t="shared" si="61"/>
        <v>311</v>
      </c>
      <c r="B315" s="524" t="s">
        <v>1578</v>
      </c>
      <c r="C315" s="525">
        <v>41530</v>
      </c>
      <c r="D315" s="462">
        <v>3800000</v>
      </c>
      <c r="E315" s="462"/>
      <c r="F315" s="67">
        <f t="shared" si="65"/>
        <v>3800000</v>
      </c>
      <c r="G315" s="184">
        <v>3799000</v>
      </c>
      <c r="H315" s="184">
        <f t="shared" si="66"/>
        <v>1000</v>
      </c>
      <c r="I315" s="186">
        <v>5</v>
      </c>
      <c r="J315" s="186">
        <v>0.2</v>
      </c>
      <c r="K315" s="68">
        <v>0</v>
      </c>
      <c r="L315" s="110">
        <f>ROUND(IF(F315*J315*K315/12&gt;=H315,H315-1000,F315*J315*K315/12),0)</f>
        <v>0</v>
      </c>
      <c r="M315" s="184">
        <f t="shared" si="68"/>
        <v>3799000</v>
      </c>
      <c r="N315" s="184">
        <f t="shared" si="55"/>
        <v>1000</v>
      </c>
      <c r="O315" s="517" t="s">
        <v>1511</v>
      </c>
      <c r="P315" s="230">
        <v>1</v>
      </c>
      <c r="Q315" s="464"/>
      <c r="R315" s="23"/>
      <c r="S315" s="23">
        <f t="shared" si="64"/>
        <v>190000</v>
      </c>
      <c r="T315" s="23">
        <f t="shared" si="57"/>
        <v>-189000</v>
      </c>
      <c r="U315" s="23">
        <f t="shared" si="58"/>
        <v>0</v>
      </c>
      <c r="V315" s="10">
        <f t="shared" si="59"/>
        <v>760000</v>
      </c>
      <c r="W315" s="10">
        <f t="shared" si="69"/>
        <v>-1000</v>
      </c>
      <c r="X315" s="10">
        <f t="shared" si="60"/>
        <v>1000</v>
      </c>
      <c r="Y315" s="9" t="b">
        <f t="shared" si="63"/>
        <v>0</v>
      </c>
    </row>
    <row r="316" spans="1:25" s="9" customFormat="1" ht="13.5" customHeight="1" x14ac:dyDescent="0.2">
      <c r="A316" s="64">
        <f t="shared" si="61"/>
        <v>312</v>
      </c>
      <c r="B316" s="524" t="s">
        <v>1579</v>
      </c>
      <c r="C316" s="525">
        <v>41547</v>
      </c>
      <c r="D316" s="462">
        <v>17000000</v>
      </c>
      <c r="E316" s="462"/>
      <c r="F316" s="67">
        <f t="shared" si="65"/>
        <v>17000000</v>
      </c>
      <c r="G316" s="184">
        <v>16999000</v>
      </c>
      <c r="H316" s="184">
        <f t="shared" si="66"/>
        <v>1000</v>
      </c>
      <c r="I316" s="186">
        <v>5</v>
      </c>
      <c r="J316" s="186">
        <v>0.2</v>
      </c>
      <c r="K316" s="68">
        <v>0</v>
      </c>
      <c r="L316" s="110">
        <f>ROUND(IF(F316*J316*K316/12&gt;=H316,H316-1000,F316*J316*K316/12),0)</f>
        <v>0</v>
      </c>
      <c r="M316" s="184">
        <f t="shared" si="68"/>
        <v>16999000</v>
      </c>
      <c r="N316" s="184">
        <f t="shared" si="55"/>
        <v>1000</v>
      </c>
      <c r="O316" s="517" t="s">
        <v>405</v>
      </c>
      <c r="P316" s="230">
        <v>1</v>
      </c>
      <c r="Q316" s="464"/>
      <c r="R316" s="23"/>
      <c r="S316" s="23">
        <f t="shared" si="64"/>
        <v>850000</v>
      </c>
      <c r="T316" s="23">
        <f t="shared" si="57"/>
        <v>-849000</v>
      </c>
      <c r="U316" s="23">
        <f t="shared" si="58"/>
        <v>0</v>
      </c>
      <c r="V316" s="10">
        <f t="shared" si="59"/>
        <v>3400000</v>
      </c>
      <c r="W316" s="10">
        <f t="shared" si="69"/>
        <v>-1000</v>
      </c>
      <c r="X316" s="10">
        <f t="shared" si="60"/>
        <v>1000</v>
      </c>
      <c r="Y316" s="9" t="b">
        <f t="shared" si="63"/>
        <v>0</v>
      </c>
    </row>
    <row r="317" spans="1:25" s="9" customFormat="1" ht="13.5" customHeight="1" x14ac:dyDescent="0.2">
      <c r="A317" s="64">
        <f t="shared" si="61"/>
        <v>313</v>
      </c>
      <c r="B317" s="526" t="s">
        <v>1580</v>
      </c>
      <c r="C317" s="527">
        <v>41548</v>
      </c>
      <c r="D317" s="484">
        <v>9000000</v>
      </c>
      <c r="E317" s="484"/>
      <c r="F317" s="67">
        <f t="shared" si="65"/>
        <v>9000000</v>
      </c>
      <c r="G317" s="271">
        <v>8999000</v>
      </c>
      <c r="H317" s="184">
        <f t="shared" si="66"/>
        <v>1000</v>
      </c>
      <c r="I317" s="186">
        <v>5</v>
      </c>
      <c r="J317" s="186">
        <v>0.2</v>
      </c>
      <c r="K317" s="68">
        <v>0</v>
      </c>
      <c r="L317" s="110">
        <f t="shared" ref="L317:L322" si="70">ROUND(IF(F317*J317*K317/12&gt;=H317,H317-1000,F317*J317*K317/12),0)</f>
        <v>0</v>
      </c>
      <c r="M317" s="271">
        <f t="shared" si="68"/>
        <v>8999000</v>
      </c>
      <c r="N317" s="184">
        <f t="shared" si="55"/>
        <v>1000</v>
      </c>
      <c r="O317" s="516" t="s">
        <v>1511</v>
      </c>
      <c r="P317" s="230">
        <v>1</v>
      </c>
      <c r="Q317" s="487"/>
      <c r="R317" s="23"/>
      <c r="S317" s="23">
        <f t="shared" si="64"/>
        <v>450000</v>
      </c>
      <c r="T317" s="23">
        <f t="shared" si="57"/>
        <v>-449000</v>
      </c>
      <c r="U317" s="23">
        <f t="shared" si="58"/>
        <v>0</v>
      </c>
      <c r="V317" s="10">
        <f t="shared" si="59"/>
        <v>1800000</v>
      </c>
      <c r="W317" s="10">
        <f t="shared" si="69"/>
        <v>-1000</v>
      </c>
      <c r="X317" s="10">
        <f t="shared" si="60"/>
        <v>1000</v>
      </c>
      <c r="Y317" s="9" t="b">
        <f t="shared" si="63"/>
        <v>0</v>
      </c>
    </row>
    <row r="318" spans="1:25" s="9" customFormat="1" ht="13.5" customHeight="1" x14ac:dyDescent="0.2">
      <c r="A318" s="64">
        <f t="shared" si="61"/>
        <v>314</v>
      </c>
      <c r="B318" s="526" t="s">
        <v>1581</v>
      </c>
      <c r="C318" s="527">
        <v>41548</v>
      </c>
      <c r="D318" s="484">
        <v>10000000</v>
      </c>
      <c r="E318" s="484"/>
      <c r="F318" s="67">
        <f t="shared" si="65"/>
        <v>10000000</v>
      </c>
      <c r="G318" s="271">
        <v>9999000</v>
      </c>
      <c r="H318" s="184">
        <f t="shared" si="66"/>
        <v>1000</v>
      </c>
      <c r="I318" s="186">
        <v>5</v>
      </c>
      <c r="J318" s="186">
        <v>0.2</v>
      </c>
      <c r="K318" s="68">
        <v>0</v>
      </c>
      <c r="L318" s="110">
        <f t="shared" si="70"/>
        <v>0</v>
      </c>
      <c r="M318" s="271">
        <f t="shared" si="68"/>
        <v>9999000</v>
      </c>
      <c r="N318" s="184">
        <f t="shared" si="55"/>
        <v>1000</v>
      </c>
      <c r="O318" s="516" t="s">
        <v>1511</v>
      </c>
      <c r="P318" s="230">
        <v>1</v>
      </c>
      <c r="Q318" s="487"/>
      <c r="R318" s="23"/>
      <c r="S318" s="23">
        <f t="shared" si="64"/>
        <v>500000</v>
      </c>
      <c r="T318" s="23">
        <f t="shared" si="57"/>
        <v>-499000</v>
      </c>
      <c r="U318" s="23">
        <f t="shared" si="58"/>
        <v>0</v>
      </c>
      <c r="V318" s="10">
        <f t="shared" si="59"/>
        <v>2000000</v>
      </c>
      <c r="W318" s="10">
        <f t="shared" si="69"/>
        <v>-1000</v>
      </c>
      <c r="X318" s="10">
        <f t="shared" si="60"/>
        <v>1000</v>
      </c>
      <c r="Y318" s="9" t="b">
        <f t="shared" si="63"/>
        <v>0</v>
      </c>
    </row>
    <row r="319" spans="1:25" s="9" customFormat="1" ht="13.5" customHeight="1" x14ac:dyDescent="0.2">
      <c r="A319" s="64">
        <f t="shared" si="61"/>
        <v>315</v>
      </c>
      <c r="B319" s="526" t="s">
        <v>1582</v>
      </c>
      <c r="C319" s="527">
        <v>41548</v>
      </c>
      <c r="D319" s="484">
        <v>10000000</v>
      </c>
      <c r="E319" s="484"/>
      <c r="F319" s="67">
        <f t="shared" si="65"/>
        <v>10000000</v>
      </c>
      <c r="G319" s="271">
        <v>9999000</v>
      </c>
      <c r="H319" s="184">
        <f t="shared" si="66"/>
        <v>1000</v>
      </c>
      <c r="I319" s="186">
        <v>5</v>
      </c>
      <c r="J319" s="186">
        <v>0.2</v>
      </c>
      <c r="K319" s="68">
        <v>0</v>
      </c>
      <c r="L319" s="110">
        <f t="shared" si="70"/>
        <v>0</v>
      </c>
      <c r="M319" s="271">
        <f t="shared" si="68"/>
        <v>9999000</v>
      </c>
      <c r="N319" s="184">
        <f t="shared" si="55"/>
        <v>1000</v>
      </c>
      <c r="O319" s="516" t="s">
        <v>1511</v>
      </c>
      <c r="P319" s="230">
        <v>1</v>
      </c>
      <c r="Q319" s="487"/>
      <c r="R319" s="23"/>
      <c r="S319" s="23">
        <f t="shared" si="64"/>
        <v>500000</v>
      </c>
      <c r="T319" s="23">
        <f t="shared" si="57"/>
        <v>-499000</v>
      </c>
      <c r="U319" s="23">
        <f t="shared" si="58"/>
        <v>0</v>
      </c>
      <c r="V319" s="10">
        <f t="shared" si="59"/>
        <v>2000000</v>
      </c>
      <c r="W319" s="10">
        <f t="shared" si="69"/>
        <v>-1000</v>
      </c>
      <c r="X319" s="10">
        <f t="shared" si="60"/>
        <v>1000</v>
      </c>
      <c r="Y319" s="9" t="b">
        <f t="shared" si="63"/>
        <v>0</v>
      </c>
    </row>
    <row r="320" spans="1:25" s="9" customFormat="1" ht="13.5" customHeight="1" x14ac:dyDescent="0.2">
      <c r="A320" s="64">
        <f t="shared" si="61"/>
        <v>316</v>
      </c>
      <c r="B320" s="528" t="s">
        <v>1583</v>
      </c>
      <c r="C320" s="527">
        <v>41548</v>
      </c>
      <c r="D320" s="484">
        <v>9000000</v>
      </c>
      <c r="E320" s="484"/>
      <c r="F320" s="67">
        <f t="shared" si="65"/>
        <v>9000000</v>
      </c>
      <c r="G320" s="271">
        <v>8999000</v>
      </c>
      <c r="H320" s="184">
        <f t="shared" si="66"/>
        <v>1000</v>
      </c>
      <c r="I320" s="186">
        <v>5</v>
      </c>
      <c r="J320" s="186">
        <v>0.2</v>
      </c>
      <c r="K320" s="68">
        <v>0</v>
      </c>
      <c r="L320" s="110">
        <f t="shared" si="70"/>
        <v>0</v>
      </c>
      <c r="M320" s="271">
        <f t="shared" si="68"/>
        <v>8999000</v>
      </c>
      <c r="N320" s="184">
        <f t="shared" si="55"/>
        <v>1000</v>
      </c>
      <c r="O320" s="516" t="s">
        <v>1511</v>
      </c>
      <c r="P320" s="230">
        <v>1</v>
      </c>
      <c r="Q320" s="487"/>
      <c r="R320" s="23"/>
      <c r="S320" s="23">
        <f t="shared" si="64"/>
        <v>450000</v>
      </c>
      <c r="T320" s="23">
        <f t="shared" si="57"/>
        <v>-449000</v>
      </c>
      <c r="U320" s="23">
        <f t="shared" si="58"/>
        <v>0</v>
      </c>
      <c r="V320" s="10">
        <f t="shared" si="59"/>
        <v>1800000</v>
      </c>
      <c r="W320" s="10">
        <f t="shared" si="69"/>
        <v>-1000</v>
      </c>
      <c r="X320" s="10">
        <f t="shared" si="60"/>
        <v>1000</v>
      </c>
      <c r="Y320" s="9" t="b">
        <f t="shared" si="63"/>
        <v>0</v>
      </c>
    </row>
    <row r="321" spans="1:27" s="9" customFormat="1" ht="13.5" customHeight="1" x14ac:dyDescent="0.2">
      <c r="A321" s="64">
        <f t="shared" si="61"/>
        <v>317</v>
      </c>
      <c r="B321" s="528" t="s">
        <v>1584</v>
      </c>
      <c r="C321" s="527">
        <v>41548</v>
      </c>
      <c r="D321" s="484">
        <v>7000000</v>
      </c>
      <c r="E321" s="484"/>
      <c r="F321" s="67">
        <f t="shared" si="65"/>
        <v>7000000</v>
      </c>
      <c r="G321" s="271">
        <v>6999000</v>
      </c>
      <c r="H321" s="184">
        <f t="shared" si="66"/>
        <v>1000</v>
      </c>
      <c r="I321" s="186">
        <v>5</v>
      </c>
      <c r="J321" s="186">
        <v>0.2</v>
      </c>
      <c r="K321" s="68">
        <v>0</v>
      </c>
      <c r="L321" s="110">
        <f t="shared" si="70"/>
        <v>0</v>
      </c>
      <c r="M321" s="271">
        <f t="shared" si="68"/>
        <v>6999000</v>
      </c>
      <c r="N321" s="184">
        <f t="shared" si="55"/>
        <v>1000</v>
      </c>
      <c r="O321" s="516" t="s">
        <v>1511</v>
      </c>
      <c r="P321" s="230">
        <v>1</v>
      </c>
      <c r="Q321" s="487"/>
      <c r="R321" s="23"/>
      <c r="S321" s="23">
        <f t="shared" si="64"/>
        <v>350000</v>
      </c>
      <c r="T321" s="23">
        <f t="shared" si="57"/>
        <v>-349000</v>
      </c>
      <c r="U321" s="23">
        <f t="shared" si="58"/>
        <v>0</v>
      </c>
      <c r="V321" s="10">
        <f t="shared" si="59"/>
        <v>1400000</v>
      </c>
      <c r="W321" s="10">
        <f t="shared" si="69"/>
        <v>-1000</v>
      </c>
      <c r="X321" s="10">
        <f t="shared" si="60"/>
        <v>1000</v>
      </c>
      <c r="Y321" s="9" t="b">
        <f t="shared" si="63"/>
        <v>0</v>
      </c>
    </row>
    <row r="322" spans="1:27" s="9" customFormat="1" ht="13.5" customHeight="1" x14ac:dyDescent="0.2">
      <c r="A322" s="64">
        <f t="shared" si="61"/>
        <v>318</v>
      </c>
      <c r="B322" s="528" t="s">
        <v>1585</v>
      </c>
      <c r="C322" s="527">
        <v>41572</v>
      </c>
      <c r="D322" s="484">
        <v>5750000</v>
      </c>
      <c r="E322" s="484"/>
      <c r="F322" s="67">
        <f t="shared" si="65"/>
        <v>5750000</v>
      </c>
      <c r="G322" s="271">
        <v>5749000</v>
      </c>
      <c r="H322" s="184">
        <f t="shared" si="66"/>
        <v>1000</v>
      </c>
      <c r="I322" s="186">
        <v>5</v>
      </c>
      <c r="J322" s="186">
        <v>0.2</v>
      </c>
      <c r="K322" s="68">
        <v>0</v>
      </c>
      <c r="L322" s="110">
        <f t="shared" si="70"/>
        <v>0</v>
      </c>
      <c r="M322" s="271">
        <f t="shared" si="68"/>
        <v>5749000</v>
      </c>
      <c r="N322" s="184">
        <f t="shared" si="55"/>
        <v>1000</v>
      </c>
      <c r="O322" s="516" t="s">
        <v>1586</v>
      </c>
      <c r="P322" s="230">
        <v>1</v>
      </c>
      <c r="Q322" s="487"/>
      <c r="R322" s="23"/>
      <c r="S322" s="23">
        <f t="shared" si="64"/>
        <v>287500</v>
      </c>
      <c r="T322" s="23">
        <f t="shared" si="57"/>
        <v>-286500</v>
      </c>
      <c r="U322" s="23">
        <f t="shared" si="58"/>
        <v>0</v>
      </c>
      <c r="V322" s="10">
        <f t="shared" si="59"/>
        <v>1150000</v>
      </c>
      <c r="W322" s="10">
        <f t="shared" si="69"/>
        <v>-1000</v>
      </c>
      <c r="X322" s="10">
        <f t="shared" si="60"/>
        <v>1000</v>
      </c>
      <c r="Y322" s="9" t="b">
        <f t="shared" si="63"/>
        <v>0</v>
      </c>
    </row>
    <row r="323" spans="1:27" s="9" customFormat="1" ht="13.5" customHeight="1" x14ac:dyDescent="0.2">
      <c r="A323" s="272">
        <f t="shared" si="61"/>
        <v>319</v>
      </c>
      <c r="B323" s="529" t="s">
        <v>1587</v>
      </c>
      <c r="C323" s="530">
        <v>41603</v>
      </c>
      <c r="D323" s="484">
        <v>3100000</v>
      </c>
      <c r="E323" s="484"/>
      <c r="F323" s="67">
        <f t="shared" si="65"/>
        <v>3100000</v>
      </c>
      <c r="G323" s="271">
        <v>3099000</v>
      </c>
      <c r="H323" s="184">
        <f t="shared" si="66"/>
        <v>1000</v>
      </c>
      <c r="I323" s="186">
        <v>5</v>
      </c>
      <c r="J323" s="186">
        <v>0.2</v>
      </c>
      <c r="K323" s="68">
        <v>0</v>
      </c>
      <c r="L323" s="110">
        <f>ROUND(IF(F323*J323*K323/12&gt;=H323,H323-1000,F323*J323*K323/12),0)</f>
        <v>0</v>
      </c>
      <c r="M323" s="271">
        <f t="shared" si="68"/>
        <v>3099000</v>
      </c>
      <c r="N323" s="184">
        <f t="shared" si="55"/>
        <v>1000</v>
      </c>
      <c r="O323" s="516" t="s">
        <v>1271</v>
      </c>
      <c r="P323" s="230">
        <v>1</v>
      </c>
      <c r="Q323" s="487"/>
      <c r="R323" s="23"/>
      <c r="S323" s="23">
        <f t="shared" si="64"/>
        <v>155000</v>
      </c>
      <c r="T323" s="23">
        <f t="shared" si="57"/>
        <v>-154000</v>
      </c>
      <c r="U323" s="23">
        <f t="shared" si="58"/>
        <v>0</v>
      </c>
      <c r="V323" s="10">
        <f t="shared" si="59"/>
        <v>620000</v>
      </c>
      <c r="W323" s="10">
        <f t="shared" si="69"/>
        <v>-1000</v>
      </c>
      <c r="X323" s="10">
        <f t="shared" si="60"/>
        <v>1000</v>
      </c>
      <c r="Y323" s="9" t="b">
        <f t="shared" si="63"/>
        <v>0</v>
      </c>
    </row>
    <row r="324" spans="1:27" s="9" customFormat="1" ht="13.5" customHeight="1" x14ac:dyDescent="0.2">
      <c r="A324" s="311">
        <f t="shared" si="61"/>
        <v>320</v>
      </c>
      <c r="B324" s="531" t="s">
        <v>1588</v>
      </c>
      <c r="C324" s="532">
        <v>41639</v>
      </c>
      <c r="D324" s="533">
        <v>0</v>
      </c>
      <c r="E324" s="533"/>
      <c r="F324" s="315">
        <f t="shared" si="65"/>
        <v>0</v>
      </c>
      <c r="G324" s="534">
        <v>0</v>
      </c>
      <c r="H324" s="315">
        <f t="shared" si="66"/>
        <v>0</v>
      </c>
      <c r="I324" s="317">
        <v>5</v>
      </c>
      <c r="J324" s="317">
        <v>0.2</v>
      </c>
      <c r="K324" s="317">
        <v>0</v>
      </c>
      <c r="L324" s="316">
        <v>0</v>
      </c>
      <c r="M324" s="534">
        <v>0</v>
      </c>
      <c r="N324" s="315">
        <v>0</v>
      </c>
      <c r="O324" s="535" t="s">
        <v>1511</v>
      </c>
      <c r="P324" s="536">
        <v>1</v>
      </c>
      <c r="Q324" s="537" t="s">
        <v>1589</v>
      </c>
      <c r="R324" s="320"/>
      <c r="S324" s="320">
        <f t="shared" si="64"/>
        <v>0</v>
      </c>
      <c r="T324" s="320">
        <f t="shared" si="57"/>
        <v>0</v>
      </c>
      <c r="U324" s="320">
        <v>0</v>
      </c>
      <c r="V324" s="321">
        <f t="shared" si="59"/>
        <v>0</v>
      </c>
      <c r="W324" s="10">
        <f t="shared" ref="W324:W386" si="71">ROUND(IF(H324&lt;=1000,0,V324/12*K324),0)</f>
        <v>0</v>
      </c>
      <c r="X324" s="321">
        <f t="shared" si="60"/>
        <v>0</v>
      </c>
      <c r="Y324" s="538" t="b">
        <f t="shared" si="63"/>
        <v>1</v>
      </c>
      <c r="Z324" s="538"/>
      <c r="AA324" s="538"/>
    </row>
    <row r="325" spans="1:27" s="9" customFormat="1" ht="13.5" customHeight="1" x14ac:dyDescent="0.2">
      <c r="A325" s="272">
        <v>321</v>
      </c>
      <c r="B325" s="529" t="s">
        <v>1590</v>
      </c>
      <c r="C325" s="530">
        <v>41689</v>
      </c>
      <c r="D325" s="372">
        <v>3210000</v>
      </c>
      <c r="E325" s="484"/>
      <c r="F325" s="67">
        <f t="shared" si="65"/>
        <v>3210000</v>
      </c>
      <c r="G325" s="271">
        <v>3209000</v>
      </c>
      <c r="H325" s="184">
        <f t="shared" si="66"/>
        <v>1000</v>
      </c>
      <c r="I325" s="186">
        <v>5</v>
      </c>
      <c r="J325" s="186">
        <v>0.2</v>
      </c>
      <c r="K325" s="68">
        <v>0</v>
      </c>
      <c r="L325" s="110">
        <f t="shared" ref="L325:L386" si="72">ROUND(IF(F325*J325*K325/12&gt;=H325,H325-1000,F325*J325*K325/12),0)</f>
        <v>0</v>
      </c>
      <c r="M325" s="271">
        <f t="shared" ref="M325:M386" si="73">+G325+L325</f>
        <v>3209000</v>
      </c>
      <c r="N325" s="184">
        <f t="shared" ref="N325:N386" si="74">+F325-M325</f>
        <v>1000</v>
      </c>
      <c r="O325" s="516" t="s">
        <v>1502</v>
      </c>
      <c r="P325" s="233">
        <v>1</v>
      </c>
      <c r="Q325" s="487"/>
      <c r="R325" s="23"/>
      <c r="S325" s="23">
        <f t="shared" si="64"/>
        <v>160500</v>
      </c>
      <c r="T325" s="23">
        <f t="shared" ref="T325:T386" si="75">N325-S325</f>
        <v>-159500</v>
      </c>
      <c r="U325" s="23">
        <f t="shared" ref="U325:U386" si="76">N325-1000</f>
        <v>0</v>
      </c>
      <c r="V325" s="10">
        <f t="shared" ref="V325:V386" si="77">F325/I325</f>
        <v>642000</v>
      </c>
      <c r="W325" s="10">
        <f t="shared" si="69"/>
        <v>-1000</v>
      </c>
      <c r="X325" s="10">
        <f t="shared" ref="X325:X386" si="78">L325-W325</f>
        <v>1000</v>
      </c>
      <c r="Y325" s="9" t="b">
        <f t="shared" si="63"/>
        <v>0</v>
      </c>
    </row>
    <row r="326" spans="1:27" s="9" customFormat="1" ht="13.5" customHeight="1" x14ac:dyDescent="0.2">
      <c r="A326" s="272">
        <f t="shared" ref="A326:A389" si="79">+A325+1</f>
        <v>322</v>
      </c>
      <c r="B326" s="528" t="s">
        <v>1591</v>
      </c>
      <c r="C326" s="527">
        <v>41696</v>
      </c>
      <c r="D326" s="372">
        <v>64000000</v>
      </c>
      <c r="E326" s="484"/>
      <c r="F326" s="67">
        <f t="shared" si="65"/>
        <v>64000000</v>
      </c>
      <c r="G326" s="271">
        <v>63999000</v>
      </c>
      <c r="H326" s="184">
        <f t="shared" si="66"/>
        <v>1000</v>
      </c>
      <c r="I326" s="186">
        <v>5</v>
      </c>
      <c r="J326" s="186">
        <v>0.2</v>
      </c>
      <c r="K326" s="68">
        <v>0</v>
      </c>
      <c r="L326" s="110">
        <f t="shared" si="72"/>
        <v>0</v>
      </c>
      <c r="M326" s="271">
        <f t="shared" si="73"/>
        <v>63999000</v>
      </c>
      <c r="N326" s="184">
        <f t="shared" si="74"/>
        <v>1000</v>
      </c>
      <c r="O326" s="516" t="s">
        <v>1290</v>
      </c>
      <c r="P326" s="233">
        <v>1</v>
      </c>
      <c r="Q326" s="487"/>
      <c r="R326" s="23"/>
      <c r="S326" s="23">
        <f t="shared" si="64"/>
        <v>3200000</v>
      </c>
      <c r="T326" s="23">
        <f t="shared" si="75"/>
        <v>-3199000</v>
      </c>
      <c r="U326" s="23">
        <f t="shared" si="76"/>
        <v>0</v>
      </c>
      <c r="V326" s="10">
        <f t="shared" si="77"/>
        <v>12800000</v>
      </c>
      <c r="W326" s="10">
        <f t="shared" si="69"/>
        <v>-1000</v>
      </c>
      <c r="X326" s="10">
        <f t="shared" si="78"/>
        <v>1000</v>
      </c>
      <c r="Y326" s="9" t="b">
        <f t="shared" si="63"/>
        <v>0</v>
      </c>
    </row>
    <row r="327" spans="1:27" s="9" customFormat="1" ht="13.5" customHeight="1" x14ac:dyDescent="0.2">
      <c r="A327" s="272">
        <f t="shared" si="79"/>
        <v>323</v>
      </c>
      <c r="B327" s="528" t="s">
        <v>1592</v>
      </c>
      <c r="C327" s="527">
        <v>41696</v>
      </c>
      <c r="D327" s="372">
        <v>24000000</v>
      </c>
      <c r="E327" s="484"/>
      <c r="F327" s="67">
        <f t="shared" si="65"/>
        <v>24000000</v>
      </c>
      <c r="G327" s="271">
        <v>23999000</v>
      </c>
      <c r="H327" s="184">
        <f t="shared" si="66"/>
        <v>1000</v>
      </c>
      <c r="I327" s="186">
        <v>5</v>
      </c>
      <c r="J327" s="186">
        <v>0.2</v>
      </c>
      <c r="K327" s="68">
        <v>0</v>
      </c>
      <c r="L327" s="110">
        <f t="shared" si="72"/>
        <v>0</v>
      </c>
      <c r="M327" s="271">
        <f t="shared" si="73"/>
        <v>23999000</v>
      </c>
      <c r="N327" s="184">
        <f t="shared" si="74"/>
        <v>1000</v>
      </c>
      <c r="O327" s="516" t="s">
        <v>1322</v>
      </c>
      <c r="P327" s="233">
        <v>1</v>
      </c>
      <c r="Q327" s="487"/>
      <c r="R327" s="23"/>
      <c r="S327" s="23">
        <f t="shared" si="64"/>
        <v>1200000</v>
      </c>
      <c r="T327" s="23">
        <f t="shared" si="75"/>
        <v>-1199000</v>
      </c>
      <c r="U327" s="23">
        <f t="shared" si="76"/>
        <v>0</v>
      </c>
      <c r="V327" s="10">
        <f t="shared" si="77"/>
        <v>4800000</v>
      </c>
      <c r="W327" s="10">
        <f t="shared" si="69"/>
        <v>-1000</v>
      </c>
      <c r="X327" s="10">
        <f t="shared" si="78"/>
        <v>1000</v>
      </c>
      <c r="Y327" s="9" t="b">
        <f t="shared" si="63"/>
        <v>0</v>
      </c>
    </row>
    <row r="328" spans="1:27" s="9" customFormat="1" ht="13.5" customHeight="1" x14ac:dyDescent="0.2">
      <c r="A328" s="272">
        <f t="shared" si="79"/>
        <v>324</v>
      </c>
      <c r="B328" s="528" t="s">
        <v>1593</v>
      </c>
      <c r="C328" s="527">
        <v>41716</v>
      </c>
      <c r="D328" s="372">
        <v>38500000</v>
      </c>
      <c r="E328" s="484"/>
      <c r="F328" s="67">
        <f t="shared" si="65"/>
        <v>38500000</v>
      </c>
      <c r="G328" s="271">
        <v>38499000</v>
      </c>
      <c r="H328" s="184">
        <f t="shared" si="66"/>
        <v>1000</v>
      </c>
      <c r="I328" s="186">
        <v>5</v>
      </c>
      <c r="J328" s="186">
        <v>0.2</v>
      </c>
      <c r="K328" s="68">
        <v>0</v>
      </c>
      <c r="L328" s="110">
        <f t="shared" si="72"/>
        <v>0</v>
      </c>
      <c r="M328" s="271">
        <f t="shared" si="73"/>
        <v>38499000</v>
      </c>
      <c r="N328" s="184">
        <f t="shared" si="74"/>
        <v>1000</v>
      </c>
      <c r="O328" s="516" t="s">
        <v>1594</v>
      </c>
      <c r="P328" s="233">
        <v>1</v>
      </c>
      <c r="Q328" s="487"/>
      <c r="R328" s="23"/>
      <c r="S328" s="23">
        <f t="shared" si="64"/>
        <v>1925000</v>
      </c>
      <c r="T328" s="23">
        <f t="shared" si="75"/>
        <v>-1924000</v>
      </c>
      <c r="U328" s="23">
        <f t="shared" si="76"/>
        <v>0</v>
      </c>
      <c r="V328" s="10">
        <f t="shared" si="77"/>
        <v>7700000</v>
      </c>
      <c r="W328" s="10">
        <f t="shared" si="69"/>
        <v>-1000</v>
      </c>
      <c r="X328" s="10">
        <f t="shared" si="78"/>
        <v>1000</v>
      </c>
      <c r="Y328" s="9" t="b">
        <f t="shared" si="63"/>
        <v>0</v>
      </c>
    </row>
    <row r="329" spans="1:27" s="9" customFormat="1" ht="13.5" customHeight="1" x14ac:dyDescent="0.2">
      <c r="A329" s="272">
        <f t="shared" si="79"/>
        <v>325</v>
      </c>
      <c r="B329" s="528" t="s">
        <v>304</v>
      </c>
      <c r="C329" s="527">
        <v>41744</v>
      </c>
      <c r="D329" s="372">
        <v>1850000</v>
      </c>
      <c r="E329" s="484"/>
      <c r="F329" s="67">
        <f t="shared" si="65"/>
        <v>1850000</v>
      </c>
      <c r="G329" s="271">
        <v>1849000</v>
      </c>
      <c r="H329" s="184">
        <f t="shared" si="66"/>
        <v>1000</v>
      </c>
      <c r="I329" s="186">
        <v>5</v>
      </c>
      <c r="J329" s="186">
        <v>0.2</v>
      </c>
      <c r="K329" s="68">
        <v>0</v>
      </c>
      <c r="L329" s="110">
        <f t="shared" si="72"/>
        <v>0</v>
      </c>
      <c r="M329" s="271">
        <f t="shared" si="73"/>
        <v>1849000</v>
      </c>
      <c r="N329" s="184">
        <f t="shared" si="74"/>
        <v>1000</v>
      </c>
      <c r="O329" s="516" t="s">
        <v>221</v>
      </c>
      <c r="P329" s="233">
        <v>1</v>
      </c>
      <c r="Q329" s="487"/>
      <c r="R329" s="23"/>
      <c r="S329" s="23">
        <f t="shared" si="64"/>
        <v>92500</v>
      </c>
      <c r="T329" s="23">
        <f t="shared" si="75"/>
        <v>-91500</v>
      </c>
      <c r="U329" s="23">
        <f t="shared" si="76"/>
        <v>0</v>
      </c>
      <c r="V329" s="10">
        <f t="shared" si="77"/>
        <v>370000</v>
      </c>
      <c r="W329" s="10">
        <f t="shared" si="69"/>
        <v>-1000</v>
      </c>
      <c r="X329" s="10">
        <f t="shared" si="78"/>
        <v>1000</v>
      </c>
      <c r="Y329" s="9" t="b">
        <f t="shared" si="63"/>
        <v>0</v>
      </c>
    </row>
    <row r="330" spans="1:27" s="9" customFormat="1" ht="13.5" customHeight="1" x14ac:dyDescent="0.2">
      <c r="A330" s="272">
        <f t="shared" si="79"/>
        <v>326</v>
      </c>
      <c r="B330" s="528" t="s">
        <v>1595</v>
      </c>
      <c r="C330" s="527">
        <v>41758</v>
      </c>
      <c r="D330" s="372">
        <v>2500000</v>
      </c>
      <c r="E330" s="484"/>
      <c r="F330" s="67">
        <f t="shared" si="65"/>
        <v>2500000</v>
      </c>
      <c r="G330" s="271">
        <v>2499000</v>
      </c>
      <c r="H330" s="184">
        <f t="shared" si="66"/>
        <v>1000</v>
      </c>
      <c r="I330" s="186">
        <v>5</v>
      </c>
      <c r="J330" s="186">
        <v>0.2</v>
      </c>
      <c r="K330" s="68">
        <v>0</v>
      </c>
      <c r="L330" s="110">
        <f t="shared" si="72"/>
        <v>0</v>
      </c>
      <c r="M330" s="271">
        <f t="shared" si="73"/>
        <v>2499000</v>
      </c>
      <c r="N330" s="184">
        <f t="shared" si="74"/>
        <v>1000</v>
      </c>
      <c r="O330" s="516" t="s">
        <v>1596</v>
      </c>
      <c r="P330" s="233">
        <v>1</v>
      </c>
      <c r="Q330" s="487"/>
      <c r="R330" s="23"/>
      <c r="S330" s="23">
        <f t="shared" si="64"/>
        <v>125000</v>
      </c>
      <c r="T330" s="23">
        <f t="shared" si="75"/>
        <v>-124000</v>
      </c>
      <c r="U330" s="23">
        <f t="shared" si="76"/>
        <v>0</v>
      </c>
      <c r="V330" s="10">
        <f t="shared" si="77"/>
        <v>500000</v>
      </c>
      <c r="W330" s="10">
        <f t="shared" si="69"/>
        <v>-1000</v>
      </c>
      <c r="X330" s="10">
        <f t="shared" si="78"/>
        <v>1000</v>
      </c>
      <c r="Y330" s="9" t="b">
        <f t="shared" si="63"/>
        <v>0</v>
      </c>
    </row>
    <row r="331" spans="1:27" s="9" customFormat="1" ht="13.5" customHeight="1" x14ac:dyDescent="0.2">
      <c r="A331" s="272">
        <f t="shared" si="79"/>
        <v>327</v>
      </c>
      <c r="B331" s="528" t="s">
        <v>1597</v>
      </c>
      <c r="C331" s="527">
        <v>41759</v>
      </c>
      <c r="D331" s="372">
        <v>3700000</v>
      </c>
      <c r="E331" s="484"/>
      <c r="F331" s="67">
        <f t="shared" si="65"/>
        <v>3700000</v>
      </c>
      <c r="G331" s="271">
        <v>3699000</v>
      </c>
      <c r="H331" s="184">
        <f t="shared" si="66"/>
        <v>1000</v>
      </c>
      <c r="I331" s="186">
        <v>5</v>
      </c>
      <c r="J331" s="186">
        <v>0.2</v>
      </c>
      <c r="K331" s="68">
        <v>0</v>
      </c>
      <c r="L331" s="110">
        <f t="shared" si="72"/>
        <v>0</v>
      </c>
      <c r="M331" s="271">
        <f t="shared" si="73"/>
        <v>3699000</v>
      </c>
      <c r="N331" s="184">
        <f t="shared" si="74"/>
        <v>1000</v>
      </c>
      <c r="O331" s="516" t="s">
        <v>1598</v>
      </c>
      <c r="P331" s="233">
        <v>1</v>
      </c>
      <c r="Q331" s="487"/>
      <c r="R331" s="23"/>
      <c r="S331" s="23">
        <f t="shared" si="64"/>
        <v>185000</v>
      </c>
      <c r="T331" s="23">
        <f t="shared" si="75"/>
        <v>-184000</v>
      </c>
      <c r="U331" s="23">
        <f t="shared" si="76"/>
        <v>0</v>
      </c>
      <c r="V331" s="10">
        <f t="shared" si="77"/>
        <v>740000</v>
      </c>
      <c r="W331" s="10">
        <f t="shared" si="69"/>
        <v>-1000</v>
      </c>
      <c r="X331" s="10">
        <f t="shared" si="78"/>
        <v>1000</v>
      </c>
      <c r="Y331" s="9" t="b">
        <f t="shared" si="63"/>
        <v>0</v>
      </c>
    </row>
    <row r="332" spans="1:27" s="9" customFormat="1" ht="13.5" customHeight="1" x14ac:dyDescent="0.2">
      <c r="A332" s="272">
        <f t="shared" si="79"/>
        <v>328</v>
      </c>
      <c r="B332" s="528" t="s">
        <v>1599</v>
      </c>
      <c r="C332" s="527">
        <v>41774</v>
      </c>
      <c r="D332" s="372">
        <v>3210000</v>
      </c>
      <c r="E332" s="484"/>
      <c r="F332" s="67">
        <f t="shared" si="65"/>
        <v>3210000</v>
      </c>
      <c r="G332" s="271">
        <v>3209000</v>
      </c>
      <c r="H332" s="184">
        <f t="shared" si="66"/>
        <v>1000</v>
      </c>
      <c r="I332" s="186">
        <v>5</v>
      </c>
      <c r="J332" s="186">
        <v>0.2</v>
      </c>
      <c r="K332" s="68">
        <v>0</v>
      </c>
      <c r="L332" s="110">
        <f t="shared" si="72"/>
        <v>0</v>
      </c>
      <c r="M332" s="271">
        <f t="shared" si="73"/>
        <v>3209000</v>
      </c>
      <c r="N332" s="184">
        <f t="shared" si="74"/>
        <v>1000</v>
      </c>
      <c r="O332" s="516" t="s">
        <v>1271</v>
      </c>
      <c r="P332" s="233">
        <v>1</v>
      </c>
      <c r="Q332" s="487"/>
      <c r="R332" s="23"/>
      <c r="S332" s="23">
        <f t="shared" si="64"/>
        <v>160500</v>
      </c>
      <c r="T332" s="23">
        <f t="shared" si="75"/>
        <v>-159500</v>
      </c>
      <c r="U332" s="23">
        <f t="shared" si="76"/>
        <v>0</v>
      </c>
      <c r="V332" s="10">
        <f t="shared" si="77"/>
        <v>642000</v>
      </c>
      <c r="W332" s="10">
        <f t="shared" si="71"/>
        <v>0</v>
      </c>
      <c r="X332" s="10">
        <f t="shared" si="78"/>
        <v>0</v>
      </c>
      <c r="Y332" s="9" t="b">
        <f t="shared" si="63"/>
        <v>1</v>
      </c>
    </row>
    <row r="333" spans="1:27" s="9" customFormat="1" ht="13.5" customHeight="1" x14ac:dyDescent="0.2">
      <c r="A333" s="272">
        <f t="shared" si="79"/>
        <v>329</v>
      </c>
      <c r="B333" s="528" t="s">
        <v>1600</v>
      </c>
      <c r="C333" s="527">
        <v>41816</v>
      </c>
      <c r="D333" s="372">
        <v>6110000</v>
      </c>
      <c r="E333" s="484"/>
      <c r="F333" s="67">
        <f t="shared" si="65"/>
        <v>6110000</v>
      </c>
      <c r="G333" s="271">
        <v>6109000</v>
      </c>
      <c r="H333" s="184">
        <f t="shared" si="66"/>
        <v>1000</v>
      </c>
      <c r="I333" s="186">
        <v>5</v>
      </c>
      <c r="J333" s="186">
        <v>0.2</v>
      </c>
      <c r="K333" s="68">
        <v>0</v>
      </c>
      <c r="L333" s="110">
        <f t="shared" si="72"/>
        <v>0</v>
      </c>
      <c r="M333" s="271">
        <f t="shared" si="73"/>
        <v>6109000</v>
      </c>
      <c r="N333" s="184">
        <f t="shared" si="74"/>
        <v>1000</v>
      </c>
      <c r="O333" s="516" t="s">
        <v>1601</v>
      </c>
      <c r="P333" s="233">
        <v>1</v>
      </c>
      <c r="Q333" s="487"/>
      <c r="R333" s="23"/>
      <c r="S333" s="23">
        <f t="shared" si="64"/>
        <v>305500</v>
      </c>
      <c r="T333" s="23">
        <f t="shared" si="75"/>
        <v>-304500</v>
      </c>
      <c r="U333" s="23">
        <f t="shared" si="76"/>
        <v>0</v>
      </c>
      <c r="V333" s="10">
        <f t="shared" si="77"/>
        <v>1222000</v>
      </c>
      <c r="W333" s="10">
        <f t="shared" si="71"/>
        <v>0</v>
      </c>
      <c r="X333" s="10">
        <f t="shared" si="78"/>
        <v>0</v>
      </c>
      <c r="Y333" s="9" t="b">
        <f t="shared" si="63"/>
        <v>1</v>
      </c>
    </row>
    <row r="334" spans="1:27" s="9" customFormat="1" ht="13.5" customHeight="1" x14ac:dyDescent="0.2">
      <c r="A334" s="272">
        <f t="shared" si="79"/>
        <v>330</v>
      </c>
      <c r="B334" s="528" t="s">
        <v>1602</v>
      </c>
      <c r="C334" s="527">
        <v>41912</v>
      </c>
      <c r="D334" s="372">
        <v>780000</v>
      </c>
      <c r="E334" s="484"/>
      <c r="F334" s="67">
        <f t="shared" si="65"/>
        <v>780000</v>
      </c>
      <c r="G334" s="271">
        <v>779000</v>
      </c>
      <c r="H334" s="184">
        <f t="shared" si="66"/>
        <v>1000</v>
      </c>
      <c r="I334" s="186">
        <v>5</v>
      </c>
      <c r="J334" s="186">
        <v>0.2</v>
      </c>
      <c r="K334" s="68">
        <v>0</v>
      </c>
      <c r="L334" s="110">
        <f t="shared" si="72"/>
        <v>0</v>
      </c>
      <c r="M334" s="271">
        <f t="shared" si="73"/>
        <v>779000</v>
      </c>
      <c r="N334" s="184">
        <f t="shared" si="74"/>
        <v>1000</v>
      </c>
      <c r="O334" s="516" t="s">
        <v>819</v>
      </c>
      <c r="P334" s="233">
        <v>1</v>
      </c>
      <c r="Q334" s="487"/>
      <c r="R334" s="23"/>
      <c r="S334" s="23">
        <f t="shared" si="64"/>
        <v>39000</v>
      </c>
      <c r="T334" s="23">
        <f t="shared" si="75"/>
        <v>-38000</v>
      </c>
      <c r="U334" s="23">
        <f t="shared" si="76"/>
        <v>0</v>
      </c>
      <c r="V334" s="10">
        <f t="shared" si="77"/>
        <v>156000</v>
      </c>
      <c r="W334" s="10">
        <f t="shared" si="71"/>
        <v>0</v>
      </c>
      <c r="X334" s="10">
        <f t="shared" si="78"/>
        <v>0</v>
      </c>
      <c r="Y334" s="9" t="b">
        <f t="shared" si="63"/>
        <v>1</v>
      </c>
    </row>
    <row r="335" spans="1:27" s="9" customFormat="1" ht="13.5" customHeight="1" x14ac:dyDescent="0.2">
      <c r="A335" s="272">
        <f t="shared" si="79"/>
        <v>331</v>
      </c>
      <c r="B335" s="528" t="s">
        <v>1603</v>
      </c>
      <c r="C335" s="527">
        <v>41950</v>
      </c>
      <c r="D335" s="372">
        <v>59000000</v>
      </c>
      <c r="E335" s="484"/>
      <c r="F335" s="67">
        <f t="shared" si="65"/>
        <v>59000000</v>
      </c>
      <c r="G335" s="271">
        <v>58999000</v>
      </c>
      <c r="H335" s="184">
        <f t="shared" si="66"/>
        <v>1000</v>
      </c>
      <c r="I335" s="186">
        <v>5</v>
      </c>
      <c r="J335" s="186">
        <v>0.2</v>
      </c>
      <c r="K335" s="68">
        <v>0</v>
      </c>
      <c r="L335" s="110">
        <f t="shared" si="72"/>
        <v>0</v>
      </c>
      <c r="M335" s="271">
        <f t="shared" si="73"/>
        <v>58999000</v>
      </c>
      <c r="N335" s="184">
        <f t="shared" si="74"/>
        <v>1000</v>
      </c>
      <c r="O335" s="516" t="s">
        <v>1290</v>
      </c>
      <c r="P335" s="233">
        <v>1</v>
      </c>
      <c r="Q335" s="487"/>
      <c r="R335" s="23"/>
      <c r="S335" s="23">
        <f t="shared" si="64"/>
        <v>2950000</v>
      </c>
      <c r="T335" s="23">
        <f t="shared" si="75"/>
        <v>-2949000</v>
      </c>
      <c r="U335" s="23">
        <f t="shared" si="76"/>
        <v>0</v>
      </c>
      <c r="V335" s="10">
        <f t="shared" si="77"/>
        <v>11800000</v>
      </c>
      <c r="W335" s="10">
        <f t="shared" si="71"/>
        <v>0</v>
      </c>
      <c r="X335" s="10">
        <f t="shared" si="78"/>
        <v>0</v>
      </c>
      <c r="Y335" s="9" t="b">
        <f t="shared" si="63"/>
        <v>1</v>
      </c>
    </row>
    <row r="336" spans="1:27" s="9" customFormat="1" ht="13.5" customHeight="1" x14ac:dyDescent="0.2">
      <c r="A336" s="272">
        <f t="shared" si="79"/>
        <v>332</v>
      </c>
      <c r="B336" s="528" t="s">
        <v>1604</v>
      </c>
      <c r="C336" s="527">
        <v>41955</v>
      </c>
      <c r="D336" s="372">
        <v>17500000</v>
      </c>
      <c r="E336" s="484"/>
      <c r="F336" s="67">
        <f t="shared" si="65"/>
        <v>17500000</v>
      </c>
      <c r="G336" s="271">
        <v>17499000</v>
      </c>
      <c r="H336" s="184">
        <f t="shared" si="66"/>
        <v>1000</v>
      </c>
      <c r="I336" s="186">
        <v>5</v>
      </c>
      <c r="J336" s="186">
        <v>0.2</v>
      </c>
      <c r="K336" s="68">
        <v>0</v>
      </c>
      <c r="L336" s="110">
        <f t="shared" si="72"/>
        <v>0</v>
      </c>
      <c r="M336" s="271">
        <f t="shared" si="73"/>
        <v>17499000</v>
      </c>
      <c r="N336" s="184">
        <f t="shared" si="74"/>
        <v>1000</v>
      </c>
      <c r="O336" s="516" t="s">
        <v>1543</v>
      </c>
      <c r="P336" s="233">
        <v>1</v>
      </c>
      <c r="Q336" s="487"/>
      <c r="R336" s="23"/>
      <c r="S336" s="23">
        <f t="shared" si="64"/>
        <v>875000</v>
      </c>
      <c r="T336" s="23">
        <f t="shared" si="75"/>
        <v>-874000</v>
      </c>
      <c r="U336" s="23">
        <f t="shared" si="76"/>
        <v>0</v>
      </c>
      <c r="V336" s="10">
        <f t="shared" si="77"/>
        <v>3500000</v>
      </c>
      <c r="W336" s="10">
        <f t="shared" si="71"/>
        <v>0</v>
      </c>
      <c r="X336" s="10">
        <f t="shared" si="78"/>
        <v>0</v>
      </c>
      <c r="Y336" s="9" t="b">
        <f t="shared" si="63"/>
        <v>1</v>
      </c>
    </row>
    <row r="337" spans="1:25" s="9" customFormat="1" ht="13.5" customHeight="1" x14ac:dyDescent="0.2">
      <c r="A337" s="272">
        <f t="shared" si="79"/>
        <v>333</v>
      </c>
      <c r="B337" s="528" t="s">
        <v>1605</v>
      </c>
      <c r="C337" s="527">
        <v>41974</v>
      </c>
      <c r="D337" s="372">
        <v>780000</v>
      </c>
      <c r="E337" s="484"/>
      <c r="F337" s="67">
        <f t="shared" si="65"/>
        <v>780000</v>
      </c>
      <c r="G337" s="271">
        <v>779000</v>
      </c>
      <c r="H337" s="184">
        <f t="shared" si="66"/>
        <v>1000</v>
      </c>
      <c r="I337" s="186">
        <v>5</v>
      </c>
      <c r="J337" s="186">
        <v>0.2</v>
      </c>
      <c r="K337" s="68">
        <v>0</v>
      </c>
      <c r="L337" s="110">
        <f t="shared" si="72"/>
        <v>0</v>
      </c>
      <c r="M337" s="271">
        <f t="shared" si="73"/>
        <v>779000</v>
      </c>
      <c r="N337" s="184">
        <f t="shared" si="74"/>
        <v>1000</v>
      </c>
      <c r="O337" s="516" t="s">
        <v>819</v>
      </c>
      <c r="P337" s="233">
        <v>1</v>
      </c>
      <c r="Q337" s="487"/>
      <c r="R337" s="23"/>
      <c r="S337" s="23">
        <f t="shared" si="64"/>
        <v>39000</v>
      </c>
      <c r="T337" s="23">
        <f t="shared" si="75"/>
        <v>-38000</v>
      </c>
      <c r="U337" s="23">
        <f t="shared" si="76"/>
        <v>0</v>
      </c>
      <c r="V337" s="10">
        <f t="shared" si="77"/>
        <v>156000</v>
      </c>
      <c r="W337" s="10">
        <f t="shared" si="71"/>
        <v>0</v>
      </c>
      <c r="X337" s="10">
        <f t="shared" si="78"/>
        <v>0</v>
      </c>
      <c r="Y337" s="9" t="b">
        <f t="shared" si="63"/>
        <v>1</v>
      </c>
    </row>
    <row r="338" spans="1:25" s="9" customFormat="1" ht="13.5" customHeight="1" x14ac:dyDescent="0.2">
      <c r="A338" s="272">
        <f t="shared" si="79"/>
        <v>334</v>
      </c>
      <c r="B338" s="528" t="s">
        <v>1606</v>
      </c>
      <c r="C338" s="527">
        <v>41995</v>
      </c>
      <c r="D338" s="372">
        <v>1820000</v>
      </c>
      <c r="E338" s="484"/>
      <c r="F338" s="67">
        <f t="shared" si="65"/>
        <v>1820000</v>
      </c>
      <c r="G338" s="271">
        <v>1819000</v>
      </c>
      <c r="H338" s="184">
        <f t="shared" si="66"/>
        <v>1000</v>
      </c>
      <c r="I338" s="186">
        <v>5</v>
      </c>
      <c r="J338" s="186">
        <v>0.2</v>
      </c>
      <c r="K338" s="68">
        <v>0</v>
      </c>
      <c r="L338" s="110">
        <f t="shared" si="72"/>
        <v>0</v>
      </c>
      <c r="M338" s="271">
        <f t="shared" si="73"/>
        <v>1819000</v>
      </c>
      <c r="N338" s="184">
        <f t="shared" si="74"/>
        <v>1000</v>
      </c>
      <c r="O338" s="516" t="s">
        <v>1502</v>
      </c>
      <c r="P338" s="233">
        <v>1</v>
      </c>
      <c r="Q338" s="487"/>
      <c r="R338" s="23"/>
      <c r="S338" s="23">
        <f t="shared" si="64"/>
        <v>91000</v>
      </c>
      <c r="T338" s="23">
        <f t="shared" si="75"/>
        <v>-90000</v>
      </c>
      <c r="U338" s="23">
        <f t="shared" si="76"/>
        <v>0</v>
      </c>
      <c r="V338" s="10">
        <f t="shared" si="77"/>
        <v>364000</v>
      </c>
      <c r="W338" s="10">
        <f t="shared" si="71"/>
        <v>0</v>
      </c>
      <c r="X338" s="10">
        <f t="shared" si="78"/>
        <v>0</v>
      </c>
      <c r="Y338" s="9" t="b">
        <f t="shared" si="63"/>
        <v>1</v>
      </c>
    </row>
    <row r="339" spans="1:25" s="9" customFormat="1" ht="13.5" customHeight="1" x14ac:dyDescent="0.2">
      <c r="A339" s="272">
        <f t="shared" si="79"/>
        <v>335</v>
      </c>
      <c r="B339" s="528" t="s">
        <v>1607</v>
      </c>
      <c r="C339" s="527">
        <v>42040</v>
      </c>
      <c r="D339" s="484">
        <v>6000000</v>
      </c>
      <c r="E339" s="484"/>
      <c r="F339" s="67">
        <f t="shared" si="65"/>
        <v>6000000</v>
      </c>
      <c r="G339" s="271">
        <v>5999000</v>
      </c>
      <c r="H339" s="184">
        <f t="shared" si="66"/>
        <v>1000</v>
      </c>
      <c r="I339" s="186">
        <v>5</v>
      </c>
      <c r="J339" s="186">
        <v>0.2</v>
      </c>
      <c r="K339" s="68">
        <v>0</v>
      </c>
      <c r="L339" s="140">
        <f t="shared" si="72"/>
        <v>0</v>
      </c>
      <c r="M339" s="271">
        <f t="shared" si="73"/>
        <v>5999000</v>
      </c>
      <c r="N339" s="184">
        <f t="shared" si="74"/>
        <v>1000</v>
      </c>
      <c r="O339" s="516" t="s">
        <v>1608</v>
      </c>
      <c r="P339" s="233">
        <v>1</v>
      </c>
      <c r="Q339" s="487"/>
      <c r="R339" s="23"/>
      <c r="S339" s="23">
        <f t="shared" si="64"/>
        <v>300000</v>
      </c>
      <c r="T339" s="23">
        <f t="shared" si="75"/>
        <v>-299000</v>
      </c>
      <c r="U339" s="23">
        <f t="shared" si="76"/>
        <v>0</v>
      </c>
      <c r="V339" s="10">
        <f t="shared" si="77"/>
        <v>1200000</v>
      </c>
      <c r="W339" s="10">
        <f t="shared" si="71"/>
        <v>0</v>
      </c>
      <c r="X339" s="10">
        <f t="shared" si="78"/>
        <v>0</v>
      </c>
      <c r="Y339" s="9" t="b">
        <f t="shared" si="63"/>
        <v>1</v>
      </c>
    </row>
    <row r="340" spans="1:25" s="190" customFormat="1" ht="13.5" customHeight="1" x14ac:dyDescent="0.2">
      <c r="A340" s="272">
        <f t="shared" si="79"/>
        <v>336</v>
      </c>
      <c r="B340" s="529" t="s">
        <v>1474</v>
      </c>
      <c r="C340" s="530">
        <v>42069</v>
      </c>
      <c r="D340" s="539">
        <v>4941000</v>
      </c>
      <c r="E340" s="539"/>
      <c r="F340" s="184">
        <f t="shared" si="65"/>
        <v>4941000</v>
      </c>
      <c r="G340" s="271">
        <v>4940000</v>
      </c>
      <c r="H340" s="184">
        <f t="shared" si="66"/>
        <v>1000</v>
      </c>
      <c r="I340" s="186">
        <v>5</v>
      </c>
      <c r="J340" s="186">
        <v>0.2</v>
      </c>
      <c r="K340" s="68">
        <v>0</v>
      </c>
      <c r="L340" s="437">
        <f t="shared" si="72"/>
        <v>0</v>
      </c>
      <c r="M340" s="271">
        <f t="shared" si="73"/>
        <v>4940000</v>
      </c>
      <c r="N340" s="184">
        <f t="shared" si="74"/>
        <v>1000</v>
      </c>
      <c r="O340" s="516" t="s">
        <v>1609</v>
      </c>
      <c r="P340" s="516">
        <v>1</v>
      </c>
      <c r="Q340" s="540"/>
      <c r="R340" s="189"/>
      <c r="S340" s="189">
        <f t="shared" si="64"/>
        <v>247050</v>
      </c>
      <c r="T340" s="189">
        <f t="shared" si="75"/>
        <v>-246050</v>
      </c>
      <c r="U340" s="189">
        <f t="shared" si="76"/>
        <v>0</v>
      </c>
      <c r="V340" s="279">
        <f t="shared" si="77"/>
        <v>988200</v>
      </c>
      <c r="W340" s="10">
        <f t="shared" si="71"/>
        <v>0</v>
      </c>
      <c r="X340" s="279">
        <f t="shared" si="78"/>
        <v>0</v>
      </c>
      <c r="Y340" s="190" t="b">
        <f t="shared" si="63"/>
        <v>1</v>
      </c>
    </row>
    <row r="341" spans="1:25" s="9" customFormat="1" ht="13.5" customHeight="1" x14ac:dyDescent="0.2">
      <c r="A341" s="272">
        <f t="shared" si="79"/>
        <v>337</v>
      </c>
      <c r="B341" s="528" t="s">
        <v>1610</v>
      </c>
      <c r="C341" s="527">
        <v>42088</v>
      </c>
      <c r="D341" s="484">
        <v>38150000</v>
      </c>
      <c r="E341" s="484"/>
      <c r="F341" s="67">
        <f t="shared" si="65"/>
        <v>38150000</v>
      </c>
      <c r="G341" s="271">
        <v>38149000</v>
      </c>
      <c r="H341" s="184">
        <f t="shared" si="66"/>
        <v>1000</v>
      </c>
      <c r="I341" s="186">
        <v>5</v>
      </c>
      <c r="J341" s="186">
        <v>0.2</v>
      </c>
      <c r="K341" s="68">
        <v>0</v>
      </c>
      <c r="L341" s="437">
        <f>ROUND(IF(F341*J341*K341/12&gt;=H341,H341-1000,F341*J341*K341/12),0)</f>
        <v>0</v>
      </c>
      <c r="M341" s="271">
        <f t="shared" si="73"/>
        <v>38149000</v>
      </c>
      <c r="N341" s="184">
        <f t="shared" si="74"/>
        <v>1000</v>
      </c>
      <c r="O341" s="516" t="s">
        <v>1322</v>
      </c>
      <c r="P341" s="233">
        <v>1</v>
      </c>
      <c r="Q341" s="487"/>
      <c r="R341" s="23"/>
      <c r="S341" s="23">
        <f t="shared" si="64"/>
        <v>1907500</v>
      </c>
      <c r="T341" s="23">
        <f t="shared" si="75"/>
        <v>-1906500</v>
      </c>
      <c r="U341" s="23">
        <f t="shared" si="76"/>
        <v>0</v>
      </c>
      <c r="V341" s="10">
        <f t="shared" si="77"/>
        <v>7630000</v>
      </c>
      <c r="W341" s="10">
        <f t="shared" si="71"/>
        <v>0</v>
      </c>
      <c r="X341" s="10">
        <f t="shared" si="78"/>
        <v>0</v>
      </c>
      <c r="Y341" s="9" t="b">
        <f t="shared" si="63"/>
        <v>1</v>
      </c>
    </row>
    <row r="342" spans="1:25" s="9" customFormat="1" ht="13.5" customHeight="1" x14ac:dyDescent="0.2">
      <c r="A342" s="272">
        <f t="shared" si="79"/>
        <v>338</v>
      </c>
      <c r="B342" s="528" t="s">
        <v>1611</v>
      </c>
      <c r="C342" s="527">
        <v>42139</v>
      </c>
      <c r="D342" s="484">
        <v>6500000</v>
      </c>
      <c r="E342" s="484"/>
      <c r="F342" s="67">
        <f t="shared" si="65"/>
        <v>6500000</v>
      </c>
      <c r="G342" s="271">
        <v>6499000</v>
      </c>
      <c r="H342" s="184">
        <f t="shared" si="66"/>
        <v>1000</v>
      </c>
      <c r="I342" s="186">
        <v>5</v>
      </c>
      <c r="J342" s="186">
        <v>0.2</v>
      </c>
      <c r="K342" s="68">
        <v>0</v>
      </c>
      <c r="L342" s="437">
        <f t="shared" si="72"/>
        <v>0</v>
      </c>
      <c r="M342" s="271">
        <f t="shared" si="73"/>
        <v>6499000</v>
      </c>
      <c r="N342" s="184">
        <f t="shared" si="74"/>
        <v>1000</v>
      </c>
      <c r="O342" s="516" t="s">
        <v>1271</v>
      </c>
      <c r="P342" s="233">
        <v>1</v>
      </c>
      <c r="Q342" s="487"/>
      <c r="R342" s="23"/>
      <c r="S342" s="23">
        <f t="shared" si="64"/>
        <v>325000</v>
      </c>
      <c r="T342" s="23">
        <f t="shared" si="75"/>
        <v>-324000</v>
      </c>
      <c r="U342" s="23">
        <f t="shared" si="76"/>
        <v>0</v>
      </c>
      <c r="V342" s="10">
        <f t="shared" si="77"/>
        <v>1300000</v>
      </c>
      <c r="W342" s="10">
        <f t="shared" si="71"/>
        <v>0</v>
      </c>
      <c r="X342" s="10">
        <f t="shared" si="78"/>
        <v>0</v>
      </c>
      <c r="Y342" s="9" t="b">
        <f t="shared" si="63"/>
        <v>1</v>
      </c>
    </row>
    <row r="343" spans="1:25" s="9" customFormat="1" ht="13.5" customHeight="1" x14ac:dyDescent="0.2">
      <c r="A343" s="272">
        <f t="shared" si="79"/>
        <v>339</v>
      </c>
      <c r="B343" s="528" t="s">
        <v>1602</v>
      </c>
      <c r="C343" s="527">
        <v>42193</v>
      </c>
      <c r="D343" s="484">
        <v>780000</v>
      </c>
      <c r="E343" s="484"/>
      <c r="F343" s="67">
        <f t="shared" si="65"/>
        <v>780000</v>
      </c>
      <c r="G343" s="271">
        <v>779000</v>
      </c>
      <c r="H343" s="184">
        <f t="shared" si="66"/>
        <v>1000</v>
      </c>
      <c r="I343" s="186">
        <v>5</v>
      </c>
      <c r="J343" s="186">
        <v>0.2</v>
      </c>
      <c r="K343" s="68">
        <v>0</v>
      </c>
      <c r="L343" s="437">
        <f t="shared" si="72"/>
        <v>0</v>
      </c>
      <c r="M343" s="271">
        <f t="shared" si="73"/>
        <v>779000</v>
      </c>
      <c r="N343" s="184">
        <f t="shared" si="74"/>
        <v>1000</v>
      </c>
      <c r="O343" s="516" t="s">
        <v>1546</v>
      </c>
      <c r="P343" s="233">
        <v>1</v>
      </c>
      <c r="Q343" s="487"/>
      <c r="R343" s="23"/>
      <c r="S343" s="23">
        <f t="shared" si="64"/>
        <v>39000</v>
      </c>
      <c r="T343" s="23">
        <f t="shared" si="75"/>
        <v>-38000</v>
      </c>
      <c r="U343" s="23">
        <f t="shared" si="76"/>
        <v>0</v>
      </c>
      <c r="V343" s="10">
        <f t="shared" si="77"/>
        <v>156000</v>
      </c>
      <c r="W343" s="10">
        <f t="shared" si="71"/>
        <v>0</v>
      </c>
      <c r="X343" s="10">
        <f t="shared" si="78"/>
        <v>0</v>
      </c>
      <c r="Y343" s="9" t="b">
        <f t="shared" si="63"/>
        <v>1</v>
      </c>
    </row>
    <row r="344" spans="1:25" s="9" customFormat="1" ht="13.5" customHeight="1" x14ac:dyDescent="0.2">
      <c r="A344" s="272">
        <f t="shared" si="79"/>
        <v>340</v>
      </c>
      <c r="B344" s="528" t="s">
        <v>1612</v>
      </c>
      <c r="C344" s="527">
        <v>42262</v>
      </c>
      <c r="D344" s="484">
        <v>3500000</v>
      </c>
      <c r="E344" s="484"/>
      <c r="F344" s="67">
        <f t="shared" si="65"/>
        <v>3500000</v>
      </c>
      <c r="G344" s="271">
        <v>3499000</v>
      </c>
      <c r="H344" s="184">
        <f t="shared" si="66"/>
        <v>1000</v>
      </c>
      <c r="I344" s="186">
        <v>5</v>
      </c>
      <c r="J344" s="186">
        <v>0.2</v>
      </c>
      <c r="K344" s="68">
        <v>0</v>
      </c>
      <c r="L344" s="437">
        <f>ROUND(IF(F344*J344*K344/12&gt;=H344,H344-1000,F344*J344*K344/12),0)</f>
        <v>0</v>
      </c>
      <c r="M344" s="271">
        <f t="shared" si="73"/>
        <v>3499000</v>
      </c>
      <c r="N344" s="184">
        <f t="shared" si="74"/>
        <v>1000</v>
      </c>
      <c r="O344" s="516" t="s">
        <v>1511</v>
      </c>
      <c r="P344" s="233">
        <v>1</v>
      </c>
      <c r="Q344" s="487"/>
      <c r="R344" s="23"/>
      <c r="S344" s="23">
        <f t="shared" si="64"/>
        <v>175000</v>
      </c>
      <c r="T344" s="23">
        <f t="shared" si="75"/>
        <v>-174000</v>
      </c>
      <c r="U344" s="23">
        <f t="shared" si="76"/>
        <v>0</v>
      </c>
      <c r="V344" s="10">
        <f t="shared" si="77"/>
        <v>700000</v>
      </c>
      <c r="W344" s="10">
        <f t="shared" si="71"/>
        <v>0</v>
      </c>
      <c r="X344" s="10">
        <f t="shared" si="78"/>
        <v>0</v>
      </c>
      <c r="Y344" s="9" t="b">
        <f t="shared" si="63"/>
        <v>1</v>
      </c>
    </row>
    <row r="345" spans="1:25" s="9" customFormat="1" ht="13.5" customHeight="1" x14ac:dyDescent="0.2">
      <c r="A345" s="272">
        <f t="shared" si="79"/>
        <v>341</v>
      </c>
      <c r="B345" s="528" t="s">
        <v>1613</v>
      </c>
      <c r="C345" s="527">
        <v>42266</v>
      </c>
      <c r="D345" s="484">
        <v>65000000</v>
      </c>
      <c r="E345" s="484"/>
      <c r="F345" s="67">
        <f t="shared" si="65"/>
        <v>65000000</v>
      </c>
      <c r="G345" s="271">
        <v>64999000</v>
      </c>
      <c r="H345" s="184">
        <f t="shared" si="66"/>
        <v>1000</v>
      </c>
      <c r="I345" s="186">
        <v>5</v>
      </c>
      <c r="J345" s="186">
        <v>0.2</v>
      </c>
      <c r="K345" s="68">
        <v>0</v>
      </c>
      <c r="L345" s="437">
        <f>ROUND(IF(F345*J345*K345/12&gt;=H345,H345-1000,F345*J345*K345/12),0)</f>
        <v>0</v>
      </c>
      <c r="M345" s="271">
        <f t="shared" si="73"/>
        <v>64999000</v>
      </c>
      <c r="N345" s="184">
        <f t="shared" si="74"/>
        <v>1000</v>
      </c>
      <c r="O345" s="516" t="s">
        <v>1322</v>
      </c>
      <c r="P345" s="233">
        <v>1</v>
      </c>
      <c r="Q345" s="487"/>
      <c r="R345" s="23"/>
      <c r="S345" s="23">
        <f t="shared" si="64"/>
        <v>3250000</v>
      </c>
      <c r="T345" s="23">
        <f t="shared" si="75"/>
        <v>-3249000</v>
      </c>
      <c r="U345" s="23">
        <f t="shared" si="76"/>
        <v>0</v>
      </c>
      <c r="V345" s="10">
        <f t="shared" si="77"/>
        <v>13000000</v>
      </c>
      <c r="W345" s="10">
        <f t="shared" si="71"/>
        <v>0</v>
      </c>
      <c r="X345" s="10">
        <f t="shared" si="78"/>
        <v>0</v>
      </c>
      <c r="Y345" s="9" t="b">
        <f t="shared" si="63"/>
        <v>1</v>
      </c>
    </row>
    <row r="346" spans="1:25" s="9" customFormat="1" ht="13.5" customHeight="1" x14ac:dyDescent="0.2">
      <c r="A346" s="272">
        <f t="shared" si="79"/>
        <v>342</v>
      </c>
      <c r="B346" s="528" t="s">
        <v>1614</v>
      </c>
      <c r="C346" s="527">
        <v>42272</v>
      </c>
      <c r="D346" s="484">
        <v>35000000</v>
      </c>
      <c r="E346" s="484"/>
      <c r="F346" s="67">
        <f t="shared" si="65"/>
        <v>35000000</v>
      </c>
      <c r="G346" s="271">
        <v>34999000</v>
      </c>
      <c r="H346" s="184">
        <f t="shared" si="66"/>
        <v>1000</v>
      </c>
      <c r="I346" s="186">
        <v>5</v>
      </c>
      <c r="J346" s="186">
        <v>0.2</v>
      </c>
      <c r="K346" s="68">
        <v>0</v>
      </c>
      <c r="L346" s="437">
        <f>ROUND(IF(F346*J346*K346/12&gt;=H346,H346-1000,F346*J346*K346/12),0)</f>
        <v>0</v>
      </c>
      <c r="M346" s="271">
        <f t="shared" si="73"/>
        <v>34999000</v>
      </c>
      <c r="N346" s="184">
        <f t="shared" si="74"/>
        <v>1000</v>
      </c>
      <c r="O346" s="516" t="s">
        <v>1594</v>
      </c>
      <c r="P346" s="233">
        <v>1</v>
      </c>
      <c r="Q346" s="487"/>
      <c r="R346" s="23"/>
      <c r="S346" s="23">
        <f t="shared" si="64"/>
        <v>1750000</v>
      </c>
      <c r="T346" s="23">
        <f t="shared" si="75"/>
        <v>-1749000</v>
      </c>
      <c r="U346" s="23">
        <f t="shared" si="76"/>
        <v>0</v>
      </c>
      <c r="V346" s="10">
        <f t="shared" si="77"/>
        <v>7000000</v>
      </c>
      <c r="W346" s="10">
        <f t="shared" si="71"/>
        <v>0</v>
      </c>
      <c r="X346" s="10">
        <f t="shared" si="78"/>
        <v>0</v>
      </c>
      <c r="Y346" s="9" t="b">
        <f t="shared" ref="Y346:Y386" si="80">W346=L346</f>
        <v>1</v>
      </c>
    </row>
    <row r="347" spans="1:25" s="9" customFormat="1" ht="13.5" customHeight="1" x14ac:dyDescent="0.2">
      <c r="A347" s="272">
        <f t="shared" si="79"/>
        <v>343</v>
      </c>
      <c r="B347" s="528" t="s">
        <v>1615</v>
      </c>
      <c r="C347" s="527">
        <v>42303</v>
      </c>
      <c r="D347" s="484">
        <v>2550000</v>
      </c>
      <c r="E347" s="484"/>
      <c r="F347" s="67">
        <f t="shared" si="65"/>
        <v>2550000</v>
      </c>
      <c r="G347" s="271">
        <v>2549000</v>
      </c>
      <c r="H347" s="184">
        <f t="shared" si="66"/>
        <v>1000</v>
      </c>
      <c r="I347" s="186">
        <v>5</v>
      </c>
      <c r="J347" s="186">
        <v>0.2</v>
      </c>
      <c r="K347" s="68">
        <v>0</v>
      </c>
      <c r="L347" s="437">
        <f t="shared" si="72"/>
        <v>0</v>
      </c>
      <c r="M347" s="271">
        <f t="shared" si="73"/>
        <v>2549000</v>
      </c>
      <c r="N347" s="184">
        <f t="shared" si="74"/>
        <v>1000</v>
      </c>
      <c r="O347" s="516" t="s">
        <v>1601</v>
      </c>
      <c r="P347" s="233">
        <v>1</v>
      </c>
      <c r="Q347" s="487"/>
      <c r="R347" s="23"/>
      <c r="S347" s="23">
        <f t="shared" si="64"/>
        <v>127500</v>
      </c>
      <c r="T347" s="23">
        <f t="shared" si="75"/>
        <v>-126500</v>
      </c>
      <c r="U347" s="23">
        <f t="shared" si="76"/>
        <v>0</v>
      </c>
      <c r="V347" s="10">
        <f t="shared" si="77"/>
        <v>510000</v>
      </c>
      <c r="W347" s="10">
        <f t="shared" si="71"/>
        <v>0</v>
      </c>
      <c r="X347" s="10">
        <f t="shared" si="78"/>
        <v>0</v>
      </c>
      <c r="Y347" s="9" t="b">
        <f t="shared" si="80"/>
        <v>1</v>
      </c>
    </row>
    <row r="348" spans="1:25" s="9" customFormat="1" ht="13.5" customHeight="1" x14ac:dyDescent="0.2">
      <c r="A348" s="272">
        <f t="shared" si="79"/>
        <v>344</v>
      </c>
      <c r="B348" s="528" t="s">
        <v>1616</v>
      </c>
      <c r="C348" s="527">
        <v>42303</v>
      </c>
      <c r="D348" s="484">
        <v>2550000</v>
      </c>
      <c r="E348" s="484"/>
      <c r="F348" s="67">
        <f t="shared" si="65"/>
        <v>2550000</v>
      </c>
      <c r="G348" s="271">
        <v>2549000</v>
      </c>
      <c r="H348" s="184">
        <f t="shared" si="66"/>
        <v>1000</v>
      </c>
      <c r="I348" s="186">
        <v>5</v>
      </c>
      <c r="J348" s="186">
        <v>0.2</v>
      </c>
      <c r="K348" s="68">
        <v>0</v>
      </c>
      <c r="L348" s="437">
        <f t="shared" si="72"/>
        <v>0</v>
      </c>
      <c r="M348" s="271">
        <f t="shared" si="73"/>
        <v>2549000</v>
      </c>
      <c r="N348" s="184">
        <f t="shared" si="74"/>
        <v>1000</v>
      </c>
      <c r="O348" s="516" t="s">
        <v>1271</v>
      </c>
      <c r="P348" s="233">
        <v>1</v>
      </c>
      <c r="Q348" s="487"/>
      <c r="R348" s="23"/>
      <c r="S348" s="23">
        <f t="shared" si="64"/>
        <v>127500</v>
      </c>
      <c r="T348" s="23">
        <f t="shared" si="75"/>
        <v>-126500</v>
      </c>
      <c r="U348" s="23">
        <f t="shared" si="76"/>
        <v>0</v>
      </c>
      <c r="V348" s="10">
        <f t="shared" si="77"/>
        <v>510000</v>
      </c>
      <c r="W348" s="10">
        <f t="shared" si="71"/>
        <v>0</v>
      </c>
      <c r="X348" s="10">
        <f t="shared" si="78"/>
        <v>0</v>
      </c>
      <c r="Y348" s="9" t="b">
        <f t="shared" si="80"/>
        <v>1</v>
      </c>
    </row>
    <row r="349" spans="1:25" s="9" customFormat="1" ht="13.5" customHeight="1" x14ac:dyDescent="0.2">
      <c r="A349" s="272">
        <f t="shared" si="79"/>
        <v>345</v>
      </c>
      <c r="B349" s="528" t="s">
        <v>1617</v>
      </c>
      <c r="C349" s="527">
        <v>42395</v>
      </c>
      <c r="D349" s="484">
        <v>11000000</v>
      </c>
      <c r="E349" s="484"/>
      <c r="F349" s="67">
        <f t="shared" si="65"/>
        <v>11000000</v>
      </c>
      <c r="G349" s="271">
        <v>10999000</v>
      </c>
      <c r="H349" s="184">
        <f t="shared" si="66"/>
        <v>1000</v>
      </c>
      <c r="I349" s="186">
        <v>5</v>
      </c>
      <c r="J349" s="186">
        <v>0.2</v>
      </c>
      <c r="K349" s="68">
        <v>1</v>
      </c>
      <c r="L349" s="437">
        <f t="shared" si="72"/>
        <v>0</v>
      </c>
      <c r="M349" s="271">
        <f t="shared" si="73"/>
        <v>10999000</v>
      </c>
      <c r="N349" s="184">
        <f t="shared" si="74"/>
        <v>1000</v>
      </c>
      <c r="O349" s="516" t="s">
        <v>1618</v>
      </c>
      <c r="P349" s="233">
        <v>1</v>
      </c>
      <c r="Q349" s="487"/>
      <c r="R349" s="23"/>
      <c r="S349" s="23">
        <f t="shared" si="64"/>
        <v>550000</v>
      </c>
      <c r="T349" s="23">
        <f t="shared" si="75"/>
        <v>-549000</v>
      </c>
      <c r="U349" s="23">
        <f t="shared" si="76"/>
        <v>0</v>
      </c>
      <c r="V349" s="10">
        <f t="shared" si="77"/>
        <v>2200000</v>
      </c>
      <c r="W349" s="10">
        <f t="shared" si="71"/>
        <v>0</v>
      </c>
      <c r="X349" s="10">
        <f t="shared" si="78"/>
        <v>0</v>
      </c>
      <c r="Y349" s="9" t="b">
        <f t="shared" si="80"/>
        <v>1</v>
      </c>
    </row>
    <row r="350" spans="1:25" s="9" customFormat="1" ht="13.5" customHeight="1" x14ac:dyDescent="0.2">
      <c r="A350" s="272">
        <f t="shared" si="79"/>
        <v>346</v>
      </c>
      <c r="B350" s="528" t="s">
        <v>1619</v>
      </c>
      <c r="C350" s="527">
        <v>42425</v>
      </c>
      <c r="D350" s="484">
        <v>4013625</v>
      </c>
      <c r="E350" s="484"/>
      <c r="F350" s="67">
        <f t="shared" si="65"/>
        <v>4013625</v>
      </c>
      <c r="G350" s="271">
        <v>3946731</v>
      </c>
      <c r="H350" s="184">
        <f t="shared" si="66"/>
        <v>66894</v>
      </c>
      <c r="I350" s="186">
        <v>5</v>
      </c>
      <c r="J350" s="186">
        <v>0.2</v>
      </c>
      <c r="K350" s="68">
        <v>2</v>
      </c>
      <c r="L350" s="437">
        <f>ROUND(IF(F350*J350*K350/12&gt;=H350,H350-1000,F350*J350*K350/12),0)</f>
        <v>65894</v>
      </c>
      <c r="M350" s="271">
        <f t="shared" si="73"/>
        <v>4012625</v>
      </c>
      <c r="N350" s="184">
        <f t="shared" si="74"/>
        <v>1000</v>
      </c>
      <c r="O350" s="516" t="s">
        <v>1620</v>
      </c>
      <c r="P350" s="233">
        <v>1</v>
      </c>
      <c r="Q350" s="487"/>
      <c r="R350" s="23"/>
      <c r="S350" s="23">
        <f t="shared" si="64"/>
        <v>200681.25</v>
      </c>
      <c r="T350" s="23">
        <f t="shared" si="75"/>
        <v>-199681.25</v>
      </c>
      <c r="U350" s="23">
        <f t="shared" si="76"/>
        <v>0</v>
      </c>
      <c r="V350" s="10">
        <f t="shared" si="77"/>
        <v>802725</v>
      </c>
      <c r="W350" s="10">
        <f t="shared" si="71"/>
        <v>133788</v>
      </c>
      <c r="X350" s="10">
        <f t="shared" si="78"/>
        <v>-67894</v>
      </c>
      <c r="Y350" s="9" t="b">
        <f t="shared" si="80"/>
        <v>0</v>
      </c>
    </row>
    <row r="351" spans="1:25" s="9" customFormat="1" ht="13.5" customHeight="1" x14ac:dyDescent="0.2">
      <c r="A351" s="272">
        <f t="shared" si="79"/>
        <v>347</v>
      </c>
      <c r="B351" s="528" t="s">
        <v>1621</v>
      </c>
      <c r="C351" s="527">
        <v>42425</v>
      </c>
      <c r="D351" s="484">
        <v>4013625</v>
      </c>
      <c r="E351" s="484"/>
      <c r="F351" s="67">
        <f t="shared" si="65"/>
        <v>4013625</v>
      </c>
      <c r="G351" s="271">
        <v>3946731</v>
      </c>
      <c r="H351" s="184">
        <f t="shared" si="66"/>
        <v>66894</v>
      </c>
      <c r="I351" s="186">
        <v>5</v>
      </c>
      <c r="J351" s="186">
        <v>0.2</v>
      </c>
      <c r="K351" s="68">
        <v>2</v>
      </c>
      <c r="L351" s="437">
        <f>ROUND(IF(F351*J351*K351/12&gt;=H351,H351-1000,F351*J351*K351/12),0)</f>
        <v>65894</v>
      </c>
      <c r="M351" s="271">
        <f t="shared" si="73"/>
        <v>4012625</v>
      </c>
      <c r="N351" s="184">
        <f t="shared" si="74"/>
        <v>1000</v>
      </c>
      <c r="O351" s="516" t="s">
        <v>1622</v>
      </c>
      <c r="P351" s="233">
        <v>1</v>
      </c>
      <c r="Q351" s="487"/>
      <c r="R351" s="23"/>
      <c r="S351" s="23">
        <f t="shared" si="64"/>
        <v>200681.25</v>
      </c>
      <c r="T351" s="23">
        <f t="shared" si="75"/>
        <v>-199681.25</v>
      </c>
      <c r="U351" s="23">
        <f t="shared" si="76"/>
        <v>0</v>
      </c>
      <c r="V351" s="10">
        <f t="shared" si="77"/>
        <v>802725</v>
      </c>
      <c r="W351" s="10">
        <f t="shared" si="71"/>
        <v>133788</v>
      </c>
      <c r="X351" s="10">
        <f t="shared" si="78"/>
        <v>-67894</v>
      </c>
      <c r="Y351" s="9" t="b">
        <f t="shared" si="80"/>
        <v>0</v>
      </c>
    </row>
    <row r="352" spans="1:25" s="9" customFormat="1" ht="13.5" customHeight="1" x14ac:dyDescent="0.2">
      <c r="A352" s="272">
        <f t="shared" si="79"/>
        <v>348</v>
      </c>
      <c r="B352" s="528" t="s">
        <v>1623</v>
      </c>
      <c r="C352" s="527">
        <v>42485</v>
      </c>
      <c r="D352" s="484">
        <v>17000000</v>
      </c>
      <c r="E352" s="484"/>
      <c r="F352" s="67">
        <f t="shared" si="65"/>
        <v>17000000</v>
      </c>
      <c r="G352" s="271">
        <v>16150000</v>
      </c>
      <c r="H352" s="184">
        <f t="shared" si="66"/>
        <v>850000</v>
      </c>
      <c r="I352" s="186">
        <v>5</v>
      </c>
      <c r="J352" s="186">
        <v>0.2</v>
      </c>
      <c r="K352" s="68">
        <v>4</v>
      </c>
      <c r="L352" s="437">
        <f t="shared" si="72"/>
        <v>849000</v>
      </c>
      <c r="M352" s="271">
        <f t="shared" si="73"/>
        <v>16999000</v>
      </c>
      <c r="N352" s="184">
        <f t="shared" si="74"/>
        <v>1000</v>
      </c>
      <c r="O352" s="516" t="s">
        <v>1290</v>
      </c>
      <c r="P352" s="233">
        <v>1</v>
      </c>
      <c r="Q352" s="487"/>
      <c r="R352" s="23"/>
      <c r="S352" s="23">
        <f t="shared" si="64"/>
        <v>850000</v>
      </c>
      <c r="T352" s="23">
        <f t="shared" si="75"/>
        <v>-849000</v>
      </c>
      <c r="U352" s="23">
        <f t="shared" si="76"/>
        <v>0</v>
      </c>
      <c r="V352" s="10">
        <f t="shared" si="77"/>
        <v>3400000</v>
      </c>
      <c r="W352" s="10">
        <f t="shared" si="71"/>
        <v>1133333</v>
      </c>
      <c r="X352" s="10">
        <f t="shared" si="78"/>
        <v>-284333</v>
      </c>
      <c r="Y352" s="9" t="b">
        <f t="shared" si="80"/>
        <v>0</v>
      </c>
    </row>
    <row r="353" spans="1:25" s="9" customFormat="1" ht="13.5" customHeight="1" x14ac:dyDescent="0.2">
      <c r="A353" s="272">
        <f t="shared" si="79"/>
        <v>349</v>
      </c>
      <c r="B353" s="528" t="s">
        <v>1624</v>
      </c>
      <c r="C353" s="527">
        <v>42506</v>
      </c>
      <c r="D353" s="484">
        <v>7000000</v>
      </c>
      <c r="E353" s="484"/>
      <c r="F353" s="67">
        <f t="shared" si="65"/>
        <v>7000000</v>
      </c>
      <c r="G353" s="271">
        <v>6533333</v>
      </c>
      <c r="H353" s="184">
        <f t="shared" si="66"/>
        <v>466667</v>
      </c>
      <c r="I353" s="186">
        <v>5</v>
      </c>
      <c r="J353" s="186">
        <v>0.2</v>
      </c>
      <c r="K353" s="68">
        <v>5</v>
      </c>
      <c r="L353" s="437">
        <f t="shared" si="72"/>
        <v>465667</v>
      </c>
      <c r="M353" s="271">
        <f t="shared" si="73"/>
        <v>6999000</v>
      </c>
      <c r="N353" s="184">
        <f t="shared" si="74"/>
        <v>1000</v>
      </c>
      <c r="O353" s="516" t="s">
        <v>1625</v>
      </c>
      <c r="P353" s="233">
        <v>1</v>
      </c>
      <c r="Q353" s="487" t="s">
        <v>1626</v>
      </c>
      <c r="R353" s="23"/>
      <c r="S353" s="23">
        <f t="shared" si="64"/>
        <v>350000</v>
      </c>
      <c r="T353" s="23">
        <f t="shared" si="75"/>
        <v>-349000</v>
      </c>
      <c r="U353" s="23">
        <f t="shared" si="76"/>
        <v>0</v>
      </c>
      <c r="V353" s="10">
        <f t="shared" si="77"/>
        <v>1400000</v>
      </c>
      <c r="W353" s="10">
        <f t="shared" si="71"/>
        <v>583333</v>
      </c>
      <c r="X353" s="10">
        <f t="shared" si="78"/>
        <v>-117666</v>
      </c>
      <c r="Y353" s="9" t="b">
        <f t="shared" si="80"/>
        <v>0</v>
      </c>
    </row>
    <row r="354" spans="1:25" s="9" customFormat="1" ht="13.5" customHeight="1" x14ac:dyDescent="0.2">
      <c r="A354" s="272">
        <f t="shared" si="79"/>
        <v>350</v>
      </c>
      <c r="B354" s="528" t="s">
        <v>1627</v>
      </c>
      <c r="C354" s="527">
        <v>42506</v>
      </c>
      <c r="D354" s="484">
        <v>7800000</v>
      </c>
      <c r="E354" s="484"/>
      <c r="F354" s="67">
        <f t="shared" si="65"/>
        <v>7800000</v>
      </c>
      <c r="G354" s="271">
        <v>7280000</v>
      </c>
      <c r="H354" s="184">
        <f t="shared" si="66"/>
        <v>520000</v>
      </c>
      <c r="I354" s="186">
        <v>5</v>
      </c>
      <c r="J354" s="186">
        <v>0.2</v>
      </c>
      <c r="K354" s="68">
        <v>5</v>
      </c>
      <c r="L354" s="437">
        <f t="shared" si="72"/>
        <v>519000</v>
      </c>
      <c r="M354" s="271">
        <f t="shared" si="73"/>
        <v>7799000</v>
      </c>
      <c r="N354" s="184">
        <f t="shared" si="74"/>
        <v>1000</v>
      </c>
      <c r="O354" s="516" t="s">
        <v>1628</v>
      </c>
      <c r="P354" s="233">
        <v>1</v>
      </c>
      <c r="Q354" s="487" t="s">
        <v>1626</v>
      </c>
      <c r="R354" s="23"/>
      <c r="S354" s="23">
        <f t="shared" ref="S354:S386" si="81">F354*0.05</f>
        <v>390000</v>
      </c>
      <c r="T354" s="23">
        <f t="shared" si="75"/>
        <v>-389000</v>
      </c>
      <c r="U354" s="23">
        <f t="shared" si="76"/>
        <v>0</v>
      </c>
      <c r="V354" s="10">
        <f t="shared" si="77"/>
        <v>1560000</v>
      </c>
      <c r="W354" s="10">
        <f t="shared" si="71"/>
        <v>650000</v>
      </c>
      <c r="X354" s="10">
        <f t="shared" si="78"/>
        <v>-131000</v>
      </c>
      <c r="Y354" s="9" t="b">
        <f t="shared" si="80"/>
        <v>0</v>
      </c>
    </row>
    <row r="355" spans="1:25" s="9" customFormat="1" ht="13.5" customHeight="1" x14ac:dyDescent="0.2">
      <c r="A355" s="272">
        <f t="shared" si="79"/>
        <v>351</v>
      </c>
      <c r="B355" s="528" t="s">
        <v>1629</v>
      </c>
      <c r="C355" s="527">
        <v>42506</v>
      </c>
      <c r="D355" s="484">
        <v>11000000</v>
      </c>
      <c r="E355" s="484"/>
      <c r="F355" s="67">
        <f t="shared" si="65"/>
        <v>11000000</v>
      </c>
      <c r="G355" s="271">
        <v>10266667</v>
      </c>
      <c r="H355" s="184">
        <f t="shared" si="66"/>
        <v>733333</v>
      </c>
      <c r="I355" s="186">
        <v>5</v>
      </c>
      <c r="J355" s="186">
        <v>0.2</v>
      </c>
      <c r="K355" s="68">
        <v>5</v>
      </c>
      <c r="L355" s="437">
        <f t="shared" si="72"/>
        <v>732333</v>
      </c>
      <c r="M355" s="271">
        <f t="shared" si="73"/>
        <v>10999000</v>
      </c>
      <c r="N355" s="184">
        <f t="shared" si="74"/>
        <v>1000</v>
      </c>
      <c r="O355" s="516" t="s">
        <v>1625</v>
      </c>
      <c r="P355" s="233">
        <v>1</v>
      </c>
      <c r="Q355" s="487" t="s">
        <v>1626</v>
      </c>
      <c r="R355" s="23"/>
      <c r="S355" s="23">
        <f t="shared" si="81"/>
        <v>550000</v>
      </c>
      <c r="T355" s="23">
        <f t="shared" si="75"/>
        <v>-549000</v>
      </c>
      <c r="U355" s="23">
        <f t="shared" si="76"/>
        <v>0</v>
      </c>
      <c r="V355" s="10">
        <f t="shared" si="77"/>
        <v>2200000</v>
      </c>
      <c r="W355" s="10">
        <f t="shared" si="71"/>
        <v>916667</v>
      </c>
      <c r="X355" s="10">
        <f t="shared" si="78"/>
        <v>-184334</v>
      </c>
      <c r="Y355" s="9" t="b">
        <f t="shared" si="80"/>
        <v>0</v>
      </c>
    </row>
    <row r="356" spans="1:25" s="9" customFormat="1" ht="13.5" customHeight="1" x14ac:dyDescent="0.2">
      <c r="A356" s="272">
        <f t="shared" si="79"/>
        <v>352</v>
      </c>
      <c r="B356" s="528" t="s">
        <v>1630</v>
      </c>
      <c r="C356" s="527">
        <v>42507</v>
      </c>
      <c r="D356" s="484">
        <v>1730000</v>
      </c>
      <c r="E356" s="484"/>
      <c r="F356" s="67">
        <f t="shared" si="65"/>
        <v>1730000</v>
      </c>
      <c r="G356" s="271">
        <v>1614667</v>
      </c>
      <c r="H356" s="184">
        <f t="shared" si="66"/>
        <v>115333</v>
      </c>
      <c r="I356" s="186">
        <v>5</v>
      </c>
      <c r="J356" s="186">
        <v>0.2</v>
      </c>
      <c r="K356" s="68">
        <v>5</v>
      </c>
      <c r="L356" s="437">
        <f t="shared" si="72"/>
        <v>114333</v>
      </c>
      <c r="M356" s="271">
        <f t="shared" si="73"/>
        <v>1729000</v>
      </c>
      <c r="N356" s="184">
        <f t="shared" si="74"/>
        <v>1000</v>
      </c>
      <c r="O356" s="516" t="s">
        <v>427</v>
      </c>
      <c r="P356" s="233">
        <v>1</v>
      </c>
      <c r="Q356" s="487" t="s">
        <v>1626</v>
      </c>
      <c r="R356" s="23"/>
      <c r="S356" s="23">
        <f t="shared" si="81"/>
        <v>86500</v>
      </c>
      <c r="T356" s="23">
        <f t="shared" si="75"/>
        <v>-85500</v>
      </c>
      <c r="U356" s="23">
        <f t="shared" si="76"/>
        <v>0</v>
      </c>
      <c r="V356" s="10">
        <f t="shared" si="77"/>
        <v>346000</v>
      </c>
      <c r="W356" s="10">
        <f t="shared" si="71"/>
        <v>144167</v>
      </c>
      <c r="X356" s="10">
        <f t="shared" si="78"/>
        <v>-29834</v>
      </c>
      <c r="Y356" s="9" t="b">
        <f t="shared" si="80"/>
        <v>0</v>
      </c>
    </row>
    <row r="357" spans="1:25" s="9" customFormat="1" ht="13.5" customHeight="1" x14ac:dyDescent="0.2">
      <c r="A357" s="272">
        <f t="shared" si="79"/>
        <v>353</v>
      </c>
      <c r="B357" s="528" t="s">
        <v>1631</v>
      </c>
      <c r="C357" s="527">
        <v>42571</v>
      </c>
      <c r="D357" s="484">
        <v>3300000</v>
      </c>
      <c r="E357" s="484"/>
      <c r="F357" s="67">
        <f t="shared" si="65"/>
        <v>3300000</v>
      </c>
      <c r="G357" s="271">
        <v>2970000</v>
      </c>
      <c r="H357" s="184">
        <f t="shared" si="66"/>
        <v>330000</v>
      </c>
      <c r="I357" s="186">
        <v>5</v>
      </c>
      <c r="J357" s="186">
        <v>0.2</v>
      </c>
      <c r="K357" s="68">
        <v>7</v>
      </c>
      <c r="L357" s="437">
        <f t="shared" si="72"/>
        <v>329000</v>
      </c>
      <c r="M357" s="271">
        <f t="shared" si="73"/>
        <v>3299000</v>
      </c>
      <c r="N357" s="184">
        <f t="shared" si="74"/>
        <v>1000</v>
      </c>
      <c r="O357" s="516" t="s">
        <v>1632</v>
      </c>
      <c r="P357" s="233">
        <v>1</v>
      </c>
      <c r="Q357" s="487" t="s">
        <v>1626</v>
      </c>
      <c r="R357" s="23"/>
      <c r="S357" s="23">
        <f t="shared" si="81"/>
        <v>165000</v>
      </c>
      <c r="T357" s="23">
        <f t="shared" si="75"/>
        <v>-164000</v>
      </c>
      <c r="U357" s="23">
        <f t="shared" si="76"/>
        <v>0</v>
      </c>
      <c r="V357" s="10">
        <f t="shared" si="77"/>
        <v>660000</v>
      </c>
      <c r="W357" s="10">
        <f t="shared" si="71"/>
        <v>385000</v>
      </c>
      <c r="X357" s="10">
        <f t="shared" si="78"/>
        <v>-56000</v>
      </c>
      <c r="Y357" s="9" t="b">
        <f t="shared" si="80"/>
        <v>0</v>
      </c>
    </row>
    <row r="358" spans="1:25" s="9" customFormat="1" ht="13.5" customHeight="1" x14ac:dyDescent="0.2">
      <c r="A358" s="272">
        <f t="shared" si="79"/>
        <v>354</v>
      </c>
      <c r="B358" s="528" t="s">
        <v>1633</v>
      </c>
      <c r="C358" s="527">
        <v>42605</v>
      </c>
      <c r="D358" s="484">
        <v>11500000</v>
      </c>
      <c r="E358" s="484"/>
      <c r="F358" s="67">
        <f t="shared" si="65"/>
        <v>11500000</v>
      </c>
      <c r="G358" s="271">
        <v>10158333</v>
      </c>
      <c r="H358" s="184">
        <f t="shared" si="66"/>
        <v>1341667</v>
      </c>
      <c r="I358" s="186">
        <v>5</v>
      </c>
      <c r="J358" s="186">
        <v>0.2</v>
      </c>
      <c r="K358" s="68">
        <v>8</v>
      </c>
      <c r="L358" s="437">
        <f t="shared" si="72"/>
        <v>1340667</v>
      </c>
      <c r="M358" s="271">
        <f t="shared" si="73"/>
        <v>11499000</v>
      </c>
      <c r="N358" s="184">
        <f t="shared" si="74"/>
        <v>1000</v>
      </c>
      <c r="O358" s="516" t="s">
        <v>1628</v>
      </c>
      <c r="P358" s="233">
        <v>1</v>
      </c>
      <c r="Q358" s="487"/>
      <c r="R358" s="23"/>
      <c r="S358" s="23">
        <f t="shared" si="81"/>
        <v>575000</v>
      </c>
      <c r="T358" s="23">
        <f t="shared" si="75"/>
        <v>-574000</v>
      </c>
      <c r="U358" s="23">
        <f t="shared" si="76"/>
        <v>0</v>
      </c>
      <c r="V358" s="10">
        <f t="shared" si="77"/>
        <v>2300000</v>
      </c>
      <c r="W358" s="10">
        <f t="shared" si="71"/>
        <v>1533333</v>
      </c>
      <c r="X358" s="10">
        <f t="shared" si="78"/>
        <v>-192666</v>
      </c>
      <c r="Y358" s="9" t="b">
        <f t="shared" si="80"/>
        <v>0</v>
      </c>
    </row>
    <row r="359" spans="1:25" s="9" customFormat="1" ht="13.5" customHeight="1" x14ac:dyDescent="0.2">
      <c r="A359" s="272">
        <f t="shared" si="79"/>
        <v>355</v>
      </c>
      <c r="B359" s="528" t="s">
        <v>1634</v>
      </c>
      <c r="C359" s="527">
        <v>42605</v>
      </c>
      <c r="D359" s="484">
        <v>8500000</v>
      </c>
      <c r="E359" s="484"/>
      <c r="F359" s="67">
        <f t="shared" si="65"/>
        <v>8500000</v>
      </c>
      <c r="G359" s="271">
        <v>7508333</v>
      </c>
      <c r="H359" s="184">
        <f t="shared" si="66"/>
        <v>991667</v>
      </c>
      <c r="I359" s="186">
        <v>5</v>
      </c>
      <c r="J359" s="186">
        <v>0.2</v>
      </c>
      <c r="K359" s="68">
        <v>8</v>
      </c>
      <c r="L359" s="437">
        <f t="shared" si="72"/>
        <v>990667</v>
      </c>
      <c r="M359" s="271">
        <f t="shared" si="73"/>
        <v>8499000</v>
      </c>
      <c r="N359" s="184">
        <f t="shared" si="74"/>
        <v>1000</v>
      </c>
      <c r="O359" s="516" t="s">
        <v>1625</v>
      </c>
      <c r="P359" s="233">
        <v>1</v>
      </c>
      <c r="Q359" s="487"/>
      <c r="R359" s="23"/>
      <c r="S359" s="23">
        <f t="shared" si="81"/>
        <v>425000</v>
      </c>
      <c r="T359" s="23">
        <f t="shared" si="75"/>
        <v>-424000</v>
      </c>
      <c r="U359" s="23">
        <f t="shared" si="76"/>
        <v>0</v>
      </c>
      <c r="V359" s="10">
        <f t="shared" si="77"/>
        <v>1700000</v>
      </c>
      <c r="W359" s="10">
        <f t="shared" si="71"/>
        <v>1133333</v>
      </c>
      <c r="X359" s="10">
        <f t="shared" si="78"/>
        <v>-142666</v>
      </c>
      <c r="Y359" s="9" t="b">
        <f t="shared" si="80"/>
        <v>0</v>
      </c>
    </row>
    <row r="360" spans="1:25" s="9" customFormat="1" ht="13.5" customHeight="1" x14ac:dyDescent="0.2">
      <c r="A360" s="272">
        <f t="shared" si="79"/>
        <v>356</v>
      </c>
      <c r="B360" s="528" t="s">
        <v>1635</v>
      </c>
      <c r="C360" s="527">
        <v>42681</v>
      </c>
      <c r="D360" s="484">
        <v>12309091</v>
      </c>
      <c r="E360" s="484"/>
      <c r="F360" s="67">
        <f t="shared" si="65"/>
        <v>12309091</v>
      </c>
      <c r="G360" s="271">
        <v>10257575</v>
      </c>
      <c r="H360" s="184">
        <f t="shared" si="66"/>
        <v>2051516</v>
      </c>
      <c r="I360" s="186">
        <v>5</v>
      </c>
      <c r="J360" s="186">
        <v>0.2</v>
      </c>
      <c r="K360" s="68">
        <v>11</v>
      </c>
      <c r="L360" s="437">
        <f t="shared" si="72"/>
        <v>2050516</v>
      </c>
      <c r="M360" s="271">
        <f t="shared" si="73"/>
        <v>12308091</v>
      </c>
      <c r="N360" s="184">
        <f t="shared" si="74"/>
        <v>1000</v>
      </c>
      <c r="O360" s="516" t="s">
        <v>1636</v>
      </c>
      <c r="P360" s="233">
        <v>1</v>
      </c>
      <c r="Q360" s="487" t="s">
        <v>1540</v>
      </c>
      <c r="R360" s="23"/>
      <c r="S360" s="23">
        <f t="shared" si="81"/>
        <v>615454.55000000005</v>
      </c>
      <c r="T360" s="23">
        <f t="shared" si="75"/>
        <v>-614454.55000000005</v>
      </c>
      <c r="U360" s="23">
        <f t="shared" si="76"/>
        <v>0</v>
      </c>
      <c r="V360" s="10">
        <f t="shared" si="77"/>
        <v>2461818.2000000002</v>
      </c>
      <c r="W360" s="10">
        <f t="shared" si="71"/>
        <v>2256667</v>
      </c>
      <c r="X360" s="10">
        <f t="shared" si="78"/>
        <v>-206151</v>
      </c>
      <c r="Y360" s="9" t="b">
        <f t="shared" si="80"/>
        <v>0</v>
      </c>
    </row>
    <row r="361" spans="1:25" s="9" customFormat="1" ht="13.5" customHeight="1" x14ac:dyDescent="0.2">
      <c r="A361" s="272">
        <f t="shared" si="79"/>
        <v>357</v>
      </c>
      <c r="B361" s="528" t="s">
        <v>1637</v>
      </c>
      <c r="C361" s="527">
        <v>42699</v>
      </c>
      <c r="D361" s="484">
        <v>3500000</v>
      </c>
      <c r="E361" s="484"/>
      <c r="F361" s="67">
        <f t="shared" si="65"/>
        <v>3500000</v>
      </c>
      <c r="G361" s="271">
        <v>2916667</v>
      </c>
      <c r="H361" s="184">
        <f t="shared" si="66"/>
        <v>583333</v>
      </c>
      <c r="I361" s="186">
        <v>5</v>
      </c>
      <c r="J361" s="186">
        <v>0.2</v>
      </c>
      <c r="K361" s="68">
        <v>11</v>
      </c>
      <c r="L361" s="437">
        <f t="shared" si="72"/>
        <v>582333</v>
      </c>
      <c r="M361" s="271">
        <f t="shared" si="73"/>
        <v>3499000</v>
      </c>
      <c r="N361" s="184">
        <f t="shared" si="74"/>
        <v>1000</v>
      </c>
      <c r="O361" s="516" t="s">
        <v>1625</v>
      </c>
      <c r="P361" s="233">
        <v>1</v>
      </c>
      <c r="Q361" s="487"/>
      <c r="R361" s="23"/>
      <c r="S361" s="23">
        <f t="shared" si="81"/>
        <v>175000</v>
      </c>
      <c r="T361" s="23">
        <f t="shared" si="75"/>
        <v>-174000</v>
      </c>
      <c r="U361" s="23">
        <f t="shared" si="76"/>
        <v>0</v>
      </c>
      <c r="V361" s="10">
        <f t="shared" si="77"/>
        <v>700000</v>
      </c>
      <c r="W361" s="10">
        <f t="shared" si="71"/>
        <v>641667</v>
      </c>
      <c r="X361" s="10">
        <f t="shared" si="78"/>
        <v>-59334</v>
      </c>
      <c r="Y361" s="9" t="b">
        <f t="shared" si="80"/>
        <v>0</v>
      </c>
    </row>
    <row r="362" spans="1:25" s="9" customFormat="1" ht="13.5" customHeight="1" x14ac:dyDescent="0.2">
      <c r="A362" s="272">
        <f t="shared" si="79"/>
        <v>358</v>
      </c>
      <c r="B362" s="528" t="s">
        <v>1638</v>
      </c>
      <c r="C362" s="527">
        <v>42689</v>
      </c>
      <c r="D362" s="484">
        <v>6200000</v>
      </c>
      <c r="E362" s="484"/>
      <c r="F362" s="67">
        <f t="shared" si="65"/>
        <v>6200000</v>
      </c>
      <c r="G362" s="271">
        <v>5166667</v>
      </c>
      <c r="H362" s="184">
        <f t="shared" si="66"/>
        <v>1033333</v>
      </c>
      <c r="I362" s="186">
        <v>5</v>
      </c>
      <c r="J362" s="186">
        <v>0.2</v>
      </c>
      <c r="K362" s="68">
        <v>11</v>
      </c>
      <c r="L362" s="437">
        <f t="shared" si="72"/>
        <v>1032333</v>
      </c>
      <c r="M362" s="271">
        <f t="shared" si="73"/>
        <v>6199000</v>
      </c>
      <c r="N362" s="184">
        <f t="shared" si="74"/>
        <v>1000</v>
      </c>
      <c r="O362" s="516" t="s">
        <v>1639</v>
      </c>
      <c r="P362" s="233">
        <v>1</v>
      </c>
      <c r="Q362" s="487" t="s">
        <v>1640</v>
      </c>
      <c r="R362" s="23"/>
      <c r="S362" s="23">
        <f t="shared" si="81"/>
        <v>310000</v>
      </c>
      <c r="T362" s="23">
        <f t="shared" si="75"/>
        <v>-309000</v>
      </c>
      <c r="U362" s="23">
        <f t="shared" si="76"/>
        <v>0</v>
      </c>
      <c r="V362" s="10">
        <f t="shared" si="77"/>
        <v>1240000</v>
      </c>
      <c r="W362" s="10">
        <f t="shared" si="71"/>
        <v>1136667</v>
      </c>
      <c r="X362" s="10">
        <f t="shared" si="78"/>
        <v>-104334</v>
      </c>
      <c r="Y362" s="9" t="b">
        <f t="shared" si="80"/>
        <v>0</v>
      </c>
    </row>
    <row r="363" spans="1:25" s="9" customFormat="1" ht="13.5" customHeight="1" x14ac:dyDescent="0.2">
      <c r="A363" s="272">
        <f t="shared" si="79"/>
        <v>359</v>
      </c>
      <c r="B363" s="528" t="s">
        <v>1641</v>
      </c>
      <c r="C363" s="527">
        <v>42704</v>
      </c>
      <c r="D363" s="484">
        <v>12300000</v>
      </c>
      <c r="E363" s="484"/>
      <c r="F363" s="67">
        <f t="shared" si="65"/>
        <v>12300000</v>
      </c>
      <c r="G363" s="271">
        <v>10250000</v>
      </c>
      <c r="H363" s="184">
        <f t="shared" si="66"/>
        <v>2050000</v>
      </c>
      <c r="I363" s="186">
        <v>5</v>
      </c>
      <c r="J363" s="186">
        <v>0.2</v>
      </c>
      <c r="K363" s="68">
        <v>11</v>
      </c>
      <c r="L363" s="437">
        <f t="shared" si="72"/>
        <v>2049000</v>
      </c>
      <c r="M363" s="271">
        <f t="shared" si="73"/>
        <v>12299000</v>
      </c>
      <c r="N363" s="184">
        <f t="shared" si="74"/>
        <v>1000</v>
      </c>
      <c r="O363" s="516" t="s">
        <v>1625</v>
      </c>
      <c r="P363" s="233">
        <v>2</v>
      </c>
      <c r="Q363" s="487" t="s">
        <v>1642</v>
      </c>
      <c r="R363" s="23"/>
      <c r="S363" s="23">
        <f t="shared" si="81"/>
        <v>615000</v>
      </c>
      <c r="T363" s="23">
        <f t="shared" si="75"/>
        <v>-614000</v>
      </c>
      <c r="U363" s="23">
        <f t="shared" si="76"/>
        <v>0</v>
      </c>
      <c r="V363" s="10">
        <f t="shared" si="77"/>
        <v>2460000</v>
      </c>
      <c r="W363" s="10">
        <f t="shared" si="71"/>
        <v>2255000</v>
      </c>
      <c r="X363" s="10">
        <f t="shared" si="78"/>
        <v>-206000</v>
      </c>
      <c r="Y363" s="9" t="b">
        <f t="shared" si="80"/>
        <v>0</v>
      </c>
    </row>
    <row r="364" spans="1:25" s="9" customFormat="1" ht="13.5" customHeight="1" x14ac:dyDescent="0.2">
      <c r="A364" s="272">
        <f t="shared" si="79"/>
        <v>360</v>
      </c>
      <c r="B364" s="528" t="s">
        <v>1643</v>
      </c>
      <c r="C364" s="527">
        <v>42705</v>
      </c>
      <c r="D364" s="484">
        <v>11000000</v>
      </c>
      <c r="E364" s="484"/>
      <c r="F364" s="67">
        <f t="shared" si="65"/>
        <v>11000000</v>
      </c>
      <c r="G364" s="271">
        <v>8983333</v>
      </c>
      <c r="H364" s="184">
        <f t="shared" si="66"/>
        <v>2016667</v>
      </c>
      <c r="I364" s="186">
        <v>5</v>
      </c>
      <c r="J364" s="186">
        <v>0.2</v>
      </c>
      <c r="K364" s="68">
        <v>12</v>
      </c>
      <c r="L364" s="437">
        <f t="shared" si="72"/>
        <v>2015667</v>
      </c>
      <c r="M364" s="271">
        <f t="shared" si="73"/>
        <v>10999000</v>
      </c>
      <c r="N364" s="184">
        <f t="shared" si="74"/>
        <v>1000</v>
      </c>
      <c r="O364" s="516" t="s">
        <v>1322</v>
      </c>
      <c r="P364" s="233">
        <v>1</v>
      </c>
      <c r="Q364" s="487" t="s">
        <v>1644</v>
      </c>
      <c r="R364" s="23"/>
      <c r="S364" s="23">
        <f t="shared" si="81"/>
        <v>550000</v>
      </c>
      <c r="T364" s="23">
        <f t="shared" si="75"/>
        <v>-549000</v>
      </c>
      <c r="U364" s="23">
        <f t="shared" si="76"/>
        <v>0</v>
      </c>
      <c r="V364" s="10">
        <f t="shared" si="77"/>
        <v>2200000</v>
      </c>
      <c r="W364" s="10">
        <f t="shared" si="71"/>
        <v>2200000</v>
      </c>
      <c r="X364" s="10">
        <f t="shared" si="78"/>
        <v>-184333</v>
      </c>
      <c r="Y364" s="9" t="b">
        <f t="shared" si="80"/>
        <v>0</v>
      </c>
    </row>
    <row r="365" spans="1:25" s="9" customFormat="1" ht="13.5" customHeight="1" x14ac:dyDescent="0.2">
      <c r="A365" s="272">
        <f t="shared" si="79"/>
        <v>361</v>
      </c>
      <c r="B365" s="528" t="s">
        <v>1645</v>
      </c>
      <c r="C365" s="527">
        <v>42746</v>
      </c>
      <c r="D365" s="484">
        <v>11400000</v>
      </c>
      <c r="E365" s="484"/>
      <c r="F365" s="67">
        <f t="shared" ref="F365:F386" si="82">+D365+E365</f>
        <v>11400000</v>
      </c>
      <c r="G365" s="271">
        <v>9120000</v>
      </c>
      <c r="H365" s="184">
        <f t="shared" si="66"/>
        <v>2280000</v>
      </c>
      <c r="I365" s="186">
        <v>5</v>
      </c>
      <c r="J365" s="186">
        <v>0.2</v>
      </c>
      <c r="K365" s="68">
        <v>12</v>
      </c>
      <c r="L365" s="437">
        <f t="shared" si="72"/>
        <v>2279000</v>
      </c>
      <c r="M365" s="271">
        <f t="shared" si="73"/>
        <v>11399000</v>
      </c>
      <c r="N365" s="184">
        <f t="shared" si="74"/>
        <v>1000</v>
      </c>
      <c r="O365" s="516" t="s">
        <v>1628</v>
      </c>
      <c r="P365" s="233">
        <v>1</v>
      </c>
      <c r="Q365" s="487"/>
      <c r="R365" s="23"/>
      <c r="S365" s="23">
        <f t="shared" si="81"/>
        <v>570000</v>
      </c>
      <c r="T365" s="23">
        <f t="shared" si="75"/>
        <v>-569000</v>
      </c>
      <c r="U365" s="23">
        <f t="shared" si="76"/>
        <v>0</v>
      </c>
      <c r="V365" s="10">
        <f t="shared" si="77"/>
        <v>2280000</v>
      </c>
      <c r="W365" s="10">
        <f t="shared" si="71"/>
        <v>2280000</v>
      </c>
      <c r="X365" s="10">
        <f t="shared" si="78"/>
        <v>-1000</v>
      </c>
      <c r="Y365" s="9" t="b">
        <f t="shared" si="80"/>
        <v>0</v>
      </c>
    </row>
    <row r="366" spans="1:25" s="9" customFormat="1" ht="13.5" customHeight="1" x14ac:dyDescent="0.2">
      <c r="A366" s="272">
        <f t="shared" si="79"/>
        <v>362</v>
      </c>
      <c r="B366" s="528" t="s">
        <v>1646</v>
      </c>
      <c r="C366" s="527">
        <v>42821</v>
      </c>
      <c r="D366" s="484">
        <v>3850000</v>
      </c>
      <c r="E366" s="484"/>
      <c r="F366" s="67">
        <f t="shared" si="82"/>
        <v>3850000</v>
      </c>
      <c r="G366" s="271">
        <v>2951667</v>
      </c>
      <c r="H366" s="184">
        <f t="shared" si="66"/>
        <v>898333</v>
      </c>
      <c r="I366" s="186">
        <v>5</v>
      </c>
      <c r="J366" s="186">
        <v>0.2</v>
      </c>
      <c r="K366" s="68">
        <v>12</v>
      </c>
      <c r="L366" s="437">
        <f t="shared" si="72"/>
        <v>770000</v>
      </c>
      <c r="M366" s="271">
        <f t="shared" si="73"/>
        <v>3721667</v>
      </c>
      <c r="N366" s="184">
        <f t="shared" si="74"/>
        <v>128333</v>
      </c>
      <c r="O366" s="516" t="s">
        <v>1620</v>
      </c>
      <c r="P366" s="233">
        <v>1</v>
      </c>
      <c r="Q366" s="487"/>
      <c r="R366" s="23"/>
      <c r="S366" s="23">
        <f t="shared" si="81"/>
        <v>192500</v>
      </c>
      <c r="T366" s="23">
        <f t="shared" si="75"/>
        <v>-64167</v>
      </c>
      <c r="U366" s="23">
        <f t="shared" si="76"/>
        <v>127333</v>
      </c>
      <c r="V366" s="10">
        <f t="shared" si="77"/>
        <v>770000</v>
      </c>
      <c r="W366" s="10">
        <f t="shared" si="71"/>
        <v>770000</v>
      </c>
      <c r="X366" s="10">
        <f t="shared" si="78"/>
        <v>0</v>
      </c>
      <c r="Y366" s="9" t="b">
        <f t="shared" si="80"/>
        <v>1</v>
      </c>
    </row>
    <row r="367" spans="1:25" s="9" customFormat="1" ht="13.5" customHeight="1" x14ac:dyDescent="0.2">
      <c r="A367" s="272">
        <f t="shared" si="79"/>
        <v>363</v>
      </c>
      <c r="B367" s="528" t="s">
        <v>1647</v>
      </c>
      <c r="C367" s="527">
        <v>42921</v>
      </c>
      <c r="D367" s="484">
        <v>9500000</v>
      </c>
      <c r="E367" s="484"/>
      <c r="F367" s="67">
        <f t="shared" si="82"/>
        <v>9500000</v>
      </c>
      <c r="G367" s="271">
        <v>6650000</v>
      </c>
      <c r="H367" s="184">
        <f t="shared" si="66"/>
        <v>2850000</v>
      </c>
      <c r="I367" s="186">
        <v>5</v>
      </c>
      <c r="J367" s="186">
        <v>0.2</v>
      </c>
      <c r="K367" s="68">
        <v>12</v>
      </c>
      <c r="L367" s="437">
        <f t="shared" si="72"/>
        <v>1900000</v>
      </c>
      <c r="M367" s="271">
        <f t="shared" si="73"/>
        <v>8550000</v>
      </c>
      <c r="N367" s="184">
        <f t="shared" si="74"/>
        <v>950000</v>
      </c>
      <c r="O367" s="516" t="s">
        <v>1628</v>
      </c>
      <c r="P367" s="233">
        <v>1</v>
      </c>
      <c r="Q367" s="487" t="s">
        <v>1642</v>
      </c>
      <c r="R367" s="23"/>
      <c r="S367" s="23">
        <f t="shared" si="81"/>
        <v>475000</v>
      </c>
      <c r="T367" s="23">
        <f t="shared" si="75"/>
        <v>475000</v>
      </c>
      <c r="U367" s="23">
        <f t="shared" si="76"/>
        <v>949000</v>
      </c>
      <c r="V367" s="10">
        <f t="shared" si="77"/>
        <v>1900000</v>
      </c>
      <c r="W367" s="10">
        <f t="shared" si="71"/>
        <v>1900000</v>
      </c>
      <c r="X367" s="10">
        <f t="shared" si="78"/>
        <v>0</v>
      </c>
      <c r="Y367" s="9" t="b">
        <f t="shared" si="80"/>
        <v>1</v>
      </c>
    </row>
    <row r="368" spans="1:25" s="9" customFormat="1" ht="13.5" customHeight="1" x14ac:dyDescent="0.2">
      <c r="A368" s="272">
        <f t="shared" si="79"/>
        <v>364</v>
      </c>
      <c r="B368" s="528" t="s">
        <v>1648</v>
      </c>
      <c r="C368" s="527">
        <v>43020</v>
      </c>
      <c r="D368" s="484">
        <v>15000000</v>
      </c>
      <c r="E368" s="484"/>
      <c r="F368" s="67">
        <f t="shared" si="82"/>
        <v>15000000</v>
      </c>
      <c r="G368" s="271">
        <v>9750000</v>
      </c>
      <c r="H368" s="184">
        <f t="shared" si="66"/>
        <v>5250000</v>
      </c>
      <c r="I368" s="186">
        <v>5</v>
      </c>
      <c r="J368" s="186">
        <v>0.2</v>
      </c>
      <c r="K368" s="68">
        <v>12</v>
      </c>
      <c r="L368" s="437">
        <f t="shared" si="72"/>
        <v>3000000</v>
      </c>
      <c r="M368" s="271">
        <f t="shared" si="73"/>
        <v>12750000</v>
      </c>
      <c r="N368" s="184">
        <f t="shared" si="74"/>
        <v>2250000</v>
      </c>
      <c r="O368" s="516" t="s">
        <v>1649</v>
      </c>
      <c r="P368" s="233">
        <v>1</v>
      </c>
      <c r="Q368" s="487"/>
      <c r="R368" s="23"/>
      <c r="S368" s="23">
        <f t="shared" si="81"/>
        <v>750000</v>
      </c>
      <c r="T368" s="23">
        <f t="shared" si="75"/>
        <v>1500000</v>
      </c>
      <c r="U368" s="23">
        <f t="shared" si="76"/>
        <v>2249000</v>
      </c>
      <c r="V368" s="10">
        <f t="shared" si="77"/>
        <v>3000000</v>
      </c>
      <c r="W368" s="10">
        <f t="shared" si="71"/>
        <v>3000000</v>
      </c>
      <c r="X368" s="10">
        <f t="shared" si="78"/>
        <v>0</v>
      </c>
      <c r="Y368" s="9" t="b">
        <f t="shared" si="80"/>
        <v>1</v>
      </c>
    </row>
    <row r="369" spans="1:25" s="9" customFormat="1" ht="13.5" customHeight="1" x14ac:dyDescent="0.2">
      <c r="A369" s="272">
        <f t="shared" si="79"/>
        <v>365</v>
      </c>
      <c r="B369" s="528" t="s">
        <v>1650</v>
      </c>
      <c r="C369" s="527">
        <v>43276</v>
      </c>
      <c r="D369" s="484">
        <v>12000000</v>
      </c>
      <c r="E369" s="484"/>
      <c r="F369" s="67">
        <f t="shared" si="82"/>
        <v>12000000</v>
      </c>
      <c r="G369" s="271">
        <v>6200000</v>
      </c>
      <c r="H369" s="184">
        <f t="shared" ref="H369:H386" si="83">+F369-G369</f>
        <v>5800000</v>
      </c>
      <c r="I369" s="186">
        <v>5</v>
      </c>
      <c r="J369" s="186">
        <v>0.2</v>
      </c>
      <c r="K369" s="68">
        <v>12</v>
      </c>
      <c r="L369" s="437">
        <f t="shared" si="72"/>
        <v>2400000</v>
      </c>
      <c r="M369" s="271">
        <f t="shared" si="73"/>
        <v>8600000</v>
      </c>
      <c r="N369" s="184">
        <f t="shared" si="74"/>
        <v>3400000</v>
      </c>
      <c r="O369" s="516" t="s">
        <v>1625</v>
      </c>
      <c r="P369" s="233">
        <v>1</v>
      </c>
      <c r="Q369" s="487"/>
      <c r="R369" s="23"/>
      <c r="S369" s="23">
        <f t="shared" si="81"/>
        <v>600000</v>
      </c>
      <c r="T369" s="23">
        <f t="shared" si="75"/>
        <v>2800000</v>
      </c>
      <c r="U369" s="23">
        <f t="shared" si="76"/>
        <v>3399000</v>
      </c>
      <c r="V369" s="10">
        <f t="shared" si="77"/>
        <v>2400000</v>
      </c>
      <c r="W369" s="10">
        <f t="shared" si="71"/>
        <v>2400000</v>
      </c>
      <c r="X369" s="10">
        <f t="shared" si="78"/>
        <v>0</v>
      </c>
      <c r="Y369" s="9" t="b">
        <f t="shared" si="80"/>
        <v>1</v>
      </c>
    </row>
    <row r="370" spans="1:25" s="9" customFormat="1" ht="13.5" customHeight="1" x14ac:dyDescent="0.2">
      <c r="A370" s="272">
        <f t="shared" si="79"/>
        <v>366</v>
      </c>
      <c r="B370" s="528" t="s">
        <v>1651</v>
      </c>
      <c r="C370" s="527">
        <v>43325</v>
      </c>
      <c r="D370" s="484">
        <v>2500000</v>
      </c>
      <c r="E370" s="484"/>
      <c r="F370" s="67">
        <f t="shared" si="82"/>
        <v>2500000</v>
      </c>
      <c r="G370" s="271">
        <v>1208333</v>
      </c>
      <c r="H370" s="184">
        <f t="shared" si="83"/>
        <v>1291667</v>
      </c>
      <c r="I370" s="186">
        <v>5</v>
      </c>
      <c r="J370" s="186">
        <v>0.2</v>
      </c>
      <c r="K370" s="68">
        <v>12</v>
      </c>
      <c r="L370" s="437">
        <f t="shared" si="72"/>
        <v>500000</v>
      </c>
      <c r="M370" s="271">
        <f t="shared" si="73"/>
        <v>1708333</v>
      </c>
      <c r="N370" s="184">
        <f t="shared" si="74"/>
        <v>791667</v>
      </c>
      <c r="O370" s="516" t="s">
        <v>1652</v>
      </c>
      <c r="P370" s="233">
        <v>1</v>
      </c>
      <c r="Q370" s="487"/>
      <c r="R370" s="23"/>
      <c r="S370" s="23">
        <f t="shared" si="81"/>
        <v>125000</v>
      </c>
      <c r="T370" s="23">
        <f t="shared" si="75"/>
        <v>666667</v>
      </c>
      <c r="U370" s="23">
        <f t="shared" si="76"/>
        <v>790667</v>
      </c>
      <c r="V370" s="10">
        <f t="shared" si="77"/>
        <v>500000</v>
      </c>
      <c r="W370" s="10">
        <f t="shared" si="71"/>
        <v>500000</v>
      </c>
      <c r="X370" s="10">
        <f t="shared" si="78"/>
        <v>0</v>
      </c>
      <c r="Y370" s="9" t="b">
        <f t="shared" si="80"/>
        <v>1</v>
      </c>
    </row>
    <row r="371" spans="1:25" s="9" customFormat="1" ht="13.5" customHeight="1" x14ac:dyDescent="0.2">
      <c r="A371" s="272">
        <f t="shared" si="79"/>
        <v>367</v>
      </c>
      <c r="B371" s="528" t="s">
        <v>1653</v>
      </c>
      <c r="C371" s="527">
        <v>43343</v>
      </c>
      <c r="D371" s="484">
        <v>60000000</v>
      </c>
      <c r="E371" s="484"/>
      <c r="F371" s="67">
        <f t="shared" si="82"/>
        <v>60000000</v>
      </c>
      <c r="G371" s="271">
        <v>29000000</v>
      </c>
      <c r="H371" s="184">
        <f t="shared" si="83"/>
        <v>31000000</v>
      </c>
      <c r="I371" s="186">
        <v>5</v>
      </c>
      <c r="J371" s="186">
        <v>0.2</v>
      </c>
      <c r="K371" s="68">
        <v>12</v>
      </c>
      <c r="L371" s="437">
        <f t="shared" si="72"/>
        <v>12000000</v>
      </c>
      <c r="M371" s="271">
        <f t="shared" si="73"/>
        <v>41000000</v>
      </c>
      <c r="N371" s="184">
        <f t="shared" si="74"/>
        <v>19000000</v>
      </c>
      <c r="O371" s="516" t="s">
        <v>1290</v>
      </c>
      <c r="P371" s="233">
        <v>1</v>
      </c>
      <c r="Q371" s="487"/>
      <c r="R371" s="23"/>
      <c r="S371" s="23">
        <f t="shared" si="81"/>
        <v>3000000</v>
      </c>
      <c r="T371" s="23">
        <f t="shared" si="75"/>
        <v>16000000</v>
      </c>
      <c r="U371" s="23">
        <f t="shared" si="76"/>
        <v>18999000</v>
      </c>
      <c r="V371" s="10">
        <f t="shared" si="77"/>
        <v>12000000</v>
      </c>
      <c r="W371" s="10">
        <f t="shared" si="71"/>
        <v>12000000</v>
      </c>
      <c r="X371" s="10">
        <f t="shared" si="78"/>
        <v>0</v>
      </c>
      <c r="Y371" s="9" t="b">
        <f t="shared" si="80"/>
        <v>1</v>
      </c>
    </row>
    <row r="372" spans="1:25" s="9" customFormat="1" ht="13.5" customHeight="1" x14ac:dyDescent="0.2">
      <c r="A372" s="272">
        <f t="shared" si="79"/>
        <v>368</v>
      </c>
      <c r="B372" s="528" t="s">
        <v>1654</v>
      </c>
      <c r="C372" s="527">
        <v>43403</v>
      </c>
      <c r="D372" s="484">
        <v>2500000</v>
      </c>
      <c r="E372" s="484"/>
      <c r="F372" s="67">
        <f t="shared" si="82"/>
        <v>2500000</v>
      </c>
      <c r="G372" s="271">
        <v>1125000</v>
      </c>
      <c r="H372" s="184">
        <f t="shared" si="83"/>
        <v>1375000</v>
      </c>
      <c r="I372" s="186">
        <v>5</v>
      </c>
      <c r="J372" s="186">
        <v>0.2</v>
      </c>
      <c r="K372" s="68">
        <v>12</v>
      </c>
      <c r="L372" s="437">
        <f t="shared" si="72"/>
        <v>500000</v>
      </c>
      <c r="M372" s="271">
        <f t="shared" si="73"/>
        <v>1625000</v>
      </c>
      <c r="N372" s="184">
        <f t="shared" si="74"/>
        <v>875000</v>
      </c>
      <c r="O372" s="516" t="s">
        <v>1655</v>
      </c>
      <c r="P372" s="233">
        <v>1</v>
      </c>
      <c r="Q372" s="487" t="s">
        <v>1656</v>
      </c>
      <c r="R372" s="23"/>
      <c r="S372" s="23">
        <f t="shared" si="81"/>
        <v>125000</v>
      </c>
      <c r="T372" s="23">
        <f t="shared" si="75"/>
        <v>750000</v>
      </c>
      <c r="U372" s="23">
        <f t="shared" si="76"/>
        <v>874000</v>
      </c>
      <c r="V372" s="10">
        <f t="shared" si="77"/>
        <v>500000</v>
      </c>
      <c r="W372" s="10">
        <f t="shared" si="71"/>
        <v>500000</v>
      </c>
      <c r="X372" s="10">
        <f t="shared" si="78"/>
        <v>0</v>
      </c>
      <c r="Y372" s="9" t="b">
        <f t="shared" si="80"/>
        <v>1</v>
      </c>
    </row>
    <row r="373" spans="1:25" s="9" customFormat="1" ht="13.5" customHeight="1" x14ac:dyDescent="0.2">
      <c r="A373" s="272">
        <f t="shared" si="79"/>
        <v>369</v>
      </c>
      <c r="B373" s="528" t="s">
        <v>1657</v>
      </c>
      <c r="C373" s="527">
        <v>43403</v>
      </c>
      <c r="D373" s="484">
        <v>2800000</v>
      </c>
      <c r="E373" s="484"/>
      <c r="F373" s="67">
        <f t="shared" si="82"/>
        <v>2800000</v>
      </c>
      <c r="G373" s="271">
        <v>1260000</v>
      </c>
      <c r="H373" s="184">
        <f t="shared" si="83"/>
        <v>1540000</v>
      </c>
      <c r="I373" s="186">
        <v>5</v>
      </c>
      <c r="J373" s="186">
        <v>0.2</v>
      </c>
      <c r="K373" s="68">
        <v>12</v>
      </c>
      <c r="L373" s="437">
        <f t="shared" si="72"/>
        <v>560000</v>
      </c>
      <c r="M373" s="271">
        <f t="shared" si="73"/>
        <v>1820000</v>
      </c>
      <c r="N373" s="184">
        <f t="shared" si="74"/>
        <v>980000</v>
      </c>
      <c r="O373" s="516" t="s">
        <v>1658</v>
      </c>
      <c r="P373" s="233">
        <v>1</v>
      </c>
      <c r="Q373" s="487" t="s">
        <v>1656</v>
      </c>
      <c r="R373" s="23"/>
      <c r="S373" s="23">
        <f t="shared" si="81"/>
        <v>140000</v>
      </c>
      <c r="T373" s="23">
        <f t="shared" si="75"/>
        <v>840000</v>
      </c>
      <c r="U373" s="23">
        <f t="shared" si="76"/>
        <v>979000</v>
      </c>
      <c r="V373" s="10">
        <f t="shared" si="77"/>
        <v>560000</v>
      </c>
      <c r="W373" s="10">
        <f t="shared" si="71"/>
        <v>560000</v>
      </c>
      <c r="X373" s="10">
        <f t="shared" si="78"/>
        <v>0</v>
      </c>
      <c r="Y373" s="9" t="b">
        <f t="shared" si="80"/>
        <v>1</v>
      </c>
    </row>
    <row r="374" spans="1:25" s="9" customFormat="1" ht="13.5" customHeight="1" x14ac:dyDescent="0.2">
      <c r="A374" s="272">
        <f t="shared" si="79"/>
        <v>370</v>
      </c>
      <c r="B374" s="528" t="s">
        <v>1659</v>
      </c>
      <c r="C374" s="527">
        <v>43404</v>
      </c>
      <c r="D374" s="484">
        <v>19000000</v>
      </c>
      <c r="E374" s="484"/>
      <c r="F374" s="67">
        <f t="shared" si="82"/>
        <v>19000000</v>
      </c>
      <c r="G374" s="271">
        <v>8550000</v>
      </c>
      <c r="H374" s="184">
        <f t="shared" si="83"/>
        <v>10450000</v>
      </c>
      <c r="I374" s="186">
        <v>5</v>
      </c>
      <c r="J374" s="186">
        <v>0.2</v>
      </c>
      <c r="K374" s="68">
        <v>12</v>
      </c>
      <c r="L374" s="437">
        <f t="shared" si="72"/>
        <v>3800000</v>
      </c>
      <c r="M374" s="271">
        <f t="shared" si="73"/>
        <v>12350000</v>
      </c>
      <c r="N374" s="184">
        <f t="shared" si="74"/>
        <v>6650000</v>
      </c>
      <c r="O374" s="516" t="s">
        <v>1660</v>
      </c>
      <c r="P374" s="233">
        <v>1</v>
      </c>
      <c r="Q374" s="487" t="s">
        <v>1656</v>
      </c>
      <c r="R374" s="23"/>
      <c r="S374" s="23">
        <f t="shared" si="81"/>
        <v>950000</v>
      </c>
      <c r="T374" s="23">
        <f t="shared" si="75"/>
        <v>5700000</v>
      </c>
      <c r="U374" s="23">
        <f t="shared" si="76"/>
        <v>6649000</v>
      </c>
      <c r="V374" s="10">
        <f t="shared" si="77"/>
        <v>3800000</v>
      </c>
      <c r="W374" s="10">
        <f t="shared" si="71"/>
        <v>3800000</v>
      </c>
      <c r="X374" s="10">
        <f t="shared" si="78"/>
        <v>0</v>
      </c>
      <c r="Y374" s="9" t="b">
        <f t="shared" si="80"/>
        <v>1</v>
      </c>
    </row>
    <row r="375" spans="1:25" s="9" customFormat="1" ht="13.5" customHeight="1" x14ac:dyDescent="0.2">
      <c r="A375" s="272">
        <f t="shared" si="79"/>
        <v>371</v>
      </c>
      <c r="B375" s="528" t="s">
        <v>1661</v>
      </c>
      <c r="C375" s="527">
        <v>43424</v>
      </c>
      <c r="D375" s="484">
        <v>16000000</v>
      </c>
      <c r="E375" s="484"/>
      <c r="F375" s="67">
        <f t="shared" si="82"/>
        <v>16000000</v>
      </c>
      <c r="G375" s="271">
        <v>6933333</v>
      </c>
      <c r="H375" s="184">
        <f t="shared" si="83"/>
        <v>9066667</v>
      </c>
      <c r="I375" s="186">
        <v>5</v>
      </c>
      <c r="J375" s="186">
        <v>0.2</v>
      </c>
      <c r="K375" s="68">
        <v>12</v>
      </c>
      <c r="L375" s="437">
        <f t="shared" si="72"/>
        <v>3200000</v>
      </c>
      <c r="M375" s="271">
        <f t="shared" si="73"/>
        <v>10133333</v>
      </c>
      <c r="N375" s="184">
        <f t="shared" si="74"/>
        <v>5866667</v>
      </c>
      <c r="O375" s="516" t="s">
        <v>1660</v>
      </c>
      <c r="P375" s="233">
        <v>1</v>
      </c>
      <c r="Q375" s="487" t="s">
        <v>1656</v>
      </c>
      <c r="R375" s="23"/>
      <c r="S375" s="23">
        <f t="shared" si="81"/>
        <v>800000</v>
      </c>
      <c r="T375" s="23">
        <f t="shared" si="75"/>
        <v>5066667</v>
      </c>
      <c r="U375" s="23">
        <f t="shared" si="76"/>
        <v>5865667</v>
      </c>
      <c r="V375" s="10">
        <f t="shared" si="77"/>
        <v>3200000</v>
      </c>
      <c r="W375" s="10">
        <f t="shared" si="71"/>
        <v>3200000</v>
      </c>
      <c r="X375" s="10">
        <f t="shared" si="78"/>
        <v>0</v>
      </c>
      <c r="Y375" s="9" t="b">
        <f t="shared" si="80"/>
        <v>1</v>
      </c>
    </row>
    <row r="376" spans="1:25" s="9" customFormat="1" ht="13.5" customHeight="1" x14ac:dyDescent="0.2">
      <c r="A376" s="272">
        <f t="shared" si="79"/>
        <v>372</v>
      </c>
      <c r="B376" s="528" t="s">
        <v>1662</v>
      </c>
      <c r="C376" s="527">
        <v>43425</v>
      </c>
      <c r="D376" s="484">
        <v>9315000</v>
      </c>
      <c r="E376" s="484"/>
      <c r="F376" s="67">
        <f t="shared" si="82"/>
        <v>9315000</v>
      </c>
      <c r="G376" s="271">
        <v>4036500</v>
      </c>
      <c r="H376" s="184">
        <f t="shared" si="83"/>
        <v>5278500</v>
      </c>
      <c r="I376" s="186">
        <v>5</v>
      </c>
      <c r="J376" s="186">
        <v>0.2</v>
      </c>
      <c r="K376" s="68">
        <v>12</v>
      </c>
      <c r="L376" s="437">
        <f t="shared" si="72"/>
        <v>1863000</v>
      </c>
      <c r="M376" s="271">
        <f t="shared" si="73"/>
        <v>5899500</v>
      </c>
      <c r="N376" s="184">
        <f t="shared" si="74"/>
        <v>3415500</v>
      </c>
      <c r="O376" s="516" t="s">
        <v>1663</v>
      </c>
      <c r="P376" s="233">
        <v>1</v>
      </c>
      <c r="Q376" s="487" t="s">
        <v>1656</v>
      </c>
      <c r="R376" s="23"/>
      <c r="S376" s="23">
        <f t="shared" si="81"/>
        <v>465750</v>
      </c>
      <c r="T376" s="23">
        <f t="shared" si="75"/>
        <v>2949750</v>
      </c>
      <c r="U376" s="23">
        <f t="shared" si="76"/>
        <v>3414500</v>
      </c>
      <c r="V376" s="10">
        <f t="shared" si="77"/>
        <v>1863000</v>
      </c>
      <c r="W376" s="10">
        <f t="shared" si="71"/>
        <v>1863000</v>
      </c>
      <c r="X376" s="10">
        <f t="shared" si="78"/>
        <v>0</v>
      </c>
      <c r="Y376" s="9" t="b">
        <f t="shared" si="80"/>
        <v>1</v>
      </c>
    </row>
    <row r="377" spans="1:25" s="9" customFormat="1" ht="13.5" customHeight="1" x14ac:dyDescent="0.2">
      <c r="A377" s="272">
        <f t="shared" si="79"/>
        <v>373</v>
      </c>
      <c r="B377" s="528" t="s">
        <v>1664</v>
      </c>
      <c r="C377" s="527">
        <v>43434</v>
      </c>
      <c r="D377" s="484">
        <v>3840000</v>
      </c>
      <c r="E377" s="484"/>
      <c r="F377" s="67">
        <f t="shared" si="82"/>
        <v>3840000</v>
      </c>
      <c r="G377" s="271">
        <v>1664000</v>
      </c>
      <c r="H377" s="184">
        <f t="shared" si="83"/>
        <v>2176000</v>
      </c>
      <c r="I377" s="186">
        <v>5</v>
      </c>
      <c r="J377" s="186">
        <v>0.2</v>
      </c>
      <c r="K377" s="68">
        <v>12</v>
      </c>
      <c r="L377" s="437">
        <f t="shared" si="72"/>
        <v>768000</v>
      </c>
      <c r="M377" s="271">
        <f t="shared" si="73"/>
        <v>2432000</v>
      </c>
      <c r="N377" s="184">
        <f t="shared" si="74"/>
        <v>1408000</v>
      </c>
      <c r="O377" s="516" t="s">
        <v>1665</v>
      </c>
      <c r="P377" s="233">
        <v>1</v>
      </c>
      <c r="Q377" s="487" t="s">
        <v>1656</v>
      </c>
      <c r="R377" s="23"/>
      <c r="S377" s="23">
        <f t="shared" si="81"/>
        <v>192000</v>
      </c>
      <c r="T377" s="23">
        <f t="shared" si="75"/>
        <v>1216000</v>
      </c>
      <c r="U377" s="23">
        <f t="shared" si="76"/>
        <v>1407000</v>
      </c>
      <c r="V377" s="10">
        <f t="shared" si="77"/>
        <v>768000</v>
      </c>
      <c r="W377" s="10">
        <f t="shared" si="71"/>
        <v>768000</v>
      </c>
      <c r="X377" s="10">
        <f t="shared" si="78"/>
        <v>0</v>
      </c>
      <c r="Y377" s="9" t="b">
        <f t="shared" si="80"/>
        <v>1</v>
      </c>
    </row>
    <row r="378" spans="1:25" s="9" customFormat="1" ht="13.5" customHeight="1" x14ac:dyDescent="0.2">
      <c r="A378" s="272">
        <f t="shared" si="79"/>
        <v>374</v>
      </c>
      <c r="B378" s="528" t="s">
        <v>1666</v>
      </c>
      <c r="C378" s="527">
        <v>43434</v>
      </c>
      <c r="D378" s="484">
        <v>4320000</v>
      </c>
      <c r="E378" s="484"/>
      <c r="F378" s="67">
        <f t="shared" si="82"/>
        <v>4320000</v>
      </c>
      <c r="G378" s="271">
        <v>1872000</v>
      </c>
      <c r="H378" s="184">
        <f t="shared" si="83"/>
        <v>2448000</v>
      </c>
      <c r="I378" s="186">
        <v>5</v>
      </c>
      <c r="J378" s="186">
        <v>0.2</v>
      </c>
      <c r="K378" s="68">
        <v>12</v>
      </c>
      <c r="L378" s="437">
        <f t="shared" si="72"/>
        <v>864000</v>
      </c>
      <c r="M378" s="271">
        <f t="shared" si="73"/>
        <v>2736000</v>
      </c>
      <c r="N378" s="184">
        <f t="shared" si="74"/>
        <v>1584000</v>
      </c>
      <c r="O378" s="516" t="s">
        <v>1665</v>
      </c>
      <c r="P378" s="233">
        <v>1</v>
      </c>
      <c r="Q378" s="487" t="s">
        <v>1656</v>
      </c>
      <c r="R378" s="23"/>
      <c r="S378" s="23">
        <f t="shared" si="81"/>
        <v>216000</v>
      </c>
      <c r="T378" s="23">
        <f t="shared" si="75"/>
        <v>1368000</v>
      </c>
      <c r="U378" s="23">
        <f t="shared" si="76"/>
        <v>1583000</v>
      </c>
      <c r="V378" s="10">
        <f t="shared" si="77"/>
        <v>864000</v>
      </c>
      <c r="W378" s="10">
        <f t="shared" si="71"/>
        <v>864000</v>
      </c>
      <c r="X378" s="10">
        <f t="shared" si="78"/>
        <v>0</v>
      </c>
      <c r="Y378" s="9" t="b">
        <f t="shared" si="80"/>
        <v>1</v>
      </c>
    </row>
    <row r="379" spans="1:25" s="9" customFormat="1" ht="13.5" customHeight="1" x14ac:dyDescent="0.2">
      <c r="A379" s="272">
        <f t="shared" si="79"/>
        <v>375</v>
      </c>
      <c r="B379" s="528" t="s">
        <v>1667</v>
      </c>
      <c r="C379" s="527">
        <v>43434</v>
      </c>
      <c r="D379" s="484">
        <v>12000000</v>
      </c>
      <c r="E379" s="484"/>
      <c r="F379" s="67">
        <f t="shared" si="82"/>
        <v>12000000</v>
      </c>
      <c r="G379" s="271">
        <v>5200000</v>
      </c>
      <c r="H379" s="184">
        <f t="shared" si="83"/>
        <v>6800000</v>
      </c>
      <c r="I379" s="186">
        <v>5</v>
      </c>
      <c r="J379" s="186">
        <v>0.2</v>
      </c>
      <c r="K379" s="68">
        <v>12</v>
      </c>
      <c r="L379" s="437">
        <f t="shared" si="72"/>
        <v>2400000</v>
      </c>
      <c r="M379" s="271">
        <f t="shared" si="73"/>
        <v>7600000</v>
      </c>
      <c r="N379" s="184">
        <f t="shared" si="74"/>
        <v>4400000</v>
      </c>
      <c r="O379" s="516" t="s">
        <v>1660</v>
      </c>
      <c r="P379" s="233">
        <v>1</v>
      </c>
      <c r="Q379" s="487" t="s">
        <v>1656</v>
      </c>
      <c r="R379" s="23"/>
      <c r="S379" s="23">
        <f t="shared" si="81"/>
        <v>600000</v>
      </c>
      <c r="T379" s="23">
        <f t="shared" si="75"/>
        <v>3800000</v>
      </c>
      <c r="U379" s="23">
        <f t="shared" si="76"/>
        <v>4399000</v>
      </c>
      <c r="V379" s="10">
        <f t="shared" si="77"/>
        <v>2400000</v>
      </c>
      <c r="W379" s="10">
        <f t="shared" si="71"/>
        <v>2400000</v>
      </c>
      <c r="X379" s="10">
        <f t="shared" si="78"/>
        <v>0</v>
      </c>
      <c r="Y379" s="9" t="b">
        <f t="shared" si="80"/>
        <v>1</v>
      </c>
    </row>
    <row r="380" spans="1:25" s="9" customFormat="1" ht="13.5" customHeight="1" x14ac:dyDescent="0.2">
      <c r="A380" s="272">
        <f t="shared" si="79"/>
        <v>376</v>
      </c>
      <c r="B380" s="528" t="s">
        <v>1668</v>
      </c>
      <c r="C380" s="527">
        <v>43437</v>
      </c>
      <c r="D380" s="484">
        <v>8350000</v>
      </c>
      <c r="E380" s="484"/>
      <c r="F380" s="67">
        <f t="shared" si="82"/>
        <v>8350000</v>
      </c>
      <c r="G380" s="271">
        <v>3479167</v>
      </c>
      <c r="H380" s="184">
        <f t="shared" si="83"/>
        <v>4870833</v>
      </c>
      <c r="I380" s="186">
        <v>5</v>
      </c>
      <c r="J380" s="186">
        <v>0.2</v>
      </c>
      <c r="K380" s="68">
        <v>12</v>
      </c>
      <c r="L380" s="437">
        <f t="shared" si="72"/>
        <v>1670000</v>
      </c>
      <c r="M380" s="271">
        <f t="shared" si="73"/>
        <v>5149167</v>
      </c>
      <c r="N380" s="184">
        <f t="shared" si="74"/>
        <v>3200833</v>
      </c>
      <c r="O380" s="516" t="s">
        <v>1669</v>
      </c>
      <c r="P380" s="233">
        <v>1</v>
      </c>
      <c r="Q380" s="487" t="s">
        <v>1656</v>
      </c>
      <c r="R380" s="23"/>
      <c r="S380" s="23">
        <f t="shared" si="81"/>
        <v>417500</v>
      </c>
      <c r="T380" s="23">
        <f t="shared" si="75"/>
        <v>2783333</v>
      </c>
      <c r="U380" s="23">
        <f t="shared" si="76"/>
        <v>3199833</v>
      </c>
      <c r="V380" s="10">
        <f t="shared" si="77"/>
        <v>1670000</v>
      </c>
      <c r="W380" s="10">
        <f t="shared" si="71"/>
        <v>1670000</v>
      </c>
      <c r="X380" s="10">
        <f t="shared" si="78"/>
        <v>0</v>
      </c>
      <c r="Y380" s="9" t="b">
        <f t="shared" si="80"/>
        <v>1</v>
      </c>
    </row>
    <row r="381" spans="1:25" s="9" customFormat="1" ht="13.5" customHeight="1" x14ac:dyDescent="0.2">
      <c r="A381" s="272">
        <f t="shared" si="79"/>
        <v>377</v>
      </c>
      <c r="B381" s="528" t="s">
        <v>1670</v>
      </c>
      <c r="C381" s="527">
        <v>43438</v>
      </c>
      <c r="D381" s="484">
        <v>3700000</v>
      </c>
      <c r="E381" s="484"/>
      <c r="F381" s="67">
        <f t="shared" si="82"/>
        <v>3700000</v>
      </c>
      <c r="G381" s="271">
        <v>1541667</v>
      </c>
      <c r="H381" s="184">
        <f t="shared" si="83"/>
        <v>2158333</v>
      </c>
      <c r="I381" s="186">
        <v>5</v>
      </c>
      <c r="J381" s="186">
        <v>0.2</v>
      </c>
      <c r="K381" s="68">
        <v>12</v>
      </c>
      <c r="L381" s="437">
        <f t="shared" si="72"/>
        <v>740000</v>
      </c>
      <c r="M381" s="271">
        <f t="shared" si="73"/>
        <v>2281667</v>
      </c>
      <c r="N381" s="184">
        <f t="shared" si="74"/>
        <v>1418333</v>
      </c>
      <c r="O381" s="516" t="s">
        <v>1671</v>
      </c>
      <c r="P381" s="233">
        <v>1</v>
      </c>
      <c r="Q381" s="487" t="s">
        <v>1656</v>
      </c>
      <c r="R381" s="23"/>
      <c r="S381" s="23">
        <f t="shared" si="81"/>
        <v>185000</v>
      </c>
      <c r="T381" s="23">
        <f t="shared" si="75"/>
        <v>1233333</v>
      </c>
      <c r="U381" s="23">
        <f t="shared" si="76"/>
        <v>1417333</v>
      </c>
      <c r="V381" s="10">
        <f t="shared" si="77"/>
        <v>740000</v>
      </c>
      <c r="W381" s="10">
        <f t="shared" si="71"/>
        <v>740000</v>
      </c>
      <c r="X381" s="10">
        <f t="shared" si="78"/>
        <v>0</v>
      </c>
      <c r="Y381" s="9" t="b">
        <f t="shared" si="80"/>
        <v>1</v>
      </c>
    </row>
    <row r="382" spans="1:25" s="9" customFormat="1" ht="13.5" customHeight="1" x14ac:dyDescent="0.2">
      <c r="A382" s="272">
        <f t="shared" si="79"/>
        <v>378</v>
      </c>
      <c r="B382" s="528" t="s">
        <v>1672</v>
      </c>
      <c r="C382" s="527">
        <v>43441</v>
      </c>
      <c r="D382" s="484">
        <v>6808500</v>
      </c>
      <c r="E382" s="484"/>
      <c r="F382" s="67">
        <f t="shared" si="82"/>
        <v>6808500</v>
      </c>
      <c r="G382" s="271">
        <v>2836875</v>
      </c>
      <c r="H382" s="184">
        <f t="shared" si="83"/>
        <v>3971625</v>
      </c>
      <c r="I382" s="186">
        <v>5</v>
      </c>
      <c r="J382" s="186">
        <v>0.2</v>
      </c>
      <c r="K382" s="68">
        <v>12</v>
      </c>
      <c r="L382" s="437">
        <f t="shared" si="72"/>
        <v>1361700</v>
      </c>
      <c r="M382" s="271">
        <f t="shared" si="73"/>
        <v>4198575</v>
      </c>
      <c r="N382" s="184">
        <f t="shared" si="74"/>
        <v>2609925</v>
      </c>
      <c r="O382" s="516" t="s">
        <v>1673</v>
      </c>
      <c r="P382" s="233">
        <v>1</v>
      </c>
      <c r="Q382" s="487" t="s">
        <v>1656</v>
      </c>
      <c r="R382" s="23"/>
      <c r="S382" s="23">
        <f t="shared" si="81"/>
        <v>340425</v>
      </c>
      <c r="T382" s="23">
        <f t="shared" si="75"/>
        <v>2269500</v>
      </c>
      <c r="U382" s="23">
        <f t="shared" si="76"/>
        <v>2608925</v>
      </c>
      <c r="V382" s="10">
        <f t="shared" si="77"/>
        <v>1361700</v>
      </c>
      <c r="W382" s="10">
        <f t="shared" si="71"/>
        <v>1361700</v>
      </c>
      <c r="X382" s="10">
        <f t="shared" si="78"/>
        <v>0</v>
      </c>
      <c r="Y382" s="9" t="b">
        <f t="shared" si="80"/>
        <v>1</v>
      </c>
    </row>
    <row r="383" spans="1:25" s="9" customFormat="1" ht="13.5" customHeight="1" x14ac:dyDescent="0.2">
      <c r="A383" s="272">
        <f t="shared" si="79"/>
        <v>379</v>
      </c>
      <c r="B383" s="528" t="s">
        <v>1674</v>
      </c>
      <c r="C383" s="527">
        <v>43446</v>
      </c>
      <c r="D383" s="484">
        <v>2800000</v>
      </c>
      <c r="E383" s="484"/>
      <c r="F383" s="67">
        <f t="shared" si="82"/>
        <v>2800000</v>
      </c>
      <c r="G383" s="271">
        <v>1166667</v>
      </c>
      <c r="H383" s="184">
        <f t="shared" si="83"/>
        <v>1633333</v>
      </c>
      <c r="I383" s="186">
        <v>5</v>
      </c>
      <c r="J383" s="186">
        <v>0.2</v>
      </c>
      <c r="K383" s="68">
        <v>12</v>
      </c>
      <c r="L383" s="437">
        <f>ROUND(IF(F383*J383*K383/12&gt;=H383,H383-1000,F383*J383*K383/12),0)</f>
        <v>560000</v>
      </c>
      <c r="M383" s="271">
        <f t="shared" si="73"/>
        <v>1726667</v>
      </c>
      <c r="N383" s="184">
        <f t="shared" si="74"/>
        <v>1073333</v>
      </c>
      <c r="O383" s="516" t="s">
        <v>1675</v>
      </c>
      <c r="P383" s="233">
        <v>1</v>
      </c>
      <c r="Q383" s="487" t="s">
        <v>1656</v>
      </c>
      <c r="R383" s="23"/>
      <c r="S383" s="23">
        <f t="shared" si="81"/>
        <v>140000</v>
      </c>
      <c r="T383" s="23">
        <f t="shared" si="75"/>
        <v>933333</v>
      </c>
      <c r="U383" s="23">
        <f t="shared" si="76"/>
        <v>1072333</v>
      </c>
      <c r="V383" s="10">
        <f t="shared" si="77"/>
        <v>560000</v>
      </c>
      <c r="W383" s="10">
        <f t="shared" si="71"/>
        <v>560000</v>
      </c>
      <c r="X383" s="10">
        <f t="shared" si="78"/>
        <v>0</v>
      </c>
      <c r="Y383" s="9" t="b">
        <f t="shared" si="80"/>
        <v>1</v>
      </c>
    </row>
    <row r="384" spans="1:25" s="9" customFormat="1" ht="13.5" customHeight="1" x14ac:dyDescent="0.2">
      <c r="A384" s="272">
        <f t="shared" si="79"/>
        <v>380</v>
      </c>
      <c r="B384" s="528" t="s">
        <v>1676</v>
      </c>
      <c r="C384" s="527">
        <v>43446</v>
      </c>
      <c r="D384" s="484">
        <v>2500000</v>
      </c>
      <c r="E384" s="484"/>
      <c r="F384" s="67">
        <f t="shared" si="82"/>
        <v>2500000</v>
      </c>
      <c r="G384" s="271">
        <v>1041667</v>
      </c>
      <c r="H384" s="184">
        <f t="shared" si="83"/>
        <v>1458333</v>
      </c>
      <c r="I384" s="186">
        <v>5</v>
      </c>
      <c r="J384" s="186">
        <v>0.2</v>
      </c>
      <c r="K384" s="68">
        <v>12</v>
      </c>
      <c r="L384" s="437">
        <f>ROUND(IF(F384*J384*K384/12&gt;=H384,H384-1000,F384*J384*K384/12),0)</f>
        <v>500000</v>
      </c>
      <c r="M384" s="271">
        <f>+G384+L384</f>
        <v>1541667</v>
      </c>
      <c r="N384" s="184">
        <f>+F384-M384</f>
        <v>958333</v>
      </c>
      <c r="O384" s="516" t="s">
        <v>1675</v>
      </c>
      <c r="P384" s="233">
        <v>1</v>
      </c>
      <c r="Q384" s="487" t="s">
        <v>1656</v>
      </c>
      <c r="R384" s="23"/>
      <c r="S384" s="23">
        <f t="shared" si="81"/>
        <v>125000</v>
      </c>
      <c r="T384" s="23">
        <f t="shared" si="75"/>
        <v>833333</v>
      </c>
      <c r="U384" s="23">
        <f t="shared" si="76"/>
        <v>957333</v>
      </c>
      <c r="V384" s="10">
        <f t="shared" si="77"/>
        <v>500000</v>
      </c>
      <c r="W384" s="10">
        <f t="shared" si="71"/>
        <v>500000</v>
      </c>
      <c r="X384" s="10">
        <f t="shared" si="78"/>
        <v>0</v>
      </c>
      <c r="Y384" s="9" t="b">
        <f t="shared" si="80"/>
        <v>1</v>
      </c>
    </row>
    <row r="385" spans="1:25" s="9" customFormat="1" ht="13.5" customHeight="1" x14ac:dyDescent="0.2">
      <c r="A385" s="272">
        <f t="shared" si="79"/>
        <v>381</v>
      </c>
      <c r="B385" s="528" t="s">
        <v>1677</v>
      </c>
      <c r="C385" s="527">
        <v>43446</v>
      </c>
      <c r="D385" s="484">
        <v>2800000</v>
      </c>
      <c r="E385" s="484"/>
      <c r="F385" s="67">
        <f t="shared" si="82"/>
        <v>2800000</v>
      </c>
      <c r="G385" s="271">
        <v>1166667</v>
      </c>
      <c r="H385" s="184">
        <f t="shared" si="83"/>
        <v>1633333</v>
      </c>
      <c r="I385" s="186">
        <v>5</v>
      </c>
      <c r="J385" s="186">
        <v>0.2</v>
      </c>
      <c r="K385" s="68">
        <v>12</v>
      </c>
      <c r="L385" s="437">
        <f>ROUND(IF(F385*J385*K385/12&gt;=H385,H385-1000,F385*J385*K385/12),0)</f>
        <v>560000</v>
      </c>
      <c r="M385" s="271">
        <f>+G385+L385</f>
        <v>1726667</v>
      </c>
      <c r="N385" s="184">
        <f>+F385-M385</f>
        <v>1073333</v>
      </c>
      <c r="O385" s="516" t="s">
        <v>1675</v>
      </c>
      <c r="P385" s="233">
        <v>1</v>
      </c>
      <c r="Q385" s="487" t="s">
        <v>1656</v>
      </c>
      <c r="R385" s="23"/>
      <c r="S385" s="23">
        <f t="shared" si="81"/>
        <v>140000</v>
      </c>
      <c r="T385" s="23">
        <f t="shared" si="75"/>
        <v>933333</v>
      </c>
      <c r="U385" s="23">
        <f t="shared" si="76"/>
        <v>1072333</v>
      </c>
      <c r="V385" s="10">
        <f t="shared" si="77"/>
        <v>560000</v>
      </c>
      <c r="W385" s="10">
        <f t="shared" si="71"/>
        <v>560000</v>
      </c>
      <c r="X385" s="10">
        <f t="shared" si="78"/>
        <v>0</v>
      </c>
      <c r="Y385" s="9" t="b">
        <f t="shared" si="80"/>
        <v>1</v>
      </c>
    </row>
    <row r="386" spans="1:25" s="9" customFormat="1" ht="13.5" customHeight="1" x14ac:dyDescent="0.2">
      <c r="A386" s="272">
        <f t="shared" si="79"/>
        <v>382</v>
      </c>
      <c r="B386" s="528" t="s">
        <v>1678</v>
      </c>
      <c r="C386" s="527">
        <v>43451</v>
      </c>
      <c r="D386" s="484">
        <v>8200000</v>
      </c>
      <c r="E386" s="484"/>
      <c r="F386" s="67">
        <f t="shared" si="82"/>
        <v>8200000</v>
      </c>
      <c r="G386" s="271">
        <v>3416667</v>
      </c>
      <c r="H386" s="184">
        <f t="shared" si="83"/>
        <v>4783333</v>
      </c>
      <c r="I386" s="186">
        <v>5</v>
      </c>
      <c r="J386" s="186">
        <v>0.2</v>
      </c>
      <c r="K386" s="68">
        <v>12</v>
      </c>
      <c r="L386" s="437">
        <f t="shared" si="72"/>
        <v>1640000</v>
      </c>
      <c r="M386" s="271">
        <f t="shared" si="73"/>
        <v>5056667</v>
      </c>
      <c r="N386" s="184">
        <f t="shared" si="74"/>
        <v>3143333</v>
      </c>
      <c r="O386" s="516" t="s">
        <v>1675</v>
      </c>
      <c r="P386" s="233">
        <v>1</v>
      </c>
      <c r="Q386" s="487" t="s">
        <v>1656</v>
      </c>
      <c r="R386" s="23"/>
      <c r="S386" s="23">
        <f t="shared" si="81"/>
        <v>410000</v>
      </c>
      <c r="T386" s="23">
        <f t="shared" si="75"/>
        <v>2733333</v>
      </c>
      <c r="U386" s="23">
        <f t="shared" si="76"/>
        <v>3142333</v>
      </c>
      <c r="V386" s="10">
        <f t="shared" si="77"/>
        <v>1640000</v>
      </c>
      <c r="W386" s="10">
        <f t="shared" si="71"/>
        <v>1640000</v>
      </c>
      <c r="X386" s="10">
        <f t="shared" si="78"/>
        <v>0</v>
      </c>
      <c r="Y386" s="9" t="b">
        <f t="shared" si="80"/>
        <v>1</v>
      </c>
    </row>
    <row r="387" spans="1:25" s="9" customFormat="1" ht="13.5" customHeight="1" x14ac:dyDescent="0.2">
      <c r="A387" s="272">
        <f t="shared" si="79"/>
        <v>383</v>
      </c>
      <c r="B387" s="528" t="s">
        <v>2875</v>
      </c>
      <c r="C387" s="527">
        <v>43507</v>
      </c>
      <c r="D387" s="484">
        <v>13700000</v>
      </c>
      <c r="E387" s="484"/>
      <c r="F387" s="67">
        <f>+D387+E387</f>
        <v>13700000</v>
      </c>
      <c r="G387" s="271">
        <v>5251667</v>
      </c>
      <c r="H387" s="184">
        <f>+F387-G387</f>
        <v>8448333</v>
      </c>
      <c r="I387" s="186">
        <v>5</v>
      </c>
      <c r="J387" s="186">
        <v>0.2</v>
      </c>
      <c r="K387" s="68">
        <v>12</v>
      </c>
      <c r="L387" s="437">
        <f>ROUND(IF(F387*J387*K387/12&gt;=H387,H387-1000,F387*J387*K387/12),0)</f>
        <v>2740000</v>
      </c>
      <c r="M387" s="271">
        <f>+G387+L387</f>
        <v>7991667</v>
      </c>
      <c r="N387" s="184">
        <f>+F387-M387</f>
        <v>5708333</v>
      </c>
      <c r="O387" s="516" t="s">
        <v>2876</v>
      </c>
      <c r="P387" s="233">
        <v>1</v>
      </c>
      <c r="Q387" s="487"/>
      <c r="R387" s="23"/>
      <c r="S387" s="23"/>
      <c r="T387" s="23"/>
      <c r="U387" s="23"/>
      <c r="V387" s="10"/>
      <c r="W387" s="10"/>
      <c r="X387" s="10"/>
    </row>
    <row r="388" spans="1:25" s="9" customFormat="1" ht="13.5" customHeight="1" x14ac:dyDescent="0.2">
      <c r="A388" s="272">
        <f t="shared" si="79"/>
        <v>384</v>
      </c>
      <c r="B388" s="528" t="s">
        <v>2891</v>
      </c>
      <c r="C388" s="527">
        <v>43560</v>
      </c>
      <c r="D388" s="484">
        <v>8000000</v>
      </c>
      <c r="E388" s="484"/>
      <c r="F388" s="67">
        <f t="shared" ref="F388:F398" si="84">+D388+E388</f>
        <v>8000000</v>
      </c>
      <c r="G388" s="271">
        <v>2800000</v>
      </c>
      <c r="H388" s="184">
        <f t="shared" ref="H388:H398" si="85">+F388-G388</f>
        <v>5200000</v>
      </c>
      <c r="I388" s="186">
        <v>5</v>
      </c>
      <c r="J388" s="186">
        <v>0.2</v>
      </c>
      <c r="K388" s="68">
        <v>12</v>
      </c>
      <c r="L388" s="437">
        <f t="shared" ref="L388:L398" si="86">ROUND(IF(F388*J388*K388/12&gt;=H388,H388-1000,F388*J388*K388/12),0)</f>
        <v>1600000</v>
      </c>
      <c r="M388" s="271">
        <f t="shared" ref="M388:M398" si="87">+G388+L388</f>
        <v>4400000</v>
      </c>
      <c r="N388" s="184">
        <f t="shared" ref="N388:N398" si="88">+F388-M388</f>
        <v>3600000</v>
      </c>
      <c r="O388" s="516" t="s">
        <v>1655</v>
      </c>
      <c r="P388" s="233">
        <v>1</v>
      </c>
      <c r="Q388" s="487" t="s">
        <v>1656</v>
      </c>
      <c r="R388" s="23"/>
      <c r="S388" s="23"/>
      <c r="T388" s="23"/>
      <c r="U388" s="23"/>
      <c r="V388" s="10"/>
      <c r="W388" s="10"/>
      <c r="X388" s="10"/>
    </row>
    <row r="389" spans="1:25" s="9" customFormat="1" ht="13.5" customHeight="1" x14ac:dyDescent="0.2">
      <c r="A389" s="272">
        <f t="shared" si="79"/>
        <v>385</v>
      </c>
      <c r="B389" s="528" t="s">
        <v>2892</v>
      </c>
      <c r="C389" s="527">
        <v>43580</v>
      </c>
      <c r="D389" s="484">
        <v>12000000</v>
      </c>
      <c r="E389" s="484"/>
      <c r="F389" s="67">
        <f t="shared" si="84"/>
        <v>12000000</v>
      </c>
      <c r="G389" s="271">
        <v>4200000</v>
      </c>
      <c r="H389" s="184">
        <f t="shared" si="85"/>
        <v>7800000</v>
      </c>
      <c r="I389" s="186">
        <v>5</v>
      </c>
      <c r="J389" s="186">
        <v>0.2</v>
      </c>
      <c r="K389" s="68">
        <v>12</v>
      </c>
      <c r="L389" s="437">
        <f t="shared" si="86"/>
        <v>2400000</v>
      </c>
      <c r="M389" s="271">
        <f t="shared" si="87"/>
        <v>6600000</v>
      </c>
      <c r="N389" s="184">
        <f t="shared" si="88"/>
        <v>5400000</v>
      </c>
      <c r="O389" s="516" t="s">
        <v>1675</v>
      </c>
      <c r="P389" s="233">
        <v>1</v>
      </c>
      <c r="Q389" s="487" t="s">
        <v>1656</v>
      </c>
      <c r="R389" s="23"/>
      <c r="S389" s="23"/>
      <c r="T389" s="23"/>
      <c r="U389" s="23"/>
      <c r="V389" s="10"/>
      <c r="W389" s="10"/>
      <c r="X389" s="10"/>
    </row>
    <row r="390" spans="1:25" s="9" customFormat="1" ht="13.5" customHeight="1" x14ac:dyDescent="0.2">
      <c r="A390" s="272">
        <f t="shared" ref="A390:A428" si="89">+A389+1</f>
        <v>386</v>
      </c>
      <c r="B390" s="528" t="s">
        <v>2893</v>
      </c>
      <c r="C390" s="527">
        <v>43581</v>
      </c>
      <c r="D390" s="484">
        <v>5600000</v>
      </c>
      <c r="E390" s="484"/>
      <c r="F390" s="67">
        <f t="shared" si="84"/>
        <v>5600000</v>
      </c>
      <c r="G390" s="271">
        <v>1960000</v>
      </c>
      <c r="H390" s="184">
        <f t="shared" si="85"/>
        <v>3640000</v>
      </c>
      <c r="I390" s="186">
        <v>5</v>
      </c>
      <c r="J390" s="186">
        <v>0.2</v>
      </c>
      <c r="K390" s="68">
        <v>12</v>
      </c>
      <c r="L390" s="437">
        <f t="shared" si="86"/>
        <v>1120000</v>
      </c>
      <c r="M390" s="271">
        <f t="shared" si="87"/>
        <v>3080000</v>
      </c>
      <c r="N390" s="184">
        <f t="shared" si="88"/>
        <v>2520000</v>
      </c>
      <c r="O390" s="516" t="s">
        <v>2902</v>
      </c>
      <c r="P390" s="233">
        <v>1</v>
      </c>
      <c r="Q390" s="487" t="s">
        <v>1656</v>
      </c>
      <c r="R390" s="23"/>
      <c r="S390" s="23"/>
      <c r="T390" s="23"/>
      <c r="U390" s="23"/>
      <c r="V390" s="10"/>
      <c r="W390" s="10"/>
      <c r="X390" s="10"/>
    </row>
    <row r="391" spans="1:25" s="9" customFormat="1" ht="13.5" customHeight="1" x14ac:dyDescent="0.2">
      <c r="A391" s="272">
        <f t="shared" si="89"/>
        <v>387</v>
      </c>
      <c r="B391" s="528" t="s">
        <v>2894</v>
      </c>
      <c r="C391" s="527">
        <v>43599</v>
      </c>
      <c r="D391" s="484">
        <v>12600000</v>
      </c>
      <c r="E391" s="484"/>
      <c r="F391" s="67">
        <f t="shared" si="84"/>
        <v>12600000</v>
      </c>
      <c r="G391" s="271">
        <v>4200000</v>
      </c>
      <c r="H391" s="184">
        <f t="shared" si="85"/>
        <v>8400000</v>
      </c>
      <c r="I391" s="186">
        <v>5</v>
      </c>
      <c r="J391" s="186">
        <v>0.2</v>
      </c>
      <c r="K391" s="68">
        <v>12</v>
      </c>
      <c r="L391" s="437">
        <f t="shared" si="86"/>
        <v>2520000</v>
      </c>
      <c r="M391" s="271">
        <f t="shared" si="87"/>
        <v>6720000</v>
      </c>
      <c r="N391" s="184">
        <f t="shared" si="88"/>
        <v>5880000</v>
      </c>
      <c r="O391" s="516" t="s">
        <v>1660</v>
      </c>
      <c r="P391" s="233">
        <v>1</v>
      </c>
      <c r="Q391" s="487" t="s">
        <v>1656</v>
      </c>
      <c r="R391" s="23"/>
      <c r="S391" s="23"/>
      <c r="T391" s="23"/>
      <c r="U391" s="23"/>
      <c r="V391" s="10"/>
      <c r="W391" s="10"/>
      <c r="X391" s="10"/>
    </row>
    <row r="392" spans="1:25" s="9" customFormat="1" ht="13.5" customHeight="1" x14ac:dyDescent="0.2">
      <c r="A392" s="272">
        <f t="shared" si="89"/>
        <v>388</v>
      </c>
      <c r="B392" s="528" t="s">
        <v>2895</v>
      </c>
      <c r="C392" s="527">
        <v>43600</v>
      </c>
      <c r="D392" s="484">
        <v>4350000</v>
      </c>
      <c r="E392" s="484"/>
      <c r="F392" s="67">
        <f t="shared" si="84"/>
        <v>4350000</v>
      </c>
      <c r="G392" s="271">
        <v>1450000</v>
      </c>
      <c r="H392" s="184">
        <f t="shared" si="85"/>
        <v>2900000</v>
      </c>
      <c r="I392" s="186">
        <v>5</v>
      </c>
      <c r="J392" s="186">
        <v>0.2</v>
      </c>
      <c r="K392" s="68">
        <v>12</v>
      </c>
      <c r="L392" s="437">
        <f t="shared" si="86"/>
        <v>870000</v>
      </c>
      <c r="M392" s="271">
        <f t="shared" si="87"/>
        <v>2320000</v>
      </c>
      <c r="N392" s="184">
        <f t="shared" si="88"/>
        <v>2030000</v>
      </c>
      <c r="O392" s="516" t="s">
        <v>1671</v>
      </c>
      <c r="P392" s="233">
        <v>1</v>
      </c>
      <c r="Q392" s="487" t="s">
        <v>1656</v>
      </c>
      <c r="R392" s="23"/>
      <c r="S392" s="23"/>
      <c r="T392" s="23"/>
      <c r="U392" s="23"/>
      <c r="V392" s="10"/>
      <c r="W392" s="10"/>
      <c r="X392" s="10"/>
    </row>
    <row r="393" spans="1:25" s="9" customFormat="1" ht="13.5" customHeight="1" x14ac:dyDescent="0.2">
      <c r="A393" s="272">
        <f t="shared" si="89"/>
        <v>389</v>
      </c>
      <c r="B393" s="528" t="s">
        <v>2896</v>
      </c>
      <c r="C393" s="527">
        <v>43619</v>
      </c>
      <c r="D393" s="484">
        <v>2750000</v>
      </c>
      <c r="E393" s="484"/>
      <c r="F393" s="67">
        <f t="shared" si="84"/>
        <v>2750000</v>
      </c>
      <c r="G393" s="271">
        <v>870833</v>
      </c>
      <c r="H393" s="184">
        <f t="shared" si="85"/>
        <v>1879167</v>
      </c>
      <c r="I393" s="186">
        <v>5</v>
      </c>
      <c r="J393" s="186">
        <v>0.2</v>
      </c>
      <c r="K393" s="68">
        <v>12</v>
      </c>
      <c r="L393" s="437">
        <f t="shared" si="86"/>
        <v>550000</v>
      </c>
      <c r="M393" s="271">
        <f t="shared" si="87"/>
        <v>1420833</v>
      </c>
      <c r="N393" s="184">
        <f t="shared" si="88"/>
        <v>1329167</v>
      </c>
      <c r="O393" s="516" t="s">
        <v>1671</v>
      </c>
      <c r="P393" s="233">
        <v>1</v>
      </c>
      <c r="Q393" s="487" t="s">
        <v>1656</v>
      </c>
      <c r="R393" s="23"/>
      <c r="S393" s="23"/>
      <c r="T393" s="23"/>
      <c r="U393" s="23"/>
      <c r="V393" s="10"/>
      <c r="W393" s="10"/>
      <c r="X393" s="10"/>
    </row>
    <row r="394" spans="1:25" s="9" customFormat="1" ht="13.5" customHeight="1" x14ac:dyDescent="0.2">
      <c r="A394" s="272">
        <f t="shared" si="89"/>
        <v>390</v>
      </c>
      <c r="B394" s="528" t="s">
        <v>2897</v>
      </c>
      <c r="C394" s="527">
        <v>43633</v>
      </c>
      <c r="D394" s="484">
        <v>43808000</v>
      </c>
      <c r="E394" s="484"/>
      <c r="F394" s="67">
        <f t="shared" si="84"/>
        <v>43808000</v>
      </c>
      <c r="G394" s="271">
        <v>13872533</v>
      </c>
      <c r="H394" s="184">
        <f t="shared" si="85"/>
        <v>29935467</v>
      </c>
      <c r="I394" s="186">
        <v>5</v>
      </c>
      <c r="J394" s="186">
        <v>0.2</v>
      </c>
      <c r="K394" s="68">
        <v>12</v>
      </c>
      <c r="L394" s="437">
        <f t="shared" si="86"/>
        <v>8761600</v>
      </c>
      <c r="M394" s="271">
        <f t="shared" si="87"/>
        <v>22634133</v>
      </c>
      <c r="N394" s="184">
        <f t="shared" si="88"/>
        <v>21173867</v>
      </c>
      <c r="O394" s="516" t="s">
        <v>2903</v>
      </c>
      <c r="P394" s="233">
        <v>1</v>
      </c>
      <c r="Q394" s="487"/>
      <c r="R394" s="23"/>
      <c r="S394" s="23"/>
      <c r="T394" s="23"/>
      <c r="U394" s="23"/>
      <c r="V394" s="10"/>
      <c r="W394" s="10"/>
      <c r="X394" s="10"/>
    </row>
    <row r="395" spans="1:25" s="9" customFormat="1" ht="13.5" customHeight="1" x14ac:dyDescent="0.2">
      <c r="A395" s="272">
        <f t="shared" si="89"/>
        <v>391</v>
      </c>
      <c r="B395" s="528" t="s">
        <v>2898</v>
      </c>
      <c r="C395" s="527">
        <v>43641</v>
      </c>
      <c r="D395" s="484">
        <v>2500000</v>
      </c>
      <c r="E395" s="484"/>
      <c r="F395" s="67">
        <f t="shared" si="84"/>
        <v>2500000</v>
      </c>
      <c r="G395" s="271">
        <v>791667</v>
      </c>
      <c r="H395" s="184">
        <f t="shared" si="85"/>
        <v>1708333</v>
      </c>
      <c r="I395" s="186">
        <v>5</v>
      </c>
      <c r="J395" s="186">
        <v>0.2</v>
      </c>
      <c r="K395" s="68">
        <v>12</v>
      </c>
      <c r="L395" s="437">
        <f t="shared" si="86"/>
        <v>500000</v>
      </c>
      <c r="M395" s="271">
        <f t="shared" si="87"/>
        <v>1291667</v>
      </c>
      <c r="N395" s="184">
        <f t="shared" si="88"/>
        <v>1208333</v>
      </c>
      <c r="O395" s="516" t="s">
        <v>1655</v>
      </c>
      <c r="P395" s="233">
        <v>1</v>
      </c>
      <c r="Q395" s="487" t="s">
        <v>2905</v>
      </c>
      <c r="R395" s="23"/>
      <c r="S395" s="23"/>
      <c r="T395" s="23"/>
      <c r="U395" s="23"/>
      <c r="V395" s="10"/>
      <c r="W395" s="10"/>
      <c r="X395" s="10"/>
    </row>
    <row r="396" spans="1:25" s="9" customFormat="1" ht="13.5" customHeight="1" x14ac:dyDescent="0.2">
      <c r="A396" s="272">
        <f t="shared" si="89"/>
        <v>392</v>
      </c>
      <c r="B396" s="528" t="s">
        <v>2899</v>
      </c>
      <c r="C396" s="527">
        <v>43641</v>
      </c>
      <c r="D396" s="484">
        <v>6750000</v>
      </c>
      <c r="E396" s="484"/>
      <c r="F396" s="67">
        <f t="shared" si="84"/>
        <v>6750000</v>
      </c>
      <c r="G396" s="271">
        <v>2137500</v>
      </c>
      <c r="H396" s="184">
        <f t="shared" si="85"/>
        <v>4612500</v>
      </c>
      <c r="I396" s="186">
        <v>5</v>
      </c>
      <c r="J396" s="186">
        <v>0.2</v>
      </c>
      <c r="K396" s="68">
        <v>12</v>
      </c>
      <c r="L396" s="437">
        <f t="shared" si="86"/>
        <v>1350000</v>
      </c>
      <c r="M396" s="271">
        <f t="shared" si="87"/>
        <v>3487500</v>
      </c>
      <c r="N396" s="184">
        <f t="shared" si="88"/>
        <v>3262500</v>
      </c>
      <c r="O396" s="516" t="s">
        <v>1665</v>
      </c>
      <c r="P396" s="233">
        <v>1</v>
      </c>
      <c r="Q396" s="487" t="s">
        <v>1656</v>
      </c>
      <c r="R396" s="23"/>
      <c r="S396" s="23"/>
      <c r="T396" s="23"/>
      <c r="U396" s="23"/>
      <c r="V396" s="10"/>
      <c r="W396" s="10"/>
      <c r="X396" s="10"/>
    </row>
    <row r="397" spans="1:25" s="9" customFormat="1" ht="13.5" customHeight="1" x14ac:dyDescent="0.2">
      <c r="A397" s="272">
        <f t="shared" si="89"/>
        <v>393</v>
      </c>
      <c r="B397" s="528" t="s">
        <v>2900</v>
      </c>
      <c r="C397" s="527">
        <v>43644</v>
      </c>
      <c r="D397" s="484">
        <v>24687050</v>
      </c>
      <c r="E397" s="484"/>
      <c r="F397" s="67">
        <f t="shared" si="84"/>
        <v>24687050</v>
      </c>
      <c r="G397" s="271">
        <v>7817566</v>
      </c>
      <c r="H397" s="184">
        <f t="shared" si="85"/>
        <v>16869484</v>
      </c>
      <c r="I397" s="186">
        <v>5</v>
      </c>
      <c r="J397" s="186">
        <v>0.2</v>
      </c>
      <c r="K397" s="68">
        <v>12</v>
      </c>
      <c r="L397" s="437">
        <f t="shared" si="86"/>
        <v>4937410</v>
      </c>
      <c r="M397" s="271">
        <f t="shared" si="87"/>
        <v>12754976</v>
      </c>
      <c r="N397" s="184">
        <f t="shared" si="88"/>
        <v>11932074</v>
      </c>
      <c r="O397" s="516" t="s">
        <v>2904</v>
      </c>
      <c r="P397" s="233">
        <v>1</v>
      </c>
      <c r="Q397" s="487" t="s">
        <v>1656</v>
      </c>
      <c r="R397" s="23"/>
      <c r="S397" s="23"/>
      <c r="T397" s="23"/>
      <c r="U397" s="23"/>
      <c r="V397" s="10"/>
      <c r="W397" s="10"/>
      <c r="X397" s="10"/>
    </row>
    <row r="398" spans="1:25" s="9" customFormat="1" ht="13.5" customHeight="1" x14ac:dyDescent="0.2">
      <c r="A398" s="272">
        <f t="shared" si="89"/>
        <v>394</v>
      </c>
      <c r="B398" s="528" t="s">
        <v>2901</v>
      </c>
      <c r="C398" s="527">
        <v>43644</v>
      </c>
      <c r="D398" s="484">
        <v>24687050</v>
      </c>
      <c r="E398" s="484"/>
      <c r="F398" s="67">
        <f t="shared" si="84"/>
        <v>24687050</v>
      </c>
      <c r="G398" s="271">
        <v>7817566</v>
      </c>
      <c r="H398" s="184">
        <f t="shared" si="85"/>
        <v>16869484</v>
      </c>
      <c r="I398" s="186">
        <v>5</v>
      </c>
      <c r="J398" s="186">
        <v>0.2</v>
      </c>
      <c r="K398" s="68">
        <v>12</v>
      </c>
      <c r="L398" s="437">
        <f t="shared" si="86"/>
        <v>4937410</v>
      </c>
      <c r="M398" s="271">
        <f t="shared" si="87"/>
        <v>12754976</v>
      </c>
      <c r="N398" s="184">
        <f t="shared" si="88"/>
        <v>11932074</v>
      </c>
      <c r="O398" s="516" t="s">
        <v>2904</v>
      </c>
      <c r="P398" s="233">
        <v>1</v>
      </c>
      <c r="Q398" s="487" t="s">
        <v>1656</v>
      </c>
      <c r="R398" s="23"/>
      <c r="S398" s="23"/>
      <c r="T398" s="23"/>
      <c r="U398" s="23"/>
      <c r="V398" s="10"/>
      <c r="W398" s="10"/>
      <c r="X398" s="10"/>
    </row>
    <row r="399" spans="1:25" s="9" customFormat="1" ht="13.5" customHeight="1" x14ac:dyDescent="0.2">
      <c r="A399" s="272">
        <f t="shared" si="89"/>
        <v>395</v>
      </c>
      <c r="B399" s="528" t="s">
        <v>2914</v>
      </c>
      <c r="C399" s="527">
        <v>43661</v>
      </c>
      <c r="D399" s="484">
        <v>1350000</v>
      </c>
      <c r="E399" s="484"/>
      <c r="F399" s="67">
        <f t="shared" ref="F399:F415" si="90">+D399+E399</f>
        <v>1350000</v>
      </c>
      <c r="G399" s="271">
        <v>405000</v>
      </c>
      <c r="H399" s="184">
        <f t="shared" ref="H399:H415" si="91">+F399-G399</f>
        <v>945000</v>
      </c>
      <c r="I399" s="186">
        <v>5</v>
      </c>
      <c r="J399" s="186">
        <v>0.2</v>
      </c>
      <c r="K399" s="68">
        <v>12</v>
      </c>
      <c r="L399" s="437">
        <f t="shared" ref="L399:L415" si="92">ROUND(IF(F399*J399*K399/12&gt;=H399,H399-1000,F399*J399*K399/12),0)</f>
        <v>270000</v>
      </c>
      <c r="M399" s="271">
        <f t="shared" ref="M399:M415" si="93">+G399+L399</f>
        <v>675000</v>
      </c>
      <c r="N399" s="184">
        <f t="shared" ref="N399:N415" si="94">+F399-M399</f>
        <v>675000</v>
      </c>
      <c r="O399" s="516" t="s">
        <v>1655</v>
      </c>
      <c r="P399" s="233">
        <v>1</v>
      </c>
      <c r="Q399" s="487" t="s">
        <v>1656</v>
      </c>
      <c r="R399" s="23"/>
      <c r="S399" s="23"/>
      <c r="T399" s="23"/>
      <c r="U399" s="23"/>
      <c r="V399" s="10"/>
      <c r="W399" s="10"/>
      <c r="X399" s="10"/>
    </row>
    <row r="400" spans="1:25" s="9" customFormat="1" ht="13.5" customHeight="1" x14ac:dyDescent="0.2">
      <c r="A400" s="272">
        <f t="shared" si="89"/>
        <v>396</v>
      </c>
      <c r="B400" s="528" t="s">
        <v>2896</v>
      </c>
      <c r="C400" s="527">
        <v>43664</v>
      </c>
      <c r="D400" s="484">
        <v>1200000</v>
      </c>
      <c r="E400" s="484"/>
      <c r="F400" s="67">
        <f t="shared" si="90"/>
        <v>1200000</v>
      </c>
      <c r="G400" s="271">
        <v>360000</v>
      </c>
      <c r="H400" s="184">
        <f t="shared" si="91"/>
        <v>840000</v>
      </c>
      <c r="I400" s="186">
        <v>5</v>
      </c>
      <c r="J400" s="186">
        <v>0.2</v>
      </c>
      <c r="K400" s="68">
        <v>12</v>
      </c>
      <c r="L400" s="437">
        <f t="shared" si="92"/>
        <v>240000</v>
      </c>
      <c r="M400" s="271">
        <f t="shared" si="93"/>
        <v>600000</v>
      </c>
      <c r="N400" s="184">
        <f t="shared" si="94"/>
        <v>600000</v>
      </c>
      <c r="O400" s="516" t="s">
        <v>2902</v>
      </c>
      <c r="P400" s="233">
        <v>1</v>
      </c>
      <c r="Q400" s="487" t="s">
        <v>1656</v>
      </c>
      <c r="R400" s="23"/>
      <c r="S400" s="23"/>
      <c r="T400" s="23"/>
      <c r="U400" s="23"/>
      <c r="V400" s="10"/>
      <c r="W400" s="10"/>
      <c r="X400" s="10"/>
    </row>
    <row r="401" spans="1:24" s="9" customFormat="1" ht="13.5" customHeight="1" x14ac:dyDescent="0.2">
      <c r="A401" s="272">
        <f t="shared" si="89"/>
        <v>397</v>
      </c>
      <c r="B401" s="528" t="s">
        <v>2915</v>
      </c>
      <c r="C401" s="527">
        <v>43664</v>
      </c>
      <c r="D401" s="484">
        <v>2900000</v>
      </c>
      <c r="E401" s="484"/>
      <c r="F401" s="67">
        <f t="shared" si="90"/>
        <v>2900000</v>
      </c>
      <c r="G401" s="271">
        <v>870000</v>
      </c>
      <c r="H401" s="184">
        <f t="shared" si="91"/>
        <v>2030000</v>
      </c>
      <c r="I401" s="186">
        <v>5</v>
      </c>
      <c r="J401" s="186">
        <v>0.2</v>
      </c>
      <c r="K401" s="68">
        <v>12</v>
      </c>
      <c r="L401" s="437">
        <f t="shared" si="92"/>
        <v>580000</v>
      </c>
      <c r="M401" s="271">
        <f t="shared" si="93"/>
        <v>1450000</v>
      </c>
      <c r="N401" s="184">
        <f t="shared" si="94"/>
        <v>1450000</v>
      </c>
      <c r="O401" s="516" t="s">
        <v>2902</v>
      </c>
      <c r="P401" s="233">
        <v>1</v>
      </c>
      <c r="Q401" s="487" t="s">
        <v>2905</v>
      </c>
      <c r="R401" s="23"/>
      <c r="S401" s="23"/>
      <c r="T401" s="23"/>
      <c r="U401" s="23"/>
      <c r="V401" s="10"/>
      <c r="W401" s="10"/>
      <c r="X401" s="10"/>
    </row>
    <row r="402" spans="1:24" s="9" customFormat="1" ht="13.5" customHeight="1" x14ac:dyDescent="0.2">
      <c r="A402" s="272">
        <f t="shared" si="89"/>
        <v>398</v>
      </c>
      <c r="B402" s="528" t="s">
        <v>2916</v>
      </c>
      <c r="C402" s="527">
        <v>43698</v>
      </c>
      <c r="D402" s="484">
        <v>7500000</v>
      </c>
      <c r="E402" s="484"/>
      <c r="F402" s="67">
        <f t="shared" si="90"/>
        <v>7500000</v>
      </c>
      <c r="G402" s="271">
        <v>2125000</v>
      </c>
      <c r="H402" s="184">
        <f t="shared" si="91"/>
        <v>5375000</v>
      </c>
      <c r="I402" s="186">
        <v>5</v>
      </c>
      <c r="J402" s="186">
        <v>0.2</v>
      </c>
      <c r="K402" s="68">
        <v>12</v>
      </c>
      <c r="L402" s="437">
        <f t="shared" si="92"/>
        <v>1500000</v>
      </c>
      <c r="M402" s="271">
        <f t="shared" si="93"/>
        <v>3625000</v>
      </c>
      <c r="N402" s="184">
        <f t="shared" si="94"/>
        <v>3875000</v>
      </c>
      <c r="O402" s="516" t="s">
        <v>1655</v>
      </c>
      <c r="P402" s="233">
        <v>1</v>
      </c>
      <c r="Q402" s="487" t="s">
        <v>2905</v>
      </c>
      <c r="R402" s="23"/>
      <c r="S402" s="23"/>
      <c r="T402" s="23"/>
      <c r="U402" s="23"/>
      <c r="V402" s="10"/>
      <c r="W402" s="10"/>
      <c r="X402" s="10"/>
    </row>
    <row r="403" spans="1:24" s="9" customFormat="1" ht="13.5" customHeight="1" x14ac:dyDescent="0.2">
      <c r="A403" s="272">
        <f t="shared" si="89"/>
        <v>399</v>
      </c>
      <c r="B403" s="528" t="s">
        <v>2917</v>
      </c>
      <c r="C403" s="527">
        <v>43698</v>
      </c>
      <c r="D403" s="484">
        <v>7100000</v>
      </c>
      <c r="E403" s="484"/>
      <c r="F403" s="67">
        <f t="shared" si="90"/>
        <v>7100000</v>
      </c>
      <c r="G403" s="271">
        <v>2011667</v>
      </c>
      <c r="H403" s="184">
        <f t="shared" si="91"/>
        <v>5088333</v>
      </c>
      <c r="I403" s="186">
        <v>5</v>
      </c>
      <c r="J403" s="186">
        <v>0.2</v>
      </c>
      <c r="K403" s="68">
        <v>12</v>
      </c>
      <c r="L403" s="437">
        <f t="shared" si="92"/>
        <v>1420000</v>
      </c>
      <c r="M403" s="271">
        <f t="shared" si="93"/>
        <v>3431667</v>
      </c>
      <c r="N403" s="184">
        <f t="shared" si="94"/>
        <v>3668333</v>
      </c>
      <c r="O403" s="516" t="s">
        <v>1655</v>
      </c>
      <c r="P403" s="233">
        <v>1</v>
      </c>
      <c r="Q403" s="487" t="s">
        <v>2905</v>
      </c>
      <c r="R403" s="23"/>
      <c r="S403" s="23"/>
      <c r="T403" s="23"/>
      <c r="U403" s="23"/>
      <c r="V403" s="10"/>
      <c r="W403" s="10"/>
      <c r="X403" s="10"/>
    </row>
    <row r="404" spans="1:24" s="9" customFormat="1" ht="13.5" customHeight="1" x14ac:dyDescent="0.2">
      <c r="A404" s="272">
        <f t="shared" si="89"/>
        <v>400</v>
      </c>
      <c r="B404" s="528" t="s">
        <v>2918</v>
      </c>
      <c r="C404" s="527">
        <v>43703</v>
      </c>
      <c r="D404" s="484">
        <v>15000000</v>
      </c>
      <c r="E404" s="484"/>
      <c r="F404" s="67">
        <f t="shared" si="90"/>
        <v>15000000</v>
      </c>
      <c r="G404" s="271">
        <v>4250000</v>
      </c>
      <c r="H404" s="184">
        <f t="shared" si="91"/>
        <v>10750000</v>
      </c>
      <c r="I404" s="186">
        <v>5</v>
      </c>
      <c r="J404" s="186">
        <v>0.2</v>
      </c>
      <c r="K404" s="68">
        <v>12</v>
      </c>
      <c r="L404" s="437">
        <f t="shared" si="92"/>
        <v>3000000</v>
      </c>
      <c r="M404" s="271">
        <f t="shared" si="93"/>
        <v>7250000</v>
      </c>
      <c r="N404" s="184">
        <f t="shared" si="94"/>
        <v>7750000</v>
      </c>
      <c r="O404" s="516" t="s">
        <v>1655</v>
      </c>
      <c r="P404" s="233">
        <v>1</v>
      </c>
      <c r="Q404" s="487" t="s">
        <v>1656</v>
      </c>
      <c r="R404" s="23"/>
      <c r="S404" s="23"/>
      <c r="T404" s="23"/>
      <c r="U404" s="23"/>
      <c r="V404" s="10"/>
      <c r="W404" s="10"/>
      <c r="X404" s="10"/>
    </row>
    <row r="405" spans="1:24" s="9" customFormat="1" ht="13.5" customHeight="1" x14ac:dyDescent="0.2">
      <c r="A405" s="272">
        <f t="shared" si="89"/>
        <v>401</v>
      </c>
      <c r="B405" s="528" t="s">
        <v>2919</v>
      </c>
      <c r="C405" s="527">
        <v>43703</v>
      </c>
      <c r="D405" s="484">
        <v>9500000</v>
      </c>
      <c r="E405" s="484"/>
      <c r="F405" s="67">
        <f t="shared" si="90"/>
        <v>9500000</v>
      </c>
      <c r="G405" s="271">
        <v>2691667</v>
      </c>
      <c r="H405" s="184">
        <f t="shared" si="91"/>
        <v>6808333</v>
      </c>
      <c r="I405" s="186">
        <v>5</v>
      </c>
      <c r="J405" s="186">
        <v>0.2</v>
      </c>
      <c r="K405" s="68">
        <v>12</v>
      </c>
      <c r="L405" s="437">
        <f t="shared" si="92"/>
        <v>1900000</v>
      </c>
      <c r="M405" s="271">
        <f t="shared" si="93"/>
        <v>4591667</v>
      </c>
      <c r="N405" s="184">
        <f t="shared" si="94"/>
        <v>4908333</v>
      </c>
      <c r="O405" s="516" t="s">
        <v>1655</v>
      </c>
      <c r="P405" s="233">
        <v>1</v>
      </c>
      <c r="Q405" s="487" t="s">
        <v>1656</v>
      </c>
      <c r="R405" s="23"/>
      <c r="S405" s="23"/>
      <c r="T405" s="23"/>
      <c r="U405" s="23"/>
      <c r="V405" s="10"/>
      <c r="W405" s="10"/>
      <c r="X405" s="10"/>
    </row>
    <row r="406" spans="1:24" s="9" customFormat="1" ht="13.5" customHeight="1" x14ac:dyDescent="0.2">
      <c r="A406" s="272">
        <f t="shared" si="89"/>
        <v>402</v>
      </c>
      <c r="B406" s="528" t="s">
        <v>2920</v>
      </c>
      <c r="C406" s="527">
        <v>43703</v>
      </c>
      <c r="D406" s="484">
        <v>12000000</v>
      </c>
      <c r="E406" s="484"/>
      <c r="F406" s="67">
        <f t="shared" si="90"/>
        <v>12000000</v>
      </c>
      <c r="G406" s="271">
        <v>3400000</v>
      </c>
      <c r="H406" s="184">
        <f t="shared" si="91"/>
        <v>8600000</v>
      </c>
      <c r="I406" s="186">
        <v>5</v>
      </c>
      <c r="J406" s="186">
        <v>0.2</v>
      </c>
      <c r="K406" s="68">
        <v>12</v>
      </c>
      <c r="L406" s="437">
        <f t="shared" si="92"/>
        <v>2400000</v>
      </c>
      <c r="M406" s="271">
        <f t="shared" si="93"/>
        <v>5800000</v>
      </c>
      <c r="N406" s="184">
        <f t="shared" si="94"/>
        <v>6200000</v>
      </c>
      <c r="O406" s="516" t="s">
        <v>1655</v>
      </c>
      <c r="P406" s="233">
        <v>1</v>
      </c>
      <c r="Q406" s="487" t="s">
        <v>1656</v>
      </c>
      <c r="R406" s="23"/>
      <c r="S406" s="23"/>
      <c r="T406" s="23"/>
      <c r="U406" s="23"/>
      <c r="V406" s="10"/>
      <c r="W406" s="10"/>
      <c r="X406" s="10"/>
    </row>
    <row r="407" spans="1:24" s="9" customFormat="1" ht="13.5" customHeight="1" x14ac:dyDescent="0.2">
      <c r="A407" s="272">
        <f t="shared" si="89"/>
        <v>403</v>
      </c>
      <c r="B407" s="528" t="s">
        <v>2921</v>
      </c>
      <c r="C407" s="527">
        <v>43718</v>
      </c>
      <c r="D407" s="484">
        <v>7400000</v>
      </c>
      <c r="E407" s="484"/>
      <c r="F407" s="67">
        <f t="shared" si="90"/>
        <v>7400000</v>
      </c>
      <c r="G407" s="271">
        <v>1973333</v>
      </c>
      <c r="H407" s="184">
        <f t="shared" si="91"/>
        <v>5426667</v>
      </c>
      <c r="I407" s="186">
        <v>5</v>
      </c>
      <c r="J407" s="186">
        <v>0.2</v>
      </c>
      <c r="K407" s="68">
        <v>12</v>
      </c>
      <c r="L407" s="437">
        <f t="shared" si="92"/>
        <v>1480000</v>
      </c>
      <c r="M407" s="271">
        <f t="shared" si="93"/>
        <v>3453333</v>
      </c>
      <c r="N407" s="184">
        <f t="shared" si="94"/>
        <v>3946667</v>
      </c>
      <c r="O407" s="516" t="s">
        <v>1655</v>
      </c>
      <c r="P407" s="233">
        <v>1</v>
      </c>
      <c r="Q407" s="487" t="s">
        <v>2905</v>
      </c>
      <c r="R407" s="23"/>
      <c r="S407" s="23"/>
      <c r="T407" s="23"/>
      <c r="U407" s="23"/>
      <c r="V407" s="10"/>
      <c r="W407" s="10"/>
      <c r="X407" s="10"/>
    </row>
    <row r="408" spans="1:24" s="9" customFormat="1" ht="13.5" customHeight="1" x14ac:dyDescent="0.2">
      <c r="A408" s="272">
        <f t="shared" si="89"/>
        <v>404</v>
      </c>
      <c r="B408" s="528" t="s">
        <v>2922</v>
      </c>
      <c r="C408" s="527">
        <v>43718</v>
      </c>
      <c r="D408" s="484">
        <v>17000000</v>
      </c>
      <c r="E408" s="484"/>
      <c r="F408" s="67">
        <f t="shared" si="90"/>
        <v>17000000</v>
      </c>
      <c r="G408" s="271">
        <v>4533333</v>
      </c>
      <c r="H408" s="184">
        <f t="shared" si="91"/>
        <v>12466667</v>
      </c>
      <c r="I408" s="186">
        <v>5</v>
      </c>
      <c r="J408" s="186">
        <v>0.2</v>
      </c>
      <c r="K408" s="68">
        <v>12</v>
      </c>
      <c r="L408" s="437">
        <f t="shared" si="92"/>
        <v>3400000</v>
      </c>
      <c r="M408" s="271">
        <f t="shared" si="93"/>
        <v>7933333</v>
      </c>
      <c r="N408" s="184">
        <f t="shared" si="94"/>
        <v>9066667</v>
      </c>
      <c r="O408" s="516" t="s">
        <v>1655</v>
      </c>
      <c r="P408" s="233">
        <v>1</v>
      </c>
      <c r="Q408" s="487" t="s">
        <v>1656</v>
      </c>
      <c r="R408" s="23"/>
      <c r="S408" s="23"/>
      <c r="T408" s="23"/>
      <c r="U408" s="23"/>
      <c r="V408" s="10"/>
      <c r="W408" s="10"/>
      <c r="X408" s="10"/>
    </row>
    <row r="409" spans="1:24" s="9" customFormat="1" ht="13.5" customHeight="1" x14ac:dyDescent="0.2">
      <c r="A409" s="272">
        <f t="shared" si="89"/>
        <v>405</v>
      </c>
      <c r="B409" s="528" t="s">
        <v>2923</v>
      </c>
      <c r="C409" s="527">
        <v>43718</v>
      </c>
      <c r="D409" s="484">
        <v>18000000</v>
      </c>
      <c r="E409" s="484"/>
      <c r="F409" s="67">
        <f t="shared" si="90"/>
        <v>18000000</v>
      </c>
      <c r="G409" s="271">
        <v>4800000</v>
      </c>
      <c r="H409" s="184">
        <f t="shared" si="91"/>
        <v>13200000</v>
      </c>
      <c r="I409" s="186">
        <v>5</v>
      </c>
      <c r="J409" s="186">
        <v>0.2</v>
      </c>
      <c r="K409" s="68">
        <v>12</v>
      </c>
      <c r="L409" s="437">
        <f t="shared" si="92"/>
        <v>3600000</v>
      </c>
      <c r="M409" s="271">
        <f t="shared" si="93"/>
        <v>8400000</v>
      </c>
      <c r="N409" s="184">
        <f t="shared" si="94"/>
        <v>9600000</v>
      </c>
      <c r="O409" s="516" t="s">
        <v>1655</v>
      </c>
      <c r="P409" s="233">
        <v>1</v>
      </c>
      <c r="Q409" s="487" t="s">
        <v>1656</v>
      </c>
      <c r="R409" s="23"/>
      <c r="S409" s="23"/>
      <c r="T409" s="23"/>
      <c r="U409" s="23"/>
      <c r="V409" s="10"/>
      <c r="W409" s="10"/>
      <c r="X409" s="10"/>
    </row>
    <row r="410" spans="1:24" s="9" customFormat="1" ht="13.5" customHeight="1" x14ac:dyDescent="0.2">
      <c r="A410" s="272">
        <f t="shared" si="89"/>
        <v>406</v>
      </c>
      <c r="B410" s="528" t="s">
        <v>2924</v>
      </c>
      <c r="C410" s="527">
        <v>43718</v>
      </c>
      <c r="D410" s="484">
        <v>14000000</v>
      </c>
      <c r="E410" s="484"/>
      <c r="F410" s="67">
        <f t="shared" si="90"/>
        <v>14000000</v>
      </c>
      <c r="G410" s="271">
        <v>3733333</v>
      </c>
      <c r="H410" s="184">
        <f t="shared" si="91"/>
        <v>10266667</v>
      </c>
      <c r="I410" s="186">
        <v>5</v>
      </c>
      <c r="J410" s="186">
        <v>0.2</v>
      </c>
      <c r="K410" s="68">
        <v>12</v>
      </c>
      <c r="L410" s="437">
        <f t="shared" si="92"/>
        <v>2800000</v>
      </c>
      <c r="M410" s="271">
        <f t="shared" si="93"/>
        <v>6533333</v>
      </c>
      <c r="N410" s="184">
        <f t="shared" si="94"/>
        <v>7466667</v>
      </c>
      <c r="O410" s="516" t="s">
        <v>1655</v>
      </c>
      <c r="P410" s="233">
        <v>1</v>
      </c>
      <c r="Q410" s="487" t="s">
        <v>1656</v>
      </c>
      <c r="R410" s="23"/>
      <c r="S410" s="23"/>
      <c r="T410" s="23"/>
      <c r="U410" s="23"/>
      <c r="V410" s="10"/>
      <c r="W410" s="10"/>
      <c r="X410" s="10"/>
    </row>
    <row r="411" spans="1:24" s="9" customFormat="1" ht="13.5" customHeight="1" x14ac:dyDescent="0.2">
      <c r="A411" s="272">
        <f t="shared" si="89"/>
        <v>407</v>
      </c>
      <c r="B411" s="528" t="s">
        <v>2925</v>
      </c>
      <c r="C411" s="527">
        <v>43725</v>
      </c>
      <c r="D411" s="484">
        <v>28000000</v>
      </c>
      <c r="E411" s="484"/>
      <c r="F411" s="67">
        <f t="shared" si="90"/>
        <v>28000000</v>
      </c>
      <c r="G411" s="271">
        <v>7466667</v>
      </c>
      <c r="H411" s="184">
        <f t="shared" si="91"/>
        <v>20533333</v>
      </c>
      <c r="I411" s="186">
        <v>5</v>
      </c>
      <c r="J411" s="186">
        <v>0.2</v>
      </c>
      <c r="K411" s="68">
        <v>12</v>
      </c>
      <c r="L411" s="437">
        <f t="shared" si="92"/>
        <v>5600000</v>
      </c>
      <c r="M411" s="271">
        <f t="shared" si="93"/>
        <v>13066667</v>
      </c>
      <c r="N411" s="184">
        <f t="shared" si="94"/>
        <v>14933333</v>
      </c>
      <c r="O411" s="516" t="s">
        <v>1660</v>
      </c>
      <c r="P411" s="233">
        <v>1</v>
      </c>
      <c r="Q411" s="487" t="s">
        <v>1656</v>
      </c>
      <c r="R411" s="23"/>
      <c r="S411" s="23"/>
      <c r="T411" s="23"/>
      <c r="U411" s="23"/>
      <c r="V411" s="10"/>
      <c r="W411" s="10"/>
      <c r="X411" s="10"/>
    </row>
    <row r="412" spans="1:24" s="9" customFormat="1" ht="13.5" customHeight="1" x14ac:dyDescent="0.2">
      <c r="A412" s="272">
        <f t="shared" si="89"/>
        <v>408</v>
      </c>
      <c r="B412" s="528" t="s">
        <v>2926</v>
      </c>
      <c r="C412" s="527">
        <v>43725</v>
      </c>
      <c r="D412" s="484">
        <v>9000000</v>
      </c>
      <c r="E412" s="484"/>
      <c r="F412" s="67">
        <f t="shared" si="90"/>
        <v>9000000</v>
      </c>
      <c r="G412" s="271">
        <v>2400000</v>
      </c>
      <c r="H412" s="184">
        <f t="shared" si="91"/>
        <v>6600000</v>
      </c>
      <c r="I412" s="186">
        <v>5</v>
      </c>
      <c r="J412" s="186">
        <v>0.2</v>
      </c>
      <c r="K412" s="68">
        <v>12</v>
      </c>
      <c r="L412" s="437">
        <f t="shared" si="92"/>
        <v>1800000</v>
      </c>
      <c r="M412" s="271">
        <f t="shared" si="93"/>
        <v>4200000</v>
      </c>
      <c r="N412" s="184">
        <f t="shared" si="94"/>
        <v>4800000</v>
      </c>
      <c r="O412" s="516" t="s">
        <v>1655</v>
      </c>
      <c r="P412" s="233">
        <v>1</v>
      </c>
      <c r="Q412" s="487" t="s">
        <v>1656</v>
      </c>
      <c r="R412" s="23"/>
      <c r="S412" s="23"/>
      <c r="T412" s="23"/>
      <c r="U412" s="23"/>
      <c r="V412" s="10"/>
      <c r="W412" s="10"/>
      <c r="X412" s="10"/>
    </row>
    <row r="413" spans="1:24" s="9" customFormat="1" ht="13.5" customHeight="1" x14ac:dyDescent="0.2">
      <c r="A413" s="272">
        <f t="shared" si="89"/>
        <v>409</v>
      </c>
      <c r="B413" s="528" t="s">
        <v>2927</v>
      </c>
      <c r="C413" s="527">
        <v>43725</v>
      </c>
      <c r="D413" s="484">
        <v>16000000</v>
      </c>
      <c r="E413" s="484"/>
      <c r="F413" s="67">
        <f t="shared" si="90"/>
        <v>16000000</v>
      </c>
      <c r="G413" s="271">
        <v>4266667</v>
      </c>
      <c r="H413" s="184">
        <f t="shared" si="91"/>
        <v>11733333</v>
      </c>
      <c r="I413" s="186">
        <v>5</v>
      </c>
      <c r="J413" s="186">
        <v>0.2</v>
      </c>
      <c r="K413" s="68">
        <v>12</v>
      </c>
      <c r="L413" s="437">
        <f t="shared" si="92"/>
        <v>3200000</v>
      </c>
      <c r="M413" s="271">
        <f t="shared" si="93"/>
        <v>7466667</v>
      </c>
      <c r="N413" s="184">
        <f t="shared" si="94"/>
        <v>8533333</v>
      </c>
      <c r="O413" s="516" t="s">
        <v>1655</v>
      </c>
      <c r="P413" s="233">
        <v>1</v>
      </c>
      <c r="Q413" s="487" t="s">
        <v>1656</v>
      </c>
      <c r="R413" s="23"/>
      <c r="S413" s="23"/>
      <c r="T413" s="23"/>
      <c r="U413" s="23"/>
      <c r="V413" s="10"/>
      <c r="W413" s="10"/>
      <c r="X413" s="10"/>
    </row>
    <row r="414" spans="1:24" s="9" customFormat="1" ht="13.5" customHeight="1" x14ac:dyDescent="0.2">
      <c r="A414" s="272">
        <f t="shared" si="89"/>
        <v>410</v>
      </c>
      <c r="B414" s="528" t="s">
        <v>2928</v>
      </c>
      <c r="C414" s="527">
        <v>43725</v>
      </c>
      <c r="D414" s="484">
        <v>12500000</v>
      </c>
      <c r="E414" s="484"/>
      <c r="F414" s="67">
        <f t="shared" si="90"/>
        <v>12500000</v>
      </c>
      <c r="G414" s="271">
        <v>3333333</v>
      </c>
      <c r="H414" s="184">
        <f t="shared" si="91"/>
        <v>9166667</v>
      </c>
      <c r="I414" s="186">
        <v>5</v>
      </c>
      <c r="J414" s="186">
        <v>0.2</v>
      </c>
      <c r="K414" s="68">
        <v>12</v>
      </c>
      <c r="L414" s="437">
        <f t="shared" si="92"/>
        <v>2500000</v>
      </c>
      <c r="M414" s="271">
        <f t="shared" si="93"/>
        <v>5833333</v>
      </c>
      <c r="N414" s="184">
        <f t="shared" si="94"/>
        <v>6666667</v>
      </c>
      <c r="O414" s="516" t="s">
        <v>1655</v>
      </c>
      <c r="P414" s="233">
        <v>1</v>
      </c>
      <c r="Q414" s="487" t="s">
        <v>1656</v>
      </c>
      <c r="R414" s="23"/>
      <c r="S414" s="23"/>
      <c r="T414" s="23"/>
      <c r="U414" s="23"/>
      <c r="V414" s="10"/>
      <c r="W414" s="10"/>
      <c r="X414" s="10"/>
    </row>
    <row r="415" spans="1:24" s="9" customFormat="1" ht="13.5" customHeight="1" x14ac:dyDescent="0.2">
      <c r="A415" s="272">
        <f t="shared" si="89"/>
        <v>411</v>
      </c>
      <c r="B415" s="528" t="s">
        <v>2929</v>
      </c>
      <c r="C415" s="527">
        <v>43727</v>
      </c>
      <c r="D415" s="484">
        <v>22000000</v>
      </c>
      <c r="E415" s="484"/>
      <c r="F415" s="67">
        <f t="shared" si="90"/>
        <v>22000000</v>
      </c>
      <c r="G415" s="271">
        <v>5866667</v>
      </c>
      <c r="H415" s="184">
        <f t="shared" si="91"/>
        <v>16133333</v>
      </c>
      <c r="I415" s="186">
        <v>5</v>
      </c>
      <c r="J415" s="186">
        <v>0.2</v>
      </c>
      <c r="K415" s="68">
        <v>12</v>
      </c>
      <c r="L415" s="437">
        <f t="shared" si="92"/>
        <v>4400000</v>
      </c>
      <c r="M415" s="271">
        <f t="shared" si="93"/>
        <v>10266667</v>
      </c>
      <c r="N415" s="184">
        <f t="shared" si="94"/>
        <v>11733333</v>
      </c>
      <c r="O415" s="516" t="s">
        <v>1660</v>
      </c>
      <c r="P415" s="233">
        <v>1</v>
      </c>
      <c r="Q415" s="487" t="s">
        <v>1656</v>
      </c>
      <c r="R415" s="23"/>
      <c r="S415" s="23"/>
      <c r="T415" s="23"/>
      <c r="U415" s="23"/>
      <c r="V415" s="10"/>
      <c r="W415" s="10"/>
      <c r="X415" s="10"/>
    </row>
    <row r="416" spans="1:24" s="9" customFormat="1" ht="13.5" customHeight="1" x14ac:dyDescent="0.2">
      <c r="A416" s="272">
        <f t="shared" si="89"/>
        <v>412</v>
      </c>
      <c r="B416" s="528" t="s">
        <v>2956</v>
      </c>
      <c r="C416" s="527">
        <v>43759</v>
      </c>
      <c r="D416" s="484">
        <v>70000000</v>
      </c>
      <c r="E416" s="484"/>
      <c r="F416" s="67">
        <f t="shared" ref="F416:F423" si="95">+D416+E416</f>
        <v>70000000</v>
      </c>
      <c r="G416" s="271">
        <v>17500000</v>
      </c>
      <c r="H416" s="184">
        <f t="shared" ref="H416:H423" si="96">+F416-G416</f>
        <v>52500000</v>
      </c>
      <c r="I416" s="186">
        <v>5</v>
      </c>
      <c r="J416" s="186">
        <v>0.2</v>
      </c>
      <c r="K416" s="68">
        <v>12</v>
      </c>
      <c r="L416" s="437">
        <f t="shared" ref="L416:L423" si="97">ROUND(IF(F416*J416*K416/12&gt;=H416,H416-1000,F416*J416*K416/12),0)</f>
        <v>14000000</v>
      </c>
      <c r="M416" s="271">
        <f t="shared" ref="M416:M423" si="98">+G416+L416</f>
        <v>31500000</v>
      </c>
      <c r="N416" s="184">
        <f t="shared" ref="N416:N423" si="99">+F416-M416</f>
        <v>38500000</v>
      </c>
      <c r="O416" s="516" t="s">
        <v>1658</v>
      </c>
      <c r="P416" s="233">
        <v>1</v>
      </c>
      <c r="Q416" s="487"/>
      <c r="R416" s="23"/>
      <c r="S416" s="23"/>
      <c r="T416" s="23"/>
      <c r="U416" s="23"/>
      <c r="V416" s="10"/>
      <c r="W416" s="10"/>
      <c r="X416" s="10"/>
    </row>
    <row r="417" spans="1:24" s="9" customFormat="1" ht="13.5" customHeight="1" x14ac:dyDescent="0.2">
      <c r="A417" s="272">
        <f t="shared" si="89"/>
        <v>413</v>
      </c>
      <c r="B417" s="528" t="s">
        <v>2957</v>
      </c>
      <c r="C417" s="527">
        <v>43759</v>
      </c>
      <c r="D417" s="484">
        <v>4800000</v>
      </c>
      <c r="E417" s="484"/>
      <c r="F417" s="67">
        <f t="shared" si="95"/>
        <v>4800000</v>
      </c>
      <c r="G417" s="271">
        <v>1200000</v>
      </c>
      <c r="H417" s="184">
        <f t="shared" si="96"/>
        <v>3600000</v>
      </c>
      <c r="I417" s="186">
        <v>5</v>
      </c>
      <c r="J417" s="186">
        <v>0.2</v>
      </c>
      <c r="K417" s="68">
        <v>12</v>
      </c>
      <c r="L417" s="437">
        <f t="shared" si="97"/>
        <v>960000</v>
      </c>
      <c r="M417" s="271">
        <f t="shared" si="98"/>
        <v>2160000</v>
      </c>
      <c r="N417" s="184">
        <f t="shared" si="99"/>
        <v>2640000</v>
      </c>
      <c r="O417" s="516" t="s">
        <v>1655</v>
      </c>
      <c r="P417" s="233">
        <v>1</v>
      </c>
      <c r="Q417" s="487" t="s">
        <v>1656</v>
      </c>
      <c r="R417" s="23"/>
      <c r="S417" s="23"/>
      <c r="T417" s="23"/>
      <c r="U417" s="23"/>
      <c r="V417" s="10"/>
      <c r="W417" s="10"/>
      <c r="X417" s="10"/>
    </row>
    <row r="418" spans="1:24" s="9" customFormat="1" ht="13.5" customHeight="1" x14ac:dyDescent="0.2">
      <c r="A418" s="272">
        <f t="shared" si="89"/>
        <v>414</v>
      </c>
      <c r="B418" s="528" t="s">
        <v>2958</v>
      </c>
      <c r="C418" s="527">
        <v>43766</v>
      </c>
      <c r="D418" s="484">
        <v>7120000</v>
      </c>
      <c r="E418" s="484"/>
      <c r="F418" s="67">
        <f t="shared" si="95"/>
        <v>7120000</v>
      </c>
      <c r="G418" s="271">
        <v>1780000</v>
      </c>
      <c r="H418" s="184">
        <f t="shared" si="96"/>
        <v>5340000</v>
      </c>
      <c r="I418" s="186">
        <v>5</v>
      </c>
      <c r="J418" s="186">
        <v>0.2</v>
      </c>
      <c r="K418" s="68">
        <v>12</v>
      </c>
      <c r="L418" s="437">
        <f t="shared" si="97"/>
        <v>1424000</v>
      </c>
      <c r="M418" s="271">
        <f t="shared" si="98"/>
        <v>3204000</v>
      </c>
      <c r="N418" s="184">
        <f t="shared" si="99"/>
        <v>3916000</v>
      </c>
      <c r="O418" s="516" t="s">
        <v>1671</v>
      </c>
      <c r="P418" s="233">
        <v>1</v>
      </c>
      <c r="Q418" s="487" t="s">
        <v>1656</v>
      </c>
      <c r="R418" s="23"/>
      <c r="S418" s="23"/>
      <c r="T418" s="23"/>
      <c r="U418" s="23"/>
      <c r="V418" s="10"/>
      <c r="W418" s="10"/>
      <c r="X418" s="10"/>
    </row>
    <row r="419" spans="1:24" s="9" customFormat="1" ht="13.5" customHeight="1" x14ac:dyDescent="0.2">
      <c r="A419" s="272">
        <f t="shared" si="89"/>
        <v>415</v>
      </c>
      <c r="B419" s="528" t="s">
        <v>2977</v>
      </c>
      <c r="C419" s="527">
        <v>43948</v>
      </c>
      <c r="D419" s="484">
        <v>16000000</v>
      </c>
      <c r="E419" s="484"/>
      <c r="F419" s="67">
        <f t="shared" si="95"/>
        <v>16000000</v>
      </c>
      <c r="G419" s="271">
        <v>2400000</v>
      </c>
      <c r="H419" s="184">
        <f t="shared" si="96"/>
        <v>13600000</v>
      </c>
      <c r="I419" s="186">
        <v>5</v>
      </c>
      <c r="J419" s="186">
        <v>0.2</v>
      </c>
      <c r="K419" s="68">
        <v>12</v>
      </c>
      <c r="L419" s="437">
        <f t="shared" si="97"/>
        <v>3200000</v>
      </c>
      <c r="M419" s="271">
        <f t="shared" si="98"/>
        <v>5600000</v>
      </c>
      <c r="N419" s="184">
        <f t="shared" si="99"/>
        <v>10400000</v>
      </c>
      <c r="O419" s="516" t="s">
        <v>1655</v>
      </c>
      <c r="P419" s="233">
        <v>1</v>
      </c>
      <c r="Q419" s="487"/>
      <c r="R419" s="23"/>
      <c r="S419" s="23"/>
      <c r="T419" s="23"/>
      <c r="U419" s="23"/>
      <c r="V419" s="10"/>
      <c r="W419" s="10"/>
      <c r="X419" s="10"/>
    </row>
    <row r="420" spans="1:24" s="9" customFormat="1" ht="13.5" customHeight="1" x14ac:dyDescent="0.2">
      <c r="A420" s="272">
        <f t="shared" si="89"/>
        <v>416</v>
      </c>
      <c r="B420" s="528" t="s">
        <v>2978</v>
      </c>
      <c r="C420" s="527">
        <v>43949</v>
      </c>
      <c r="D420" s="484">
        <v>4500000</v>
      </c>
      <c r="E420" s="484"/>
      <c r="F420" s="67">
        <f t="shared" si="95"/>
        <v>4500000</v>
      </c>
      <c r="G420" s="271">
        <v>675000</v>
      </c>
      <c r="H420" s="184">
        <f t="shared" si="96"/>
        <v>3825000</v>
      </c>
      <c r="I420" s="186">
        <v>5</v>
      </c>
      <c r="J420" s="186">
        <v>0.2</v>
      </c>
      <c r="K420" s="68">
        <v>12</v>
      </c>
      <c r="L420" s="437">
        <f t="shared" si="97"/>
        <v>900000</v>
      </c>
      <c r="M420" s="271">
        <f t="shared" si="98"/>
        <v>1575000</v>
      </c>
      <c r="N420" s="184">
        <f t="shared" si="99"/>
        <v>2925000</v>
      </c>
      <c r="O420" s="516" t="s">
        <v>1675</v>
      </c>
      <c r="P420" s="233">
        <v>1</v>
      </c>
      <c r="Q420" s="487"/>
      <c r="R420" s="23"/>
      <c r="S420" s="23"/>
      <c r="T420" s="23"/>
      <c r="U420" s="23"/>
      <c r="V420" s="10"/>
      <c r="W420" s="10"/>
      <c r="X420" s="10"/>
    </row>
    <row r="421" spans="1:24" s="9" customFormat="1" ht="13.5" customHeight="1" x14ac:dyDescent="0.2">
      <c r="A421" s="272">
        <f t="shared" si="89"/>
        <v>417</v>
      </c>
      <c r="B421" s="528" t="s">
        <v>2979</v>
      </c>
      <c r="C421" s="527">
        <v>43976</v>
      </c>
      <c r="D421" s="484">
        <v>5980000</v>
      </c>
      <c r="E421" s="484"/>
      <c r="F421" s="67">
        <f t="shared" si="95"/>
        <v>5980000</v>
      </c>
      <c r="G421" s="271">
        <v>797333</v>
      </c>
      <c r="H421" s="184">
        <f t="shared" si="96"/>
        <v>5182667</v>
      </c>
      <c r="I421" s="186">
        <v>5</v>
      </c>
      <c r="J421" s="186">
        <v>0.2</v>
      </c>
      <c r="K421" s="68">
        <v>12</v>
      </c>
      <c r="L421" s="437">
        <f t="shared" si="97"/>
        <v>1196000</v>
      </c>
      <c r="M421" s="271">
        <f t="shared" si="98"/>
        <v>1993333</v>
      </c>
      <c r="N421" s="184">
        <f t="shared" si="99"/>
        <v>3986667</v>
      </c>
      <c r="O421" s="516" t="s">
        <v>1675</v>
      </c>
      <c r="P421" s="233">
        <v>1</v>
      </c>
      <c r="Q421" s="487"/>
      <c r="R421" s="23"/>
      <c r="S421" s="23"/>
      <c r="T421" s="23"/>
      <c r="U421" s="23"/>
      <c r="V421" s="10"/>
      <c r="W421" s="10"/>
      <c r="X421" s="10"/>
    </row>
    <row r="422" spans="1:24" s="9" customFormat="1" ht="13.5" customHeight="1" x14ac:dyDescent="0.2">
      <c r="A422" s="272">
        <f t="shared" si="89"/>
        <v>418</v>
      </c>
      <c r="B422" s="528" t="s">
        <v>2980</v>
      </c>
      <c r="C422" s="527">
        <v>44012</v>
      </c>
      <c r="D422" s="484">
        <v>11000000</v>
      </c>
      <c r="E422" s="484"/>
      <c r="F422" s="67">
        <f t="shared" si="95"/>
        <v>11000000</v>
      </c>
      <c r="G422" s="271">
        <v>1283333</v>
      </c>
      <c r="H422" s="184">
        <f t="shared" si="96"/>
        <v>9716667</v>
      </c>
      <c r="I422" s="186">
        <v>5</v>
      </c>
      <c r="J422" s="186">
        <v>0.2</v>
      </c>
      <c r="K422" s="68">
        <v>12</v>
      </c>
      <c r="L422" s="437">
        <f t="shared" si="97"/>
        <v>2200000</v>
      </c>
      <c r="M422" s="271">
        <f t="shared" si="98"/>
        <v>3483333</v>
      </c>
      <c r="N422" s="184">
        <f t="shared" si="99"/>
        <v>7516667</v>
      </c>
      <c r="O422" s="516" t="s">
        <v>1675</v>
      </c>
      <c r="P422" s="233">
        <v>1</v>
      </c>
      <c r="Q422" s="487"/>
      <c r="R422" s="23"/>
      <c r="S422" s="23"/>
      <c r="T422" s="23"/>
      <c r="U422" s="23"/>
      <c r="V422" s="10"/>
      <c r="W422" s="10"/>
      <c r="X422" s="10"/>
    </row>
    <row r="423" spans="1:24" s="9" customFormat="1" ht="13.5" customHeight="1" x14ac:dyDescent="0.2">
      <c r="A423" s="272">
        <f t="shared" si="89"/>
        <v>419</v>
      </c>
      <c r="B423" s="528" t="s">
        <v>2981</v>
      </c>
      <c r="C423" s="527">
        <v>44012</v>
      </c>
      <c r="D423" s="484">
        <v>5600000</v>
      </c>
      <c r="E423" s="484"/>
      <c r="F423" s="67">
        <f t="shared" si="95"/>
        <v>5600000</v>
      </c>
      <c r="G423" s="271">
        <v>653333</v>
      </c>
      <c r="H423" s="184">
        <f t="shared" si="96"/>
        <v>4946667</v>
      </c>
      <c r="I423" s="186">
        <v>5</v>
      </c>
      <c r="J423" s="186">
        <v>0.2</v>
      </c>
      <c r="K423" s="68">
        <v>12</v>
      </c>
      <c r="L423" s="437">
        <f t="shared" si="97"/>
        <v>1120000</v>
      </c>
      <c r="M423" s="271">
        <f t="shared" si="98"/>
        <v>1773333</v>
      </c>
      <c r="N423" s="184">
        <f t="shared" si="99"/>
        <v>3826667</v>
      </c>
      <c r="O423" s="516" t="s">
        <v>1675</v>
      </c>
      <c r="P423" s="233">
        <v>1</v>
      </c>
      <c r="Q423" s="487"/>
      <c r="R423" s="23"/>
      <c r="S423" s="23"/>
      <c r="T423" s="23"/>
      <c r="U423" s="23"/>
      <c r="V423" s="10"/>
      <c r="W423" s="10"/>
      <c r="X423" s="10"/>
    </row>
    <row r="424" spans="1:24" s="9" customFormat="1" ht="13.5" customHeight="1" x14ac:dyDescent="0.2">
      <c r="A424" s="272">
        <f t="shared" si="89"/>
        <v>420</v>
      </c>
      <c r="B424" s="528" t="s">
        <v>3004</v>
      </c>
      <c r="C424" s="527">
        <v>44032</v>
      </c>
      <c r="D424" s="484">
        <v>3200000</v>
      </c>
      <c r="E424" s="484"/>
      <c r="F424" s="67">
        <f t="shared" ref="F424:F433" si="100">+D424+E424</f>
        <v>3200000</v>
      </c>
      <c r="G424" s="271">
        <v>320000</v>
      </c>
      <c r="H424" s="184">
        <f t="shared" ref="H424:H433" si="101">+F424-G424</f>
        <v>2880000</v>
      </c>
      <c r="I424" s="186">
        <v>5</v>
      </c>
      <c r="J424" s="186">
        <v>0.2</v>
      </c>
      <c r="K424" s="68">
        <v>12</v>
      </c>
      <c r="L424" s="437">
        <f t="shared" ref="L424:L445" si="102">ROUND(IF(F424*J424*K424/12&gt;=H424,H424-1000,F424*J424*K424/12),0)</f>
        <v>640000</v>
      </c>
      <c r="M424" s="271">
        <f t="shared" ref="M424:M445" si="103">+G424+L424</f>
        <v>960000</v>
      </c>
      <c r="N424" s="184">
        <f t="shared" ref="N424:N445" si="104">+F424-M424</f>
        <v>2240000</v>
      </c>
      <c r="O424" s="516" t="s">
        <v>3009</v>
      </c>
      <c r="P424" s="233">
        <v>1</v>
      </c>
      <c r="Q424" s="487"/>
      <c r="R424" s="23"/>
      <c r="S424" s="23"/>
      <c r="T424" s="23"/>
      <c r="U424" s="23"/>
      <c r="V424" s="10"/>
      <c r="W424" s="10"/>
      <c r="X424" s="10"/>
    </row>
    <row r="425" spans="1:24" s="9" customFormat="1" ht="13.5" customHeight="1" x14ac:dyDescent="0.2">
      <c r="A425" s="272">
        <f t="shared" si="89"/>
        <v>421</v>
      </c>
      <c r="B425" s="528" t="s">
        <v>3005</v>
      </c>
      <c r="C425" s="527">
        <v>44092</v>
      </c>
      <c r="D425" s="484">
        <v>8500000</v>
      </c>
      <c r="E425" s="484"/>
      <c r="F425" s="67">
        <f t="shared" si="100"/>
        <v>8500000</v>
      </c>
      <c r="G425" s="271">
        <v>566667</v>
      </c>
      <c r="H425" s="184">
        <f t="shared" si="101"/>
        <v>7933333</v>
      </c>
      <c r="I425" s="186">
        <v>5</v>
      </c>
      <c r="J425" s="186">
        <v>0.2</v>
      </c>
      <c r="K425" s="68">
        <v>12</v>
      </c>
      <c r="L425" s="437">
        <f t="shared" si="102"/>
        <v>1700000</v>
      </c>
      <c r="M425" s="271">
        <f t="shared" si="103"/>
        <v>2266667</v>
      </c>
      <c r="N425" s="184">
        <f t="shared" si="104"/>
        <v>6233333</v>
      </c>
      <c r="O425" s="516" t="s">
        <v>1655</v>
      </c>
      <c r="P425" s="233">
        <v>1</v>
      </c>
      <c r="Q425" s="487" t="s">
        <v>3010</v>
      </c>
      <c r="R425" s="23"/>
      <c r="S425" s="23"/>
      <c r="T425" s="23"/>
      <c r="U425" s="23"/>
      <c r="V425" s="10"/>
      <c r="W425" s="10"/>
      <c r="X425" s="10"/>
    </row>
    <row r="426" spans="1:24" s="9" customFormat="1" ht="13.5" customHeight="1" x14ac:dyDescent="0.2">
      <c r="A426" s="272">
        <f t="shared" si="89"/>
        <v>422</v>
      </c>
      <c r="B426" s="528" t="s">
        <v>3006</v>
      </c>
      <c r="C426" s="527">
        <v>44099</v>
      </c>
      <c r="D426" s="484">
        <v>3560000</v>
      </c>
      <c r="E426" s="484"/>
      <c r="F426" s="67">
        <f t="shared" si="100"/>
        <v>3560000</v>
      </c>
      <c r="G426" s="271">
        <v>237333</v>
      </c>
      <c r="H426" s="184">
        <f t="shared" si="101"/>
        <v>3322667</v>
      </c>
      <c r="I426" s="186">
        <v>5</v>
      </c>
      <c r="J426" s="186">
        <v>0.2</v>
      </c>
      <c r="K426" s="68">
        <v>12</v>
      </c>
      <c r="L426" s="437">
        <f t="shared" si="102"/>
        <v>712000</v>
      </c>
      <c r="M426" s="271">
        <f t="shared" si="103"/>
        <v>949333</v>
      </c>
      <c r="N426" s="184">
        <f t="shared" si="104"/>
        <v>2610667</v>
      </c>
      <c r="O426" s="516" t="s">
        <v>1671</v>
      </c>
      <c r="P426" s="233">
        <v>1</v>
      </c>
      <c r="Q426" s="487"/>
      <c r="R426" s="23"/>
      <c r="S426" s="23"/>
      <c r="T426" s="23"/>
      <c r="U426" s="23"/>
      <c r="V426" s="10"/>
      <c r="W426" s="10"/>
      <c r="X426" s="10"/>
    </row>
    <row r="427" spans="1:24" s="9" customFormat="1" ht="13.5" customHeight="1" x14ac:dyDescent="0.2">
      <c r="A427" s="272">
        <f t="shared" si="89"/>
        <v>423</v>
      </c>
      <c r="B427" s="528" t="s">
        <v>3007</v>
      </c>
      <c r="C427" s="527">
        <v>44099</v>
      </c>
      <c r="D427" s="484">
        <v>3560000</v>
      </c>
      <c r="E427" s="484"/>
      <c r="F427" s="67">
        <f t="shared" si="100"/>
        <v>3560000</v>
      </c>
      <c r="G427" s="271">
        <v>237333</v>
      </c>
      <c r="H427" s="184">
        <f t="shared" si="101"/>
        <v>3322667</v>
      </c>
      <c r="I427" s="186">
        <v>5</v>
      </c>
      <c r="J427" s="186">
        <v>0.2</v>
      </c>
      <c r="K427" s="68">
        <v>12</v>
      </c>
      <c r="L427" s="437">
        <f t="shared" si="102"/>
        <v>712000</v>
      </c>
      <c r="M427" s="271">
        <f t="shared" si="103"/>
        <v>949333</v>
      </c>
      <c r="N427" s="184">
        <f t="shared" si="104"/>
        <v>2610667</v>
      </c>
      <c r="O427" s="516" t="s">
        <v>1671</v>
      </c>
      <c r="P427" s="233">
        <v>1</v>
      </c>
      <c r="Q427" s="487"/>
      <c r="R427" s="23"/>
      <c r="S427" s="23"/>
      <c r="T427" s="23"/>
      <c r="U427" s="23"/>
      <c r="V427" s="10"/>
      <c r="W427" s="10"/>
      <c r="X427" s="10"/>
    </row>
    <row r="428" spans="1:24" s="9" customFormat="1" ht="13.5" customHeight="1" x14ac:dyDescent="0.2">
      <c r="A428" s="272">
        <f t="shared" si="89"/>
        <v>424</v>
      </c>
      <c r="B428" s="528" t="s">
        <v>3008</v>
      </c>
      <c r="C428" s="527">
        <v>44099</v>
      </c>
      <c r="D428" s="484">
        <v>3800000</v>
      </c>
      <c r="E428" s="484"/>
      <c r="F428" s="67">
        <f t="shared" si="100"/>
        <v>3800000</v>
      </c>
      <c r="G428" s="271">
        <v>253333</v>
      </c>
      <c r="H428" s="184">
        <f t="shared" si="101"/>
        <v>3546667</v>
      </c>
      <c r="I428" s="186">
        <v>5</v>
      </c>
      <c r="J428" s="186">
        <v>0.2</v>
      </c>
      <c r="K428" s="68">
        <v>12</v>
      </c>
      <c r="L428" s="437">
        <f t="shared" si="102"/>
        <v>760000</v>
      </c>
      <c r="M428" s="271">
        <f t="shared" si="103"/>
        <v>1013333</v>
      </c>
      <c r="N428" s="184">
        <f t="shared" si="104"/>
        <v>2786667</v>
      </c>
      <c r="O428" s="516" t="s">
        <v>1671</v>
      </c>
      <c r="P428" s="233">
        <v>1</v>
      </c>
      <c r="Q428" s="487"/>
      <c r="R428" s="23"/>
      <c r="S428" s="23"/>
      <c r="T428" s="23"/>
      <c r="U428" s="23"/>
      <c r="V428" s="10"/>
      <c r="W428" s="10"/>
      <c r="X428" s="10"/>
    </row>
    <row r="429" spans="1:24" s="9" customFormat="1" ht="13.5" customHeight="1" x14ac:dyDescent="0.2">
      <c r="A429" s="273">
        <v>425</v>
      </c>
      <c r="B429" s="528" t="s">
        <v>3025</v>
      </c>
      <c r="C429" s="527" t="s">
        <v>3026</v>
      </c>
      <c r="D429" s="484"/>
      <c r="E429" s="484">
        <v>900000</v>
      </c>
      <c r="F429" s="67">
        <f t="shared" si="100"/>
        <v>900000</v>
      </c>
      <c r="G429" s="271"/>
      <c r="H429" s="184">
        <f t="shared" si="101"/>
        <v>900000</v>
      </c>
      <c r="I429" s="438">
        <v>5</v>
      </c>
      <c r="J429" s="438">
        <v>0.2</v>
      </c>
      <c r="K429" s="68">
        <v>12</v>
      </c>
      <c r="L429" s="437">
        <f t="shared" si="102"/>
        <v>180000</v>
      </c>
      <c r="M429" s="271">
        <f t="shared" si="103"/>
        <v>180000</v>
      </c>
      <c r="N429" s="184">
        <f t="shared" si="104"/>
        <v>720000</v>
      </c>
      <c r="O429" s="516" t="s">
        <v>3031</v>
      </c>
      <c r="P429" s="233">
        <v>1</v>
      </c>
      <c r="Q429" s="487"/>
      <c r="R429" s="23"/>
      <c r="S429" s="23"/>
      <c r="T429" s="23"/>
      <c r="U429" s="23"/>
      <c r="V429" s="10"/>
      <c r="W429" s="10"/>
      <c r="X429" s="10"/>
    </row>
    <row r="430" spans="1:24" s="9" customFormat="1" ht="13.5" customHeight="1" x14ac:dyDescent="0.2">
      <c r="A430" s="273">
        <v>426</v>
      </c>
      <c r="B430" s="528" t="s">
        <v>3035</v>
      </c>
      <c r="C430" s="527" t="s">
        <v>3027</v>
      </c>
      <c r="D430" s="484"/>
      <c r="E430" s="484">
        <v>12000000</v>
      </c>
      <c r="F430" s="67">
        <f t="shared" si="100"/>
        <v>12000000</v>
      </c>
      <c r="G430" s="271"/>
      <c r="H430" s="184">
        <f t="shared" si="101"/>
        <v>12000000</v>
      </c>
      <c r="I430" s="438">
        <v>5</v>
      </c>
      <c r="J430" s="438">
        <v>0.2</v>
      </c>
      <c r="K430" s="74">
        <v>11</v>
      </c>
      <c r="L430" s="437">
        <f t="shared" si="102"/>
        <v>2200000</v>
      </c>
      <c r="M430" s="271">
        <f t="shared" si="103"/>
        <v>2200000</v>
      </c>
      <c r="N430" s="184">
        <f t="shared" si="104"/>
        <v>9800000</v>
      </c>
      <c r="O430" s="516" t="s">
        <v>3032</v>
      </c>
      <c r="P430" s="233">
        <v>1</v>
      </c>
      <c r="Q430" s="487"/>
      <c r="R430" s="23"/>
      <c r="S430" s="23"/>
      <c r="T430" s="23"/>
      <c r="U430" s="23"/>
      <c r="V430" s="10"/>
      <c r="W430" s="10"/>
      <c r="X430" s="10"/>
    </row>
    <row r="431" spans="1:24" s="9" customFormat="1" ht="13.5" customHeight="1" x14ac:dyDescent="0.2">
      <c r="A431" s="273">
        <v>427</v>
      </c>
      <c r="B431" s="528" t="s">
        <v>3051</v>
      </c>
      <c r="C431" s="527">
        <v>44312</v>
      </c>
      <c r="D431" s="484"/>
      <c r="E431" s="484">
        <v>4500000</v>
      </c>
      <c r="F431" s="67">
        <f t="shared" si="100"/>
        <v>4500000</v>
      </c>
      <c r="G431" s="271"/>
      <c r="H431" s="184">
        <f t="shared" si="101"/>
        <v>4500000</v>
      </c>
      <c r="I431" s="438">
        <v>5</v>
      </c>
      <c r="J431" s="438">
        <v>0.2</v>
      </c>
      <c r="K431" s="74">
        <v>9</v>
      </c>
      <c r="L431" s="437">
        <f t="shared" si="102"/>
        <v>675000</v>
      </c>
      <c r="M431" s="271">
        <f t="shared" si="103"/>
        <v>675000</v>
      </c>
      <c r="N431" s="184">
        <f t="shared" si="104"/>
        <v>3825000</v>
      </c>
      <c r="O431" s="516" t="s">
        <v>3054</v>
      </c>
      <c r="P431" s="233">
        <v>1</v>
      </c>
      <c r="Q431" s="487"/>
      <c r="R431" s="23"/>
      <c r="S431" s="23"/>
      <c r="T431" s="23"/>
      <c r="U431" s="23"/>
      <c r="V431" s="10"/>
      <c r="W431" s="10"/>
      <c r="X431" s="10"/>
    </row>
    <row r="432" spans="1:24" s="9" customFormat="1" ht="13.5" customHeight="1" x14ac:dyDescent="0.2">
      <c r="A432" s="273">
        <v>428</v>
      </c>
      <c r="B432" s="528" t="s">
        <v>3052</v>
      </c>
      <c r="C432" s="527">
        <v>44341</v>
      </c>
      <c r="D432" s="484"/>
      <c r="E432" s="484">
        <v>6000000</v>
      </c>
      <c r="F432" s="67">
        <f t="shared" si="100"/>
        <v>6000000</v>
      </c>
      <c r="G432" s="271"/>
      <c r="H432" s="184">
        <f t="shared" si="101"/>
        <v>6000000</v>
      </c>
      <c r="I432" s="438">
        <v>5</v>
      </c>
      <c r="J432" s="438">
        <v>0.2</v>
      </c>
      <c r="K432" s="74">
        <v>8</v>
      </c>
      <c r="L432" s="437">
        <f t="shared" si="102"/>
        <v>800000</v>
      </c>
      <c r="M432" s="271">
        <f t="shared" si="103"/>
        <v>800000</v>
      </c>
      <c r="N432" s="184">
        <f t="shared" si="104"/>
        <v>5200000</v>
      </c>
      <c r="O432" s="516" t="s">
        <v>2948</v>
      </c>
      <c r="P432" s="233">
        <v>1</v>
      </c>
      <c r="Q432" s="487"/>
      <c r="R432" s="23"/>
      <c r="S432" s="23"/>
      <c r="T432" s="23"/>
      <c r="U432" s="23"/>
      <c r="V432" s="10"/>
      <c r="W432" s="10"/>
      <c r="X432" s="10"/>
    </row>
    <row r="433" spans="1:24" s="9" customFormat="1" ht="13.5" customHeight="1" x14ac:dyDescent="0.2">
      <c r="A433" s="273">
        <v>429</v>
      </c>
      <c r="B433" s="528" t="s">
        <v>3053</v>
      </c>
      <c r="C433" s="527">
        <v>44368</v>
      </c>
      <c r="D433" s="484"/>
      <c r="E433" s="484">
        <v>1590000</v>
      </c>
      <c r="F433" s="67">
        <f t="shared" si="100"/>
        <v>1590000</v>
      </c>
      <c r="G433" s="271"/>
      <c r="H433" s="184">
        <f t="shared" si="101"/>
        <v>1590000</v>
      </c>
      <c r="I433" s="438">
        <v>5</v>
      </c>
      <c r="J433" s="438">
        <v>0.2</v>
      </c>
      <c r="K433" s="74">
        <v>7</v>
      </c>
      <c r="L433" s="437">
        <f t="shared" si="102"/>
        <v>185500</v>
      </c>
      <c r="M433" s="271">
        <f t="shared" si="103"/>
        <v>185500</v>
      </c>
      <c r="N433" s="184">
        <f t="shared" si="104"/>
        <v>1404500</v>
      </c>
      <c r="O433" s="516" t="s">
        <v>3055</v>
      </c>
      <c r="P433" s="233">
        <v>2</v>
      </c>
      <c r="Q433" s="487"/>
      <c r="R433" s="23"/>
      <c r="S433" s="23"/>
      <c r="T433" s="23"/>
      <c r="U433" s="23"/>
      <c r="V433" s="10"/>
      <c r="W433" s="10"/>
      <c r="X433" s="10"/>
    </row>
    <row r="434" spans="1:24" s="9" customFormat="1" ht="13.5" customHeight="1" x14ac:dyDescent="0.2">
      <c r="A434" s="273">
        <v>430</v>
      </c>
      <c r="B434" s="528" t="s">
        <v>3065</v>
      </c>
      <c r="C434" s="527">
        <v>44406</v>
      </c>
      <c r="D434" s="484"/>
      <c r="E434" s="484">
        <v>7000000</v>
      </c>
      <c r="F434" s="67">
        <f t="shared" ref="F434:F442" si="105">+D434+E434</f>
        <v>7000000</v>
      </c>
      <c r="G434" s="271"/>
      <c r="H434" s="184">
        <f t="shared" ref="H434:H442" si="106">+F434-G434</f>
        <v>7000000</v>
      </c>
      <c r="I434" s="438">
        <v>5</v>
      </c>
      <c r="J434" s="438">
        <v>0.2</v>
      </c>
      <c r="K434" s="74">
        <v>6</v>
      </c>
      <c r="L434" s="437">
        <f t="shared" si="102"/>
        <v>700000</v>
      </c>
      <c r="M434" s="271">
        <f t="shared" si="103"/>
        <v>700000</v>
      </c>
      <c r="N434" s="184">
        <f t="shared" si="104"/>
        <v>6300000</v>
      </c>
      <c r="O434" s="516" t="s">
        <v>3074</v>
      </c>
      <c r="P434" s="233">
        <v>1</v>
      </c>
      <c r="Q434" s="487" t="s">
        <v>3077</v>
      </c>
      <c r="R434" s="23"/>
      <c r="S434" s="23"/>
      <c r="T434" s="23"/>
      <c r="U434" s="23"/>
      <c r="V434" s="10"/>
      <c r="W434" s="10"/>
      <c r="X434" s="10"/>
    </row>
    <row r="435" spans="1:24" s="9" customFormat="1" ht="13.5" customHeight="1" x14ac:dyDescent="0.2">
      <c r="A435" s="273">
        <v>431</v>
      </c>
      <c r="B435" s="528" t="s">
        <v>3066</v>
      </c>
      <c r="C435" s="527">
        <v>44406</v>
      </c>
      <c r="D435" s="484"/>
      <c r="E435" s="484">
        <v>6000000</v>
      </c>
      <c r="F435" s="67">
        <f t="shared" si="105"/>
        <v>6000000</v>
      </c>
      <c r="G435" s="271"/>
      <c r="H435" s="184">
        <f t="shared" si="106"/>
        <v>6000000</v>
      </c>
      <c r="I435" s="438">
        <v>5</v>
      </c>
      <c r="J435" s="438">
        <v>0.2</v>
      </c>
      <c r="K435" s="74">
        <v>6</v>
      </c>
      <c r="L435" s="437">
        <f t="shared" si="102"/>
        <v>600000</v>
      </c>
      <c r="M435" s="271">
        <f t="shared" si="103"/>
        <v>600000</v>
      </c>
      <c r="N435" s="184">
        <f t="shared" si="104"/>
        <v>5400000</v>
      </c>
      <c r="O435" s="516" t="s">
        <v>3074</v>
      </c>
      <c r="P435" s="233">
        <v>1</v>
      </c>
      <c r="Q435" s="487" t="s">
        <v>3077</v>
      </c>
      <c r="R435" s="23"/>
      <c r="S435" s="23"/>
      <c r="T435" s="23"/>
      <c r="U435" s="23"/>
      <c r="V435" s="10"/>
      <c r="W435" s="10"/>
      <c r="X435" s="10"/>
    </row>
    <row r="436" spans="1:24" s="9" customFormat="1" ht="13.5" customHeight="1" x14ac:dyDescent="0.2">
      <c r="A436" s="273">
        <v>432</v>
      </c>
      <c r="B436" s="528" t="s">
        <v>3067</v>
      </c>
      <c r="C436" s="527">
        <v>44406</v>
      </c>
      <c r="D436" s="484"/>
      <c r="E436" s="484">
        <v>6000000</v>
      </c>
      <c r="F436" s="67">
        <f t="shared" si="105"/>
        <v>6000000</v>
      </c>
      <c r="G436" s="271"/>
      <c r="H436" s="184">
        <f t="shared" si="106"/>
        <v>6000000</v>
      </c>
      <c r="I436" s="438">
        <v>5</v>
      </c>
      <c r="J436" s="438">
        <v>0.2</v>
      </c>
      <c r="K436" s="74">
        <v>6</v>
      </c>
      <c r="L436" s="437">
        <f t="shared" si="102"/>
        <v>600000</v>
      </c>
      <c r="M436" s="271">
        <f t="shared" si="103"/>
        <v>600000</v>
      </c>
      <c r="N436" s="184">
        <f t="shared" si="104"/>
        <v>5400000</v>
      </c>
      <c r="O436" s="516" t="s">
        <v>3074</v>
      </c>
      <c r="P436" s="233">
        <v>1</v>
      </c>
      <c r="Q436" s="487" t="s">
        <v>3077</v>
      </c>
      <c r="R436" s="23"/>
      <c r="S436" s="23"/>
      <c r="T436" s="23"/>
      <c r="U436" s="23"/>
      <c r="V436" s="10"/>
      <c r="W436" s="10"/>
      <c r="X436" s="10"/>
    </row>
    <row r="437" spans="1:24" s="9" customFormat="1" ht="13.5" customHeight="1" x14ac:dyDescent="0.2">
      <c r="A437" s="273">
        <v>433</v>
      </c>
      <c r="B437" s="528" t="s">
        <v>3068</v>
      </c>
      <c r="C437" s="527">
        <v>44407</v>
      </c>
      <c r="D437" s="484"/>
      <c r="E437" s="484">
        <v>2500000</v>
      </c>
      <c r="F437" s="67">
        <f t="shared" si="105"/>
        <v>2500000</v>
      </c>
      <c r="G437" s="271"/>
      <c r="H437" s="184">
        <f t="shared" si="106"/>
        <v>2500000</v>
      </c>
      <c r="I437" s="438">
        <v>5</v>
      </c>
      <c r="J437" s="438">
        <v>0.2</v>
      </c>
      <c r="K437" s="74">
        <v>6</v>
      </c>
      <c r="L437" s="437">
        <f t="shared" si="102"/>
        <v>250000</v>
      </c>
      <c r="M437" s="271">
        <f t="shared" si="103"/>
        <v>250000</v>
      </c>
      <c r="N437" s="184">
        <f t="shared" si="104"/>
        <v>2250000</v>
      </c>
      <c r="O437" s="516" t="s">
        <v>3075</v>
      </c>
      <c r="P437" s="233">
        <v>1</v>
      </c>
      <c r="Q437" s="487" t="s">
        <v>3078</v>
      </c>
      <c r="R437" s="23"/>
      <c r="S437" s="23"/>
      <c r="T437" s="23"/>
      <c r="U437" s="23"/>
      <c r="V437" s="10"/>
      <c r="W437" s="10"/>
      <c r="X437" s="10"/>
    </row>
    <row r="438" spans="1:24" s="9" customFormat="1" ht="13.5" customHeight="1" x14ac:dyDescent="0.2">
      <c r="A438" s="273">
        <v>434</v>
      </c>
      <c r="B438" s="528" t="s">
        <v>3069</v>
      </c>
      <c r="C438" s="527">
        <v>44407</v>
      </c>
      <c r="D438" s="484"/>
      <c r="E438" s="484">
        <v>11000000</v>
      </c>
      <c r="F438" s="67">
        <f t="shared" si="105"/>
        <v>11000000</v>
      </c>
      <c r="G438" s="271"/>
      <c r="H438" s="184">
        <f t="shared" si="106"/>
        <v>11000000</v>
      </c>
      <c r="I438" s="438">
        <v>5</v>
      </c>
      <c r="J438" s="438">
        <v>0.2</v>
      </c>
      <c r="K438" s="74">
        <v>6</v>
      </c>
      <c r="L438" s="437">
        <f t="shared" si="102"/>
        <v>1100000</v>
      </c>
      <c r="M438" s="271">
        <f t="shared" si="103"/>
        <v>1100000</v>
      </c>
      <c r="N438" s="184">
        <f t="shared" si="104"/>
        <v>9900000</v>
      </c>
      <c r="O438" s="516" t="s">
        <v>1675</v>
      </c>
      <c r="P438" s="233">
        <v>1</v>
      </c>
      <c r="Q438" s="487" t="s">
        <v>3078</v>
      </c>
      <c r="R438" s="23"/>
      <c r="S438" s="23"/>
      <c r="T438" s="23"/>
      <c r="U438" s="23"/>
      <c r="V438" s="10"/>
      <c r="W438" s="10"/>
      <c r="X438" s="10"/>
    </row>
    <row r="439" spans="1:24" s="9" customFormat="1" ht="13.5" customHeight="1" x14ac:dyDescent="0.2">
      <c r="A439" s="273">
        <v>435</v>
      </c>
      <c r="B439" s="528" t="s">
        <v>3070</v>
      </c>
      <c r="C439" s="527">
        <v>44407</v>
      </c>
      <c r="D439" s="484"/>
      <c r="E439" s="484">
        <v>12000000</v>
      </c>
      <c r="F439" s="67">
        <f t="shared" si="105"/>
        <v>12000000</v>
      </c>
      <c r="G439" s="271"/>
      <c r="H439" s="184">
        <f t="shared" si="106"/>
        <v>12000000</v>
      </c>
      <c r="I439" s="438">
        <v>5</v>
      </c>
      <c r="J439" s="438">
        <v>0.2</v>
      </c>
      <c r="K439" s="74">
        <v>6</v>
      </c>
      <c r="L439" s="437">
        <f t="shared" si="102"/>
        <v>1200000</v>
      </c>
      <c r="M439" s="271">
        <f t="shared" si="103"/>
        <v>1200000</v>
      </c>
      <c r="N439" s="184">
        <f t="shared" si="104"/>
        <v>10800000</v>
      </c>
      <c r="O439" s="516" t="s">
        <v>1675</v>
      </c>
      <c r="P439" s="233">
        <v>1</v>
      </c>
      <c r="Q439" s="487" t="s">
        <v>3078</v>
      </c>
      <c r="R439" s="23"/>
      <c r="S439" s="23"/>
      <c r="T439" s="23"/>
      <c r="U439" s="23"/>
      <c r="V439" s="10"/>
      <c r="W439" s="10"/>
      <c r="X439" s="10"/>
    </row>
    <row r="440" spans="1:24" s="9" customFormat="1" ht="13.5" customHeight="1" x14ac:dyDescent="0.2">
      <c r="A440" s="273">
        <v>436</v>
      </c>
      <c r="B440" s="528" t="s">
        <v>3071</v>
      </c>
      <c r="C440" s="527">
        <v>44407</v>
      </c>
      <c r="D440" s="484"/>
      <c r="E440" s="484">
        <v>12000000</v>
      </c>
      <c r="F440" s="67">
        <f t="shared" si="105"/>
        <v>12000000</v>
      </c>
      <c r="G440" s="271"/>
      <c r="H440" s="184">
        <f t="shared" si="106"/>
        <v>12000000</v>
      </c>
      <c r="I440" s="438">
        <v>5</v>
      </c>
      <c r="J440" s="438">
        <v>0.2</v>
      </c>
      <c r="K440" s="74">
        <v>6</v>
      </c>
      <c r="L440" s="437">
        <f t="shared" si="102"/>
        <v>1200000</v>
      </c>
      <c r="M440" s="271">
        <f t="shared" si="103"/>
        <v>1200000</v>
      </c>
      <c r="N440" s="184">
        <f t="shared" si="104"/>
        <v>10800000</v>
      </c>
      <c r="O440" s="516" t="s">
        <v>1675</v>
      </c>
      <c r="P440" s="233">
        <v>1</v>
      </c>
      <c r="Q440" s="487"/>
      <c r="R440" s="23"/>
      <c r="S440" s="23"/>
      <c r="T440" s="23"/>
      <c r="U440" s="23"/>
      <c r="V440" s="10"/>
      <c r="W440" s="10"/>
      <c r="X440" s="10"/>
    </row>
    <row r="441" spans="1:24" s="9" customFormat="1" ht="13.5" customHeight="1" x14ac:dyDescent="0.2">
      <c r="A441" s="273">
        <v>437</v>
      </c>
      <c r="B441" s="528" t="s">
        <v>3072</v>
      </c>
      <c r="C441" s="527">
        <v>44432</v>
      </c>
      <c r="D441" s="484"/>
      <c r="E441" s="484">
        <v>3181819</v>
      </c>
      <c r="F441" s="67">
        <f t="shared" si="105"/>
        <v>3181819</v>
      </c>
      <c r="G441" s="271"/>
      <c r="H441" s="184">
        <f t="shared" si="106"/>
        <v>3181819</v>
      </c>
      <c r="I441" s="438">
        <v>5</v>
      </c>
      <c r="J441" s="438">
        <v>0.2</v>
      </c>
      <c r="K441" s="74">
        <v>5</v>
      </c>
      <c r="L441" s="437">
        <f t="shared" si="102"/>
        <v>265152</v>
      </c>
      <c r="M441" s="271">
        <f t="shared" si="103"/>
        <v>265152</v>
      </c>
      <c r="N441" s="184">
        <f t="shared" si="104"/>
        <v>2916667</v>
      </c>
      <c r="O441" s="516" t="s">
        <v>3076</v>
      </c>
      <c r="P441" s="233">
        <v>1</v>
      </c>
      <c r="Q441" s="487"/>
      <c r="R441" s="23"/>
      <c r="S441" s="23"/>
      <c r="T441" s="23"/>
      <c r="U441" s="23"/>
      <c r="V441" s="10"/>
      <c r="W441" s="10"/>
      <c r="X441" s="10"/>
    </row>
    <row r="442" spans="1:24" s="9" customFormat="1" ht="13.5" customHeight="1" x14ac:dyDescent="0.2">
      <c r="A442" s="273">
        <v>438</v>
      </c>
      <c r="B442" s="528" t="s">
        <v>3073</v>
      </c>
      <c r="C442" s="527">
        <v>44452</v>
      </c>
      <c r="D442" s="484"/>
      <c r="E442" s="484">
        <v>1920000</v>
      </c>
      <c r="F442" s="67">
        <f t="shared" si="105"/>
        <v>1920000</v>
      </c>
      <c r="G442" s="271"/>
      <c r="H442" s="184">
        <f t="shared" si="106"/>
        <v>1920000</v>
      </c>
      <c r="I442" s="438">
        <v>5</v>
      </c>
      <c r="J442" s="438">
        <v>0.2</v>
      </c>
      <c r="K442" s="74">
        <v>4</v>
      </c>
      <c r="L442" s="437">
        <f t="shared" si="102"/>
        <v>128000</v>
      </c>
      <c r="M442" s="271">
        <f t="shared" si="103"/>
        <v>128000</v>
      </c>
      <c r="N442" s="184">
        <f t="shared" si="104"/>
        <v>1792000</v>
      </c>
      <c r="O442" s="516" t="s">
        <v>3063</v>
      </c>
      <c r="P442" s="233">
        <v>1</v>
      </c>
      <c r="Q442" s="487"/>
      <c r="R442" s="23"/>
      <c r="S442" s="23"/>
      <c r="T442" s="23"/>
      <c r="U442" s="23"/>
      <c r="V442" s="10"/>
      <c r="W442" s="10"/>
      <c r="X442" s="10"/>
    </row>
    <row r="443" spans="1:24" s="9" customFormat="1" ht="13.5" customHeight="1" x14ac:dyDescent="0.2">
      <c r="A443" s="273">
        <v>439</v>
      </c>
      <c r="B443" s="528" t="s">
        <v>3108</v>
      </c>
      <c r="C443" s="527">
        <v>44553</v>
      </c>
      <c r="D443" s="484"/>
      <c r="E443" s="484">
        <v>5695000</v>
      </c>
      <c r="F443" s="67">
        <f t="shared" ref="F443:F445" si="107">+D443+E443</f>
        <v>5695000</v>
      </c>
      <c r="G443" s="271"/>
      <c r="H443" s="184">
        <f t="shared" ref="H443:H445" si="108">+F443-G443</f>
        <v>5695000</v>
      </c>
      <c r="I443" s="438">
        <v>5</v>
      </c>
      <c r="J443" s="438">
        <v>0.2</v>
      </c>
      <c r="K443" s="74">
        <v>1</v>
      </c>
      <c r="L443" s="437">
        <f t="shared" si="102"/>
        <v>94917</v>
      </c>
      <c r="M443" s="271">
        <f t="shared" si="103"/>
        <v>94917</v>
      </c>
      <c r="N443" s="184">
        <f t="shared" si="104"/>
        <v>5600083</v>
      </c>
      <c r="O443" s="516" t="s">
        <v>3046</v>
      </c>
      <c r="P443" s="233">
        <v>1</v>
      </c>
      <c r="Q443" s="487"/>
      <c r="R443" s="23"/>
      <c r="S443" s="23"/>
      <c r="T443" s="23"/>
      <c r="U443" s="23"/>
      <c r="V443" s="10"/>
      <c r="W443" s="10"/>
      <c r="X443" s="10"/>
    </row>
    <row r="444" spans="1:24" s="9" customFormat="1" ht="13.5" customHeight="1" x14ac:dyDescent="0.2">
      <c r="A444" s="273">
        <v>440</v>
      </c>
      <c r="B444" s="528" t="s">
        <v>3109</v>
      </c>
      <c r="C444" s="527">
        <v>44553</v>
      </c>
      <c r="D444" s="484"/>
      <c r="E444" s="484">
        <v>14500000</v>
      </c>
      <c r="F444" s="67">
        <f t="shared" si="107"/>
        <v>14500000</v>
      </c>
      <c r="G444" s="271"/>
      <c r="H444" s="184">
        <f t="shared" si="108"/>
        <v>14500000</v>
      </c>
      <c r="I444" s="438">
        <v>5</v>
      </c>
      <c r="J444" s="438">
        <v>0.2</v>
      </c>
      <c r="K444" s="74">
        <v>1</v>
      </c>
      <c r="L444" s="437">
        <f t="shared" si="102"/>
        <v>241667</v>
      </c>
      <c r="M444" s="271">
        <f t="shared" si="103"/>
        <v>241667</v>
      </c>
      <c r="N444" s="184">
        <f t="shared" si="104"/>
        <v>14258333</v>
      </c>
      <c r="O444" s="516" t="s">
        <v>1655</v>
      </c>
      <c r="P444" s="233">
        <v>1</v>
      </c>
      <c r="Q444" s="487"/>
      <c r="R444" s="23"/>
      <c r="S444" s="23"/>
      <c r="T444" s="23"/>
      <c r="U444" s="23"/>
      <c r="V444" s="10"/>
      <c r="W444" s="10"/>
      <c r="X444" s="10"/>
    </row>
    <row r="445" spans="1:24" s="9" customFormat="1" ht="13.5" customHeight="1" x14ac:dyDescent="0.2">
      <c r="A445" s="273">
        <v>441</v>
      </c>
      <c r="B445" s="528" t="s">
        <v>3110</v>
      </c>
      <c r="C445" s="527">
        <v>44553</v>
      </c>
      <c r="D445" s="484"/>
      <c r="E445" s="484">
        <v>18500000</v>
      </c>
      <c r="F445" s="67">
        <f t="shared" si="107"/>
        <v>18500000</v>
      </c>
      <c r="G445" s="271"/>
      <c r="H445" s="184">
        <f t="shared" si="108"/>
        <v>18500000</v>
      </c>
      <c r="I445" s="438">
        <v>5</v>
      </c>
      <c r="J445" s="438">
        <v>0.2</v>
      </c>
      <c r="K445" s="74">
        <v>1</v>
      </c>
      <c r="L445" s="437">
        <f t="shared" si="102"/>
        <v>308333</v>
      </c>
      <c r="M445" s="271">
        <f t="shared" si="103"/>
        <v>308333</v>
      </c>
      <c r="N445" s="184">
        <f t="shared" si="104"/>
        <v>18191667</v>
      </c>
      <c r="O445" s="516" t="s">
        <v>1655</v>
      </c>
      <c r="P445" s="233">
        <v>1</v>
      </c>
      <c r="Q445" s="487"/>
      <c r="R445" s="23"/>
      <c r="S445" s="23"/>
      <c r="T445" s="23"/>
      <c r="U445" s="23"/>
      <c r="V445" s="10"/>
      <c r="W445" s="10"/>
      <c r="X445" s="10"/>
    </row>
    <row r="446" spans="1:24" s="9" customFormat="1" ht="13.5" customHeight="1" thickBot="1" x14ac:dyDescent="0.25">
      <c r="A446" s="273">
        <v>442</v>
      </c>
      <c r="B446" s="541"/>
      <c r="C446" s="542"/>
      <c r="D446" s="543"/>
      <c r="E446" s="544"/>
      <c r="F446" s="67"/>
      <c r="G446" s="130"/>
      <c r="H446" s="184"/>
      <c r="I446" s="156"/>
      <c r="J446" s="156"/>
      <c r="K446" s="156"/>
      <c r="L446" s="155"/>
      <c r="M446" s="130"/>
      <c r="N446" s="184"/>
      <c r="O446" s="545"/>
      <c r="P446" s="545"/>
      <c r="Q446" s="546"/>
      <c r="R446" s="23"/>
      <c r="S446" s="23"/>
      <c r="T446" s="23"/>
      <c r="U446" s="23"/>
      <c r="V446" s="10"/>
      <c r="W446" s="191"/>
      <c r="X446" s="10"/>
    </row>
    <row r="447" spans="1:24" s="9" customFormat="1" ht="13.5" thickTop="1" thickBot="1" x14ac:dyDescent="0.25">
      <c r="A447" s="95"/>
      <c r="B447" s="278" t="s">
        <v>1679</v>
      </c>
      <c r="C447" s="547"/>
      <c r="D447" s="453">
        <f>ROUND(SUM(D5:D446),0)</f>
        <v>3273616772</v>
      </c>
      <c r="E447" s="454">
        <f>ROUND(SUM(E5:E446),0)</f>
        <v>125286819</v>
      </c>
      <c r="F447" s="453">
        <f>ROUND(SUM(F5:F446),0)</f>
        <v>3398903591</v>
      </c>
      <c r="G447" s="453">
        <f>ROUND(SUM(G5:G446),0)</f>
        <v>2777106742</v>
      </c>
      <c r="H447" s="453">
        <f>ROUND(SUM(H5:H446),0)</f>
        <v>621796849</v>
      </c>
      <c r="I447" s="453"/>
      <c r="J447" s="453"/>
      <c r="K447" s="453"/>
      <c r="L447" s="455">
        <f>ROUND(SUM(L5:L446),0)</f>
        <v>169666993</v>
      </c>
      <c r="M447" s="453">
        <f>ROUND(SUM(M5:M446),0)</f>
        <v>2946773735</v>
      </c>
      <c r="N447" s="453">
        <f>ROUND(SUM(N5:N446),0)</f>
        <v>452129856</v>
      </c>
      <c r="O447" s="548"/>
      <c r="P447" s="548"/>
      <c r="Q447" s="489"/>
      <c r="R447" s="23">
        <f>SUM(R5:R185)</f>
        <v>30200</v>
      </c>
      <c r="S447" s="23"/>
      <c r="T447" s="23"/>
      <c r="U447" s="23"/>
      <c r="W447" s="10">
        <f>SUM(W5:W446)</f>
        <v>59047443</v>
      </c>
    </row>
  </sheetData>
  <autoFilter ref="A4:AA447"/>
  <mergeCells count="2">
    <mergeCell ref="B1:Q1"/>
    <mergeCell ref="S3:T3"/>
  </mergeCells>
  <phoneticPr fontId="4" type="noConversion"/>
  <pageMargins left="0.41" right="0.23999999999999996" top="0.36" bottom="0.41" header="0.23999999999999996" footer="0.28999999999999998"/>
  <pageSetup paperSize="9" scale="65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zoomScaleNormal="100" workbookViewId="0">
      <pane xSplit="3" ySplit="4" topLeftCell="D173" activePane="bottomRight" state="frozenSplit"/>
      <selection activeCell="H18" sqref="H18"/>
      <selection pane="topRight" activeCell="H18" sqref="H18"/>
      <selection pane="bottomLeft" activeCell="H18" sqref="H18"/>
      <selection pane="bottomRight" activeCell="H18" sqref="H18"/>
    </sheetView>
  </sheetViews>
  <sheetFormatPr defaultRowHeight="16.5" x14ac:dyDescent="0.3"/>
  <cols>
    <col min="1" max="1" width="6.140625" style="48" customWidth="1"/>
    <col min="2" max="2" width="29.28515625" style="44" customWidth="1"/>
    <col min="3" max="3" width="12.5703125" style="44" customWidth="1"/>
    <col min="4" max="4" width="15.140625" style="44" customWidth="1"/>
    <col min="5" max="5" width="14.85546875" style="142" customWidth="1"/>
    <col min="6" max="6" width="13.85546875" style="44" customWidth="1"/>
    <col min="7" max="7" width="16.42578125" style="44" customWidth="1"/>
    <col min="8" max="8" width="15.140625" style="44" customWidth="1"/>
    <col min="9" max="9" width="5.140625" style="44" customWidth="1"/>
    <col min="10" max="10" width="7.42578125" style="44" customWidth="1"/>
    <col min="11" max="11" width="4.85546875" style="44" customWidth="1"/>
    <col min="12" max="12" width="15.140625" style="44" customWidth="1"/>
    <col min="13" max="14" width="16.42578125" style="44" customWidth="1"/>
    <col min="15" max="15" width="15.140625" style="9" customWidth="1"/>
    <col min="16" max="16" width="7.42578125" style="9" customWidth="1"/>
    <col min="17" max="17" width="10" style="44" customWidth="1"/>
    <col min="18" max="18" width="10.28515625" style="44" hidden="1" customWidth="1"/>
    <col min="19" max="19" width="11.42578125" style="44" hidden="1" customWidth="1"/>
    <col min="20" max="20" width="11.5703125" style="44" hidden="1" customWidth="1"/>
    <col min="21" max="24" width="11.42578125" style="44" hidden="1" customWidth="1"/>
    <col min="25" max="16384" width="9.140625" style="44"/>
  </cols>
  <sheetData>
    <row r="1" spans="1:24" ht="31.5" x14ac:dyDescent="0.55000000000000004">
      <c r="B1" s="847" t="s">
        <v>3098</v>
      </c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</row>
    <row r="3" spans="1:24" s="9" customFormat="1" ht="13.5" customHeight="1" thickBot="1" x14ac:dyDescent="0.25">
      <c r="A3" s="9" t="s">
        <v>588</v>
      </c>
      <c r="B3" s="549"/>
      <c r="E3" s="10"/>
      <c r="O3" s="45"/>
      <c r="P3" s="45"/>
      <c r="Q3" s="49" t="s">
        <v>82</v>
      </c>
      <c r="S3" s="848"/>
      <c r="T3" s="848"/>
    </row>
    <row r="4" spans="1:24" s="9" customFormat="1" ht="13.5" customHeight="1" thickBot="1" x14ac:dyDescent="0.25">
      <c r="A4" s="50" t="s">
        <v>44</v>
      </c>
      <c r="B4" s="51" t="s">
        <v>1680</v>
      </c>
      <c r="C4" s="52" t="s">
        <v>84</v>
      </c>
      <c r="D4" s="53" t="s">
        <v>85</v>
      </c>
      <c r="E4" s="135" t="s">
        <v>1681</v>
      </c>
      <c r="F4" s="53" t="s">
        <v>87</v>
      </c>
      <c r="G4" s="53" t="s">
        <v>1682</v>
      </c>
      <c r="H4" s="53" t="s">
        <v>1683</v>
      </c>
      <c r="I4" s="53" t="s">
        <v>51</v>
      </c>
      <c r="J4" s="53" t="s">
        <v>89</v>
      </c>
      <c r="K4" s="53" t="s">
        <v>596</v>
      </c>
      <c r="L4" s="53" t="s">
        <v>1684</v>
      </c>
      <c r="M4" s="53" t="s">
        <v>1685</v>
      </c>
      <c r="N4" s="53" t="s">
        <v>93</v>
      </c>
      <c r="O4" s="54" t="s">
        <v>94</v>
      </c>
      <c r="P4" s="54" t="s">
        <v>95</v>
      </c>
      <c r="Q4" s="55" t="s">
        <v>1686</v>
      </c>
      <c r="R4" s="9" t="s">
        <v>96</v>
      </c>
      <c r="S4" s="45" t="s">
        <v>199</v>
      </c>
      <c r="T4" s="45" t="s">
        <v>200</v>
      </c>
      <c r="U4" s="9" t="s">
        <v>1687</v>
      </c>
      <c r="V4" s="9" t="s">
        <v>1688</v>
      </c>
      <c r="W4" s="9" t="s">
        <v>1689</v>
      </c>
      <c r="X4" s="9" t="s">
        <v>1690</v>
      </c>
    </row>
    <row r="5" spans="1:24" s="9" customFormat="1" ht="13.5" customHeight="1" thickTop="1" x14ac:dyDescent="0.2">
      <c r="A5" s="550" t="s">
        <v>60</v>
      </c>
      <c r="B5" s="551" t="s">
        <v>1691</v>
      </c>
      <c r="C5" s="552">
        <v>36591</v>
      </c>
      <c r="D5" s="424">
        <v>11727273</v>
      </c>
      <c r="E5" s="553"/>
      <c r="F5" s="59">
        <f t="shared" ref="F5:F31" si="0">+D5+E5</f>
        <v>11727273</v>
      </c>
      <c r="G5" s="59">
        <v>11726273</v>
      </c>
      <c r="H5" s="59">
        <f t="shared" ref="H5:H68" si="1">+F5-G5</f>
        <v>1000</v>
      </c>
      <c r="I5" s="60">
        <v>5</v>
      </c>
      <c r="J5" s="60">
        <v>0.2</v>
      </c>
      <c r="K5" s="68">
        <v>0</v>
      </c>
      <c r="L5" s="67"/>
      <c r="M5" s="59">
        <f t="shared" ref="M5:M68" si="2">+G5+L5</f>
        <v>11726273</v>
      </c>
      <c r="N5" s="59">
        <f t="shared" ref="N5:N68" si="3">+F5-M5</f>
        <v>1000</v>
      </c>
      <c r="O5" s="69"/>
      <c r="P5" s="554"/>
      <c r="Q5" s="138"/>
      <c r="R5" s="23"/>
      <c r="S5" s="23">
        <f t="shared" ref="S5:S68" si="4">D5*0.05</f>
        <v>586363.65</v>
      </c>
      <c r="T5" s="23">
        <f t="shared" ref="T5:T68" si="5">N5-S5</f>
        <v>-585363.65</v>
      </c>
      <c r="U5" s="23">
        <f t="shared" ref="U5:U27" si="6">N5-1000</f>
        <v>0</v>
      </c>
      <c r="V5" s="10">
        <f t="shared" ref="V5:V68" si="7">F5/I5</f>
        <v>2345454.6</v>
      </c>
      <c r="W5" s="10">
        <f t="shared" ref="W5:W68" si="8">ROUND(IF(H5&lt;=1000,0,V5/12*0),0)</f>
        <v>0</v>
      </c>
      <c r="X5" s="10">
        <f t="shared" ref="X5:X68" si="9">L5-W5</f>
        <v>0</v>
      </c>
    </row>
    <row r="6" spans="1:24" s="9" customFormat="1" ht="13.5" customHeight="1" x14ac:dyDescent="0.2">
      <c r="A6" s="64">
        <f t="shared" ref="A6:A69" si="10">+A5+1</f>
        <v>2</v>
      </c>
      <c r="B6" s="555" t="s">
        <v>1692</v>
      </c>
      <c r="C6" s="369">
        <v>36616</v>
      </c>
      <c r="D6" s="175">
        <v>1400000</v>
      </c>
      <c r="E6" s="462"/>
      <c r="F6" s="67">
        <f t="shared" si="0"/>
        <v>1400000</v>
      </c>
      <c r="G6" s="67">
        <v>1399000</v>
      </c>
      <c r="H6" s="67">
        <f t="shared" si="1"/>
        <v>1000</v>
      </c>
      <c r="I6" s="68">
        <v>5</v>
      </c>
      <c r="J6" s="68">
        <v>0.2</v>
      </c>
      <c r="K6" s="68">
        <v>0</v>
      </c>
      <c r="L6" s="67"/>
      <c r="M6" s="67">
        <f t="shared" si="2"/>
        <v>1399000</v>
      </c>
      <c r="N6" s="67">
        <f t="shared" si="3"/>
        <v>1000</v>
      </c>
      <c r="O6" s="69"/>
      <c r="P6" s="69"/>
      <c r="Q6" s="464"/>
      <c r="R6" s="23"/>
      <c r="S6" s="23">
        <f t="shared" si="4"/>
        <v>70000</v>
      </c>
      <c r="T6" s="23">
        <f t="shared" si="5"/>
        <v>-69000</v>
      </c>
      <c r="U6" s="23">
        <f t="shared" si="6"/>
        <v>0</v>
      </c>
      <c r="V6" s="10">
        <f t="shared" si="7"/>
        <v>280000</v>
      </c>
      <c r="W6" s="10">
        <f t="shared" si="8"/>
        <v>0</v>
      </c>
      <c r="X6" s="10">
        <f t="shared" si="9"/>
        <v>0</v>
      </c>
    </row>
    <row r="7" spans="1:24" s="9" customFormat="1" ht="13.5" customHeight="1" x14ac:dyDescent="0.2">
      <c r="A7" s="64">
        <f t="shared" si="10"/>
        <v>3</v>
      </c>
      <c r="B7" s="555" t="s">
        <v>1693</v>
      </c>
      <c r="C7" s="369">
        <v>36619</v>
      </c>
      <c r="D7" s="175">
        <v>1150000</v>
      </c>
      <c r="E7" s="462"/>
      <c r="F7" s="67">
        <f t="shared" si="0"/>
        <v>1150000</v>
      </c>
      <c r="G7" s="67">
        <v>1149000</v>
      </c>
      <c r="H7" s="67">
        <f t="shared" si="1"/>
        <v>1000</v>
      </c>
      <c r="I7" s="68">
        <v>5</v>
      </c>
      <c r="J7" s="68">
        <v>0.2</v>
      </c>
      <c r="K7" s="68">
        <v>0</v>
      </c>
      <c r="L7" s="67"/>
      <c r="M7" s="67">
        <f t="shared" si="2"/>
        <v>1149000</v>
      </c>
      <c r="N7" s="67">
        <f t="shared" si="3"/>
        <v>1000</v>
      </c>
      <c r="O7" s="69"/>
      <c r="P7" s="69"/>
      <c r="Q7" s="464"/>
      <c r="R7" s="23"/>
      <c r="S7" s="23">
        <f t="shared" si="4"/>
        <v>57500</v>
      </c>
      <c r="T7" s="23">
        <f t="shared" si="5"/>
        <v>-56500</v>
      </c>
      <c r="U7" s="23">
        <f t="shared" si="6"/>
        <v>0</v>
      </c>
      <c r="V7" s="10">
        <f t="shared" si="7"/>
        <v>230000</v>
      </c>
      <c r="W7" s="10">
        <f t="shared" si="8"/>
        <v>0</v>
      </c>
      <c r="X7" s="10">
        <f t="shared" si="9"/>
        <v>0</v>
      </c>
    </row>
    <row r="8" spans="1:24" s="9" customFormat="1" ht="13.5" customHeight="1" x14ac:dyDescent="0.2">
      <c r="A8" s="64">
        <f t="shared" si="10"/>
        <v>4</v>
      </c>
      <c r="B8" s="555" t="s">
        <v>1009</v>
      </c>
      <c r="C8" s="369">
        <v>36622</v>
      </c>
      <c r="D8" s="175">
        <v>500000</v>
      </c>
      <c r="E8" s="462"/>
      <c r="F8" s="67">
        <f t="shared" si="0"/>
        <v>500000</v>
      </c>
      <c r="G8" s="67">
        <v>499000</v>
      </c>
      <c r="H8" s="67">
        <f t="shared" si="1"/>
        <v>1000</v>
      </c>
      <c r="I8" s="68">
        <v>5</v>
      </c>
      <c r="J8" s="68">
        <v>0.2</v>
      </c>
      <c r="K8" s="68">
        <v>0</v>
      </c>
      <c r="L8" s="67"/>
      <c r="M8" s="67">
        <f t="shared" si="2"/>
        <v>499000</v>
      </c>
      <c r="N8" s="67">
        <f t="shared" si="3"/>
        <v>1000</v>
      </c>
      <c r="O8" s="69"/>
      <c r="P8" s="69"/>
      <c r="Q8" s="464"/>
      <c r="R8" s="23"/>
      <c r="S8" s="23">
        <f t="shared" si="4"/>
        <v>25000</v>
      </c>
      <c r="T8" s="23">
        <f t="shared" si="5"/>
        <v>-24000</v>
      </c>
      <c r="U8" s="23">
        <f t="shared" si="6"/>
        <v>0</v>
      </c>
      <c r="V8" s="10">
        <f t="shared" si="7"/>
        <v>100000</v>
      </c>
      <c r="W8" s="10">
        <f t="shared" si="8"/>
        <v>0</v>
      </c>
      <c r="X8" s="10">
        <f t="shared" si="9"/>
        <v>0</v>
      </c>
    </row>
    <row r="9" spans="1:24" s="9" customFormat="1" ht="13.5" customHeight="1" x14ac:dyDescent="0.2">
      <c r="A9" s="64">
        <f t="shared" si="10"/>
        <v>5</v>
      </c>
      <c r="B9" s="555" t="s">
        <v>1694</v>
      </c>
      <c r="C9" s="369">
        <v>36763</v>
      </c>
      <c r="D9" s="175">
        <v>1880000</v>
      </c>
      <c r="E9" s="462"/>
      <c r="F9" s="67">
        <f t="shared" si="0"/>
        <v>1880000</v>
      </c>
      <c r="G9" s="67">
        <v>1879000</v>
      </c>
      <c r="H9" s="67">
        <f t="shared" si="1"/>
        <v>1000</v>
      </c>
      <c r="I9" s="68">
        <v>5</v>
      </c>
      <c r="J9" s="68">
        <v>0.2</v>
      </c>
      <c r="K9" s="68">
        <v>0</v>
      </c>
      <c r="L9" s="67"/>
      <c r="M9" s="67">
        <f t="shared" si="2"/>
        <v>1879000</v>
      </c>
      <c r="N9" s="67">
        <f t="shared" si="3"/>
        <v>1000</v>
      </c>
      <c r="O9" s="69"/>
      <c r="P9" s="69"/>
      <c r="Q9" s="464"/>
      <c r="R9" s="23">
        <f t="shared" ref="R9:R72" si="11">+N9*J9</f>
        <v>200</v>
      </c>
      <c r="S9" s="23">
        <f t="shared" si="4"/>
        <v>94000</v>
      </c>
      <c r="T9" s="23">
        <f t="shared" si="5"/>
        <v>-93000</v>
      </c>
      <c r="U9" s="23">
        <f t="shared" si="6"/>
        <v>0</v>
      </c>
      <c r="V9" s="10">
        <f t="shared" si="7"/>
        <v>376000</v>
      </c>
      <c r="W9" s="10">
        <f t="shared" si="8"/>
        <v>0</v>
      </c>
      <c r="X9" s="10">
        <f t="shared" si="9"/>
        <v>0</v>
      </c>
    </row>
    <row r="10" spans="1:24" s="9" customFormat="1" ht="13.5" customHeight="1" x14ac:dyDescent="0.2">
      <c r="A10" s="64">
        <f t="shared" si="10"/>
        <v>6</v>
      </c>
      <c r="B10" s="555" t="s">
        <v>1695</v>
      </c>
      <c r="C10" s="369">
        <v>36775</v>
      </c>
      <c r="D10" s="175">
        <v>2000000</v>
      </c>
      <c r="E10" s="462"/>
      <c r="F10" s="67">
        <f t="shared" si="0"/>
        <v>2000000</v>
      </c>
      <c r="G10" s="67">
        <v>1999000</v>
      </c>
      <c r="H10" s="67">
        <f t="shared" si="1"/>
        <v>1000</v>
      </c>
      <c r="I10" s="68">
        <v>5</v>
      </c>
      <c r="J10" s="68">
        <v>0.2</v>
      </c>
      <c r="K10" s="68">
        <v>0</v>
      </c>
      <c r="L10" s="67"/>
      <c r="M10" s="67">
        <f t="shared" si="2"/>
        <v>1999000</v>
      </c>
      <c r="N10" s="67">
        <f t="shared" si="3"/>
        <v>1000</v>
      </c>
      <c r="O10" s="69"/>
      <c r="P10" s="69"/>
      <c r="Q10" s="464"/>
      <c r="R10" s="23">
        <f t="shared" si="11"/>
        <v>200</v>
      </c>
      <c r="S10" s="23">
        <f t="shared" si="4"/>
        <v>100000</v>
      </c>
      <c r="T10" s="23">
        <f t="shared" si="5"/>
        <v>-99000</v>
      </c>
      <c r="U10" s="23">
        <f t="shared" si="6"/>
        <v>0</v>
      </c>
      <c r="V10" s="10">
        <f t="shared" si="7"/>
        <v>400000</v>
      </c>
      <c r="W10" s="10">
        <f t="shared" si="8"/>
        <v>0</v>
      </c>
      <c r="X10" s="10">
        <f t="shared" si="9"/>
        <v>0</v>
      </c>
    </row>
    <row r="11" spans="1:24" s="9" customFormat="1" ht="13.5" customHeight="1" x14ac:dyDescent="0.2">
      <c r="A11" s="64">
        <f t="shared" si="10"/>
        <v>7</v>
      </c>
      <c r="B11" s="555" t="s">
        <v>1696</v>
      </c>
      <c r="C11" s="369">
        <v>36775</v>
      </c>
      <c r="D11" s="175">
        <v>3180000</v>
      </c>
      <c r="E11" s="462"/>
      <c r="F11" s="67">
        <f t="shared" si="0"/>
        <v>3180000</v>
      </c>
      <c r="G11" s="67">
        <v>3179000</v>
      </c>
      <c r="H11" s="67">
        <f t="shared" si="1"/>
        <v>1000</v>
      </c>
      <c r="I11" s="68">
        <v>5</v>
      </c>
      <c r="J11" s="68">
        <v>0.2</v>
      </c>
      <c r="K11" s="68">
        <v>0</v>
      </c>
      <c r="L11" s="67"/>
      <c r="M11" s="67">
        <f t="shared" si="2"/>
        <v>3179000</v>
      </c>
      <c r="N11" s="67">
        <f t="shared" si="3"/>
        <v>1000</v>
      </c>
      <c r="O11" s="69"/>
      <c r="P11" s="69"/>
      <c r="Q11" s="464"/>
      <c r="R11" s="23">
        <f t="shared" si="11"/>
        <v>200</v>
      </c>
      <c r="S11" s="23">
        <f t="shared" si="4"/>
        <v>159000</v>
      </c>
      <c r="T11" s="23">
        <f t="shared" si="5"/>
        <v>-158000</v>
      </c>
      <c r="U11" s="23">
        <f t="shared" si="6"/>
        <v>0</v>
      </c>
      <c r="V11" s="10">
        <f t="shared" si="7"/>
        <v>636000</v>
      </c>
      <c r="W11" s="10">
        <f t="shared" si="8"/>
        <v>0</v>
      </c>
      <c r="X11" s="10">
        <f t="shared" si="9"/>
        <v>0</v>
      </c>
    </row>
    <row r="12" spans="1:24" s="9" customFormat="1" ht="13.5" customHeight="1" x14ac:dyDescent="0.2">
      <c r="A12" s="64">
        <f t="shared" si="10"/>
        <v>8</v>
      </c>
      <c r="B12" s="555" t="s">
        <v>1697</v>
      </c>
      <c r="C12" s="369">
        <v>36775</v>
      </c>
      <c r="D12" s="175">
        <v>11700000</v>
      </c>
      <c r="E12" s="462"/>
      <c r="F12" s="67">
        <f t="shared" si="0"/>
        <v>11700000</v>
      </c>
      <c r="G12" s="67">
        <v>11699000</v>
      </c>
      <c r="H12" s="67">
        <f t="shared" si="1"/>
        <v>1000</v>
      </c>
      <c r="I12" s="68">
        <v>5</v>
      </c>
      <c r="J12" s="68">
        <v>0.2</v>
      </c>
      <c r="K12" s="68">
        <v>0</v>
      </c>
      <c r="L12" s="67"/>
      <c r="M12" s="67">
        <f t="shared" si="2"/>
        <v>11699000</v>
      </c>
      <c r="N12" s="67">
        <f t="shared" si="3"/>
        <v>1000</v>
      </c>
      <c r="O12" s="69"/>
      <c r="P12" s="69"/>
      <c r="Q12" s="464"/>
      <c r="R12" s="23">
        <f t="shared" si="11"/>
        <v>200</v>
      </c>
      <c r="S12" s="23">
        <f t="shared" si="4"/>
        <v>585000</v>
      </c>
      <c r="T12" s="23">
        <f t="shared" si="5"/>
        <v>-584000</v>
      </c>
      <c r="U12" s="23">
        <f t="shared" si="6"/>
        <v>0</v>
      </c>
      <c r="V12" s="10">
        <f t="shared" si="7"/>
        <v>2340000</v>
      </c>
      <c r="W12" s="10">
        <f t="shared" si="8"/>
        <v>0</v>
      </c>
      <c r="X12" s="10">
        <f t="shared" si="9"/>
        <v>0</v>
      </c>
    </row>
    <row r="13" spans="1:24" s="9" customFormat="1" ht="13.5" customHeight="1" x14ac:dyDescent="0.2">
      <c r="A13" s="64">
        <f t="shared" si="10"/>
        <v>9</v>
      </c>
      <c r="B13" s="551" t="s">
        <v>1697</v>
      </c>
      <c r="C13" s="423">
        <v>36890</v>
      </c>
      <c r="D13" s="424">
        <v>27300000</v>
      </c>
      <c r="E13" s="553"/>
      <c r="F13" s="426">
        <f t="shared" si="0"/>
        <v>27300000</v>
      </c>
      <c r="G13" s="426">
        <v>27299000</v>
      </c>
      <c r="H13" s="426">
        <f t="shared" si="1"/>
        <v>1000</v>
      </c>
      <c r="I13" s="556">
        <v>5</v>
      </c>
      <c r="J13" s="556">
        <v>0.2</v>
      </c>
      <c r="K13" s="68">
        <v>0</v>
      </c>
      <c r="L13" s="67"/>
      <c r="M13" s="426">
        <f t="shared" si="2"/>
        <v>27299000</v>
      </c>
      <c r="N13" s="426">
        <f t="shared" si="3"/>
        <v>1000</v>
      </c>
      <c r="O13" s="69"/>
      <c r="P13" s="69"/>
      <c r="Q13" s="557"/>
      <c r="R13" s="23">
        <f t="shared" si="11"/>
        <v>200</v>
      </c>
      <c r="S13" s="23">
        <f t="shared" si="4"/>
        <v>1365000</v>
      </c>
      <c r="T13" s="23">
        <f t="shared" si="5"/>
        <v>-1364000</v>
      </c>
      <c r="U13" s="23">
        <f t="shared" si="6"/>
        <v>0</v>
      </c>
      <c r="V13" s="10">
        <f t="shared" si="7"/>
        <v>5460000</v>
      </c>
      <c r="W13" s="10">
        <f t="shared" si="8"/>
        <v>0</v>
      </c>
      <c r="X13" s="10">
        <f t="shared" si="9"/>
        <v>0</v>
      </c>
    </row>
    <row r="14" spans="1:24" s="9" customFormat="1" ht="13.5" customHeight="1" x14ac:dyDescent="0.2">
      <c r="A14" s="64">
        <f t="shared" si="10"/>
        <v>10</v>
      </c>
      <c r="B14" s="555" t="s">
        <v>1698</v>
      </c>
      <c r="C14" s="369">
        <v>36922</v>
      </c>
      <c r="D14" s="175">
        <v>6836750</v>
      </c>
      <c r="E14" s="462"/>
      <c r="F14" s="67">
        <f t="shared" si="0"/>
        <v>6836750</v>
      </c>
      <c r="G14" s="67">
        <v>6835750</v>
      </c>
      <c r="H14" s="67">
        <f t="shared" si="1"/>
        <v>1000</v>
      </c>
      <c r="I14" s="68">
        <v>5</v>
      </c>
      <c r="J14" s="68">
        <v>0.2</v>
      </c>
      <c r="K14" s="68">
        <v>0</v>
      </c>
      <c r="L14" s="67"/>
      <c r="M14" s="67">
        <f t="shared" si="2"/>
        <v>6835750</v>
      </c>
      <c r="N14" s="67">
        <f t="shared" si="3"/>
        <v>1000</v>
      </c>
      <c r="O14" s="69"/>
      <c r="P14" s="69"/>
      <c r="Q14" s="464"/>
      <c r="R14" s="23">
        <f t="shared" si="11"/>
        <v>200</v>
      </c>
      <c r="S14" s="23">
        <f t="shared" si="4"/>
        <v>341837.5</v>
      </c>
      <c r="T14" s="23">
        <f t="shared" si="5"/>
        <v>-340837.5</v>
      </c>
      <c r="U14" s="23">
        <f t="shared" si="6"/>
        <v>0</v>
      </c>
      <c r="V14" s="10">
        <f t="shared" si="7"/>
        <v>1367350</v>
      </c>
      <c r="W14" s="10">
        <f t="shared" si="8"/>
        <v>0</v>
      </c>
      <c r="X14" s="10">
        <f t="shared" si="9"/>
        <v>0</v>
      </c>
    </row>
    <row r="15" spans="1:24" s="9" customFormat="1" ht="13.5" customHeight="1" x14ac:dyDescent="0.2">
      <c r="A15" s="64">
        <f t="shared" si="10"/>
        <v>11</v>
      </c>
      <c r="B15" s="555" t="s">
        <v>1698</v>
      </c>
      <c r="C15" s="369">
        <v>36932</v>
      </c>
      <c r="D15" s="175">
        <v>16935705</v>
      </c>
      <c r="E15" s="462"/>
      <c r="F15" s="67">
        <f t="shared" si="0"/>
        <v>16935705</v>
      </c>
      <c r="G15" s="67">
        <v>16934705</v>
      </c>
      <c r="H15" s="67">
        <f t="shared" si="1"/>
        <v>1000</v>
      </c>
      <c r="I15" s="68">
        <v>5</v>
      </c>
      <c r="J15" s="68">
        <v>0.2</v>
      </c>
      <c r="K15" s="68">
        <v>0</v>
      </c>
      <c r="L15" s="67"/>
      <c r="M15" s="67">
        <f t="shared" si="2"/>
        <v>16934705</v>
      </c>
      <c r="N15" s="67">
        <f t="shared" si="3"/>
        <v>1000</v>
      </c>
      <c r="O15" s="69"/>
      <c r="P15" s="69"/>
      <c r="Q15" s="464"/>
      <c r="R15" s="23">
        <f t="shared" si="11"/>
        <v>200</v>
      </c>
      <c r="S15" s="23">
        <f t="shared" si="4"/>
        <v>846785.25</v>
      </c>
      <c r="T15" s="23">
        <f t="shared" si="5"/>
        <v>-845785.25</v>
      </c>
      <c r="U15" s="23">
        <f t="shared" si="6"/>
        <v>0</v>
      </c>
      <c r="V15" s="10">
        <f t="shared" si="7"/>
        <v>3387141</v>
      </c>
      <c r="W15" s="10">
        <f t="shared" si="8"/>
        <v>0</v>
      </c>
      <c r="X15" s="10">
        <f t="shared" si="9"/>
        <v>0</v>
      </c>
    </row>
    <row r="16" spans="1:24" s="9" customFormat="1" ht="13.5" customHeight="1" x14ac:dyDescent="0.2">
      <c r="A16" s="64">
        <f t="shared" si="10"/>
        <v>12</v>
      </c>
      <c r="B16" s="555" t="s">
        <v>1699</v>
      </c>
      <c r="C16" s="369">
        <v>37036</v>
      </c>
      <c r="D16" s="175">
        <v>425000</v>
      </c>
      <c r="E16" s="462"/>
      <c r="F16" s="67">
        <f t="shared" si="0"/>
        <v>425000</v>
      </c>
      <c r="G16" s="67">
        <v>424000</v>
      </c>
      <c r="H16" s="67">
        <f t="shared" si="1"/>
        <v>1000</v>
      </c>
      <c r="I16" s="68">
        <v>5</v>
      </c>
      <c r="J16" s="68">
        <v>0.2</v>
      </c>
      <c r="K16" s="68">
        <v>0</v>
      </c>
      <c r="L16" s="67"/>
      <c r="M16" s="67">
        <f t="shared" si="2"/>
        <v>424000</v>
      </c>
      <c r="N16" s="67">
        <f t="shared" si="3"/>
        <v>1000</v>
      </c>
      <c r="O16" s="69"/>
      <c r="P16" s="69"/>
      <c r="Q16" s="464"/>
      <c r="R16" s="23">
        <f t="shared" si="11"/>
        <v>200</v>
      </c>
      <c r="S16" s="23">
        <f t="shared" si="4"/>
        <v>21250</v>
      </c>
      <c r="T16" s="23">
        <f t="shared" si="5"/>
        <v>-20250</v>
      </c>
      <c r="U16" s="23">
        <f t="shared" si="6"/>
        <v>0</v>
      </c>
      <c r="V16" s="10">
        <f t="shared" si="7"/>
        <v>85000</v>
      </c>
      <c r="W16" s="10">
        <f t="shared" si="8"/>
        <v>0</v>
      </c>
      <c r="X16" s="10">
        <f t="shared" si="9"/>
        <v>0</v>
      </c>
    </row>
    <row r="17" spans="1:24" s="9" customFormat="1" ht="13.5" customHeight="1" x14ac:dyDescent="0.2">
      <c r="A17" s="64">
        <f t="shared" si="10"/>
        <v>13</v>
      </c>
      <c r="B17" s="555" t="s">
        <v>1700</v>
      </c>
      <c r="C17" s="369">
        <v>37040</v>
      </c>
      <c r="D17" s="175">
        <v>1600000</v>
      </c>
      <c r="E17" s="462"/>
      <c r="F17" s="67">
        <f t="shared" si="0"/>
        <v>1600000</v>
      </c>
      <c r="G17" s="67">
        <v>1599000</v>
      </c>
      <c r="H17" s="67">
        <f t="shared" si="1"/>
        <v>1000</v>
      </c>
      <c r="I17" s="68">
        <v>5</v>
      </c>
      <c r="J17" s="68">
        <v>0.2</v>
      </c>
      <c r="K17" s="68">
        <v>0</v>
      </c>
      <c r="L17" s="67"/>
      <c r="M17" s="67">
        <f t="shared" si="2"/>
        <v>1599000</v>
      </c>
      <c r="N17" s="67">
        <f t="shared" si="3"/>
        <v>1000</v>
      </c>
      <c r="O17" s="69"/>
      <c r="P17" s="69"/>
      <c r="Q17" s="464"/>
      <c r="R17" s="23">
        <f t="shared" si="11"/>
        <v>200</v>
      </c>
      <c r="S17" s="23">
        <f t="shared" si="4"/>
        <v>80000</v>
      </c>
      <c r="T17" s="23">
        <f t="shared" si="5"/>
        <v>-79000</v>
      </c>
      <c r="U17" s="23">
        <f t="shared" si="6"/>
        <v>0</v>
      </c>
      <c r="V17" s="10">
        <f t="shared" si="7"/>
        <v>320000</v>
      </c>
      <c r="W17" s="10">
        <f t="shared" si="8"/>
        <v>0</v>
      </c>
      <c r="X17" s="10">
        <f t="shared" si="9"/>
        <v>0</v>
      </c>
    </row>
    <row r="18" spans="1:24" s="9" customFormat="1" ht="13.5" customHeight="1" x14ac:dyDescent="0.2">
      <c r="A18" s="64">
        <f t="shared" si="10"/>
        <v>14</v>
      </c>
      <c r="B18" s="555" t="s">
        <v>1701</v>
      </c>
      <c r="C18" s="369">
        <v>37056</v>
      </c>
      <c r="D18" s="175">
        <v>800000</v>
      </c>
      <c r="E18" s="462"/>
      <c r="F18" s="67">
        <f t="shared" si="0"/>
        <v>800000</v>
      </c>
      <c r="G18" s="67">
        <v>799000</v>
      </c>
      <c r="H18" s="67">
        <f t="shared" si="1"/>
        <v>1000</v>
      </c>
      <c r="I18" s="68">
        <v>5</v>
      </c>
      <c r="J18" s="68">
        <v>0.2</v>
      </c>
      <c r="K18" s="68">
        <v>0</v>
      </c>
      <c r="L18" s="67"/>
      <c r="M18" s="67">
        <f t="shared" si="2"/>
        <v>799000</v>
      </c>
      <c r="N18" s="67">
        <f t="shared" si="3"/>
        <v>1000</v>
      </c>
      <c r="O18" s="69"/>
      <c r="P18" s="69"/>
      <c r="Q18" s="464"/>
      <c r="R18" s="23">
        <f t="shared" si="11"/>
        <v>200</v>
      </c>
      <c r="S18" s="23">
        <f t="shared" si="4"/>
        <v>40000</v>
      </c>
      <c r="T18" s="23">
        <f t="shared" si="5"/>
        <v>-39000</v>
      </c>
      <c r="U18" s="23">
        <f t="shared" si="6"/>
        <v>0</v>
      </c>
      <c r="V18" s="10">
        <f t="shared" si="7"/>
        <v>160000</v>
      </c>
      <c r="W18" s="10">
        <f t="shared" si="8"/>
        <v>0</v>
      </c>
      <c r="X18" s="10">
        <f t="shared" si="9"/>
        <v>0</v>
      </c>
    </row>
    <row r="19" spans="1:24" s="9" customFormat="1" ht="13.5" customHeight="1" x14ac:dyDescent="0.2">
      <c r="A19" s="64">
        <f t="shared" si="10"/>
        <v>15</v>
      </c>
      <c r="B19" s="555" t="s">
        <v>1702</v>
      </c>
      <c r="C19" s="369">
        <v>37068</v>
      </c>
      <c r="D19" s="175">
        <v>2100000</v>
      </c>
      <c r="E19" s="462"/>
      <c r="F19" s="67">
        <f t="shared" si="0"/>
        <v>2100000</v>
      </c>
      <c r="G19" s="67">
        <v>2099000</v>
      </c>
      <c r="H19" s="67">
        <f t="shared" si="1"/>
        <v>1000</v>
      </c>
      <c r="I19" s="68">
        <v>5</v>
      </c>
      <c r="J19" s="68">
        <v>0.2</v>
      </c>
      <c r="K19" s="68">
        <v>0</v>
      </c>
      <c r="L19" s="67"/>
      <c r="M19" s="67">
        <f t="shared" si="2"/>
        <v>2099000</v>
      </c>
      <c r="N19" s="67">
        <f t="shared" si="3"/>
        <v>1000</v>
      </c>
      <c r="O19" s="69"/>
      <c r="P19" s="69"/>
      <c r="Q19" s="464"/>
      <c r="R19" s="23">
        <f t="shared" si="11"/>
        <v>200</v>
      </c>
      <c r="S19" s="23">
        <f t="shared" si="4"/>
        <v>105000</v>
      </c>
      <c r="T19" s="23">
        <f t="shared" si="5"/>
        <v>-104000</v>
      </c>
      <c r="U19" s="23">
        <f t="shared" si="6"/>
        <v>0</v>
      </c>
      <c r="V19" s="10">
        <f t="shared" si="7"/>
        <v>420000</v>
      </c>
      <c r="W19" s="10">
        <f t="shared" si="8"/>
        <v>0</v>
      </c>
      <c r="X19" s="10">
        <f t="shared" si="9"/>
        <v>0</v>
      </c>
    </row>
    <row r="20" spans="1:24" s="9" customFormat="1" ht="13.5" customHeight="1" x14ac:dyDescent="0.2">
      <c r="A20" s="64">
        <f t="shared" si="10"/>
        <v>16</v>
      </c>
      <c r="B20" s="555" t="s">
        <v>1702</v>
      </c>
      <c r="C20" s="369">
        <v>37072</v>
      </c>
      <c r="D20" s="175">
        <v>4900000</v>
      </c>
      <c r="E20" s="462"/>
      <c r="F20" s="67">
        <f t="shared" si="0"/>
        <v>4900000</v>
      </c>
      <c r="G20" s="67">
        <v>4899000</v>
      </c>
      <c r="H20" s="67">
        <f t="shared" si="1"/>
        <v>1000</v>
      </c>
      <c r="I20" s="68">
        <v>5</v>
      </c>
      <c r="J20" s="68">
        <v>0.2</v>
      </c>
      <c r="K20" s="68">
        <v>0</v>
      </c>
      <c r="L20" s="67"/>
      <c r="M20" s="67">
        <f t="shared" si="2"/>
        <v>4899000</v>
      </c>
      <c r="N20" s="67">
        <f t="shared" si="3"/>
        <v>1000</v>
      </c>
      <c r="O20" s="69"/>
      <c r="P20" s="69"/>
      <c r="Q20" s="464"/>
      <c r="R20" s="23">
        <f t="shared" si="11"/>
        <v>200</v>
      </c>
      <c r="S20" s="23">
        <f t="shared" si="4"/>
        <v>245000</v>
      </c>
      <c r="T20" s="23">
        <f t="shared" si="5"/>
        <v>-244000</v>
      </c>
      <c r="U20" s="23">
        <f t="shared" si="6"/>
        <v>0</v>
      </c>
      <c r="V20" s="10">
        <f t="shared" si="7"/>
        <v>980000</v>
      </c>
      <c r="W20" s="10">
        <f t="shared" si="8"/>
        <v>0</v>
      </c>
      <c r="X20" s="10">
        <f t="shared" si="9"/>
        <v>0</v>
      </c>
    </row>
    <row r="21" spans="1:24" s="9" customFormat="1" ht="13.5" customHeight="1" x14ac:dyDescent="0.2">
      <c r="A21" s="64">
        <f t="shared" si="10"/>
        <v>17</v>
      </c>
      <c r="B21" s="555" t="s">
        <v>1703</v>
      </c>
      <c r="C21" s="369">
        <v>37085</v>
      </c>
      <c r="D21" s="175">
        <v>5172727</v>
      </c>
      <c r="E21" s="462"/>
      <c r="F21" s="67">
        <f t="shared" si="0"/>
        <v>5172727</v>
      </c>
      <c r="G21" s="67">
        <v>5171727</v>
      </c>
      <c r="H21" s="67">
        <f t="shared" si="1"/>
        <v>1000</v>
      </c>
      <c r="I21" s="68">
        <v>5</v>
      </c>
      <c r="J21" s="68">
        <v>0.2</v>
      </c>
      <c r="K21" s="68">
        <v>0</v>
      </c>
      <c r="L21" s="67"/>
      <c r="M21" s="67">
        <f t="shared" si="2"/>
        <v>5171727</v>
      </c>
      <c r="N21" s="67">
        <f t="shared" si="3"/>
        <v>1000</v>
      </c>
      <c r="O21" s="69"/>
      <c r="P21" s="69"/>
      <c r="Q21" s="464"/>
      <c r="R21" s="23">
        <f t="shared" si="11"/>
        <v>200</v>
      </c>
      <c r="S21" s="23">
        <f t="shared" si="4"/>
        <v>258636.35</v>
      </c>
      <c r="T21" s="23">
        <f t="shared" si="5"/>
        <v>-257636.35</v>
      </c>
      <c r="U21" s="23">
        <f t="shared" si="6"/>
        <v>0</v>
      </c>
      <c r="V21" s="10">
        <f t="shared" si="7"/>
        <v>1034545.4</v>
      </c>
      <c r="W21" s="10">
        <f t="shared" si="8"/>
        <v>0</v>
      </c>
      <c r="X21" s="10">
        <f t="shared" si="9"/>
        <v>0</v>
      </c>
    </row>
    <row r="22" spans="1:24" s="9" customFormat="1" ht="13.5" customHeight="1" x14ac:dyDescent="0.2">
      <c r="A22" s="64">
        <f t="shared" si="10"/>
        <v>18</v>
      </c>
      <c r="B22" s="555" t="s">
        <v>1704</v>
      </c>
      <c r="C22" s="369">
        <v>37144</v>
      </c>
      <c r="D22" s="175">
        <v>2500000</v>
      </c>
      <c r="E22" s="462"/>
      <c r="F22" s="67">
        <f t="shared" si="0"/>
        <v>2500000</v>
      </c>
      <c r="G22" s="67">
        <v>2499000</v>
      </c>
      <c r="H22" s="67">
        <f t="shared" si="1"/>
        <v>1000</v>
      </c>
      <c r="I22" s="68">
        <v>5</v>
      </c>
      <c r="J22" s="68">
        <v>0.2</v>
      </c>
      <c r="K22" s="68">
        <v>0</v>
      </c>
      <c r="L22" s="67"/>
      <c r="M22" s="67">
        <f t="shared" si="2"/>
        <v>2499000</v>
      </c>
      <c r="N22" s="67">
        <f t="shared" si="3"/>
        <v>1000</v>
      </c>
      <c r="O22" s="111"/>
      <c r="P22" s="111"/>
      <c r="Q22" s="464"/>
      <c r="R22" s="23">
        <f t="shared" si="11"/>
        <v>200</v>
      </c>
      <c r="S22" s="23">
        <f t="shared" si="4"/>
        <v>125000</v>
      </c>
      <c r="T22" s="23">
        <f t="shared" si="5"/>
        <v>-124000</v>
      </c>
      <c r="U22" s="23">
        <f t="shared" si="6"/>
        <v>0</v>
      </c>
      <c r="V22" s="10">
        <f t="shared" si="7"/>
        <v>500000</v>
      </c>
      <c r="W22" s="10">
        <f t="shared" si="8"/>
        <v>0</v>
      </c>
      <c r="X22" s="10">
        <f t="shared" si="9"/>
        <v>0</v>
      </c>
    </row>
    <row r="23" spans="1:24" s="9" customFormat="1" ht="13.5" customHeight="1" x14ac:dyDescent="0.2">
      <c r="A23" s="64">
        <f t="shared" si="10"/>
        <v>19</v>
      </c>
      <c r="B23" s="555" t="s">
        <v>1705</v>
      </c>
      <c r="C23" s="369">
        <v>37163</v>
      </c>
      <c r="D23" s="175">
        <v>800000</v>
      </c>
      <c r="E23" s="462"/>
      <c r="F23" s="67">
        <f t="shared" si="0"/>
        <v>800000</v>
      </c>
      <c r="G23" s="67">
        <v>799000</v>
      </c>
      <c r="H23" s="67">
        <f t="shared" si="1"/>
        <v>1000</v>
      </c>
      <c r="I23" s="68">
        <v>5</v>
      </c>
      <c r="J23" s="68">
        <v>0.2</v>
      </c>
      <c r="K23" s="68">
        <v>0</v>
      </c>
      <c r="L23" s="67"/>
      <c r="M23" s="67">
        <f t="shared" si="2"/>
        <v>799000</v>
      </c>
      <c r="N23" s="67">
        <f t="shared" si="3"/>
        <v>1000</v>
      </c>
      <c r="O23" s="111"/>
      <c r="P23" s="111"/>
      <c r="Q23" s="464"/>
      <c r="R23" s="23">
        <f t="shared" si="11"/>
        <v>200</v>
      </c>
      <c r="S23" s="23">
        <f t="shared" si="4"/>
        <v>40000</v>
      </c>
      <c r="T23" s="23">
        <f t="shared" si="5"/>
        <v>-39000</v>
      </c>
      <c r="U23" s="23">
        <f t="shared" si="6"/>
        <v>0</v>
      </c>
      <c r="V23" s="10">
        <f t="shared" si="7"/>
        <v>160000</v>
      </c>
      <c r="W23" s="10">
        <f t="shared" si="8"/>
        <v>0</v>
      </c>
      <c r="X23" s="10">
        <f t="shared" si="9"/>
        <v>0</v>
      </c>
    </row>
    <row r="24" spans="1:24" s="9" customFormat="1" ht="13.5" customHeight="1" x14ac:dyDescent="0.2">
      <c r="A24" s="64">
        <f t="shared" si="10"/>
        <v>20</v>
      </c>
      <c r="B24" s="555" t="s">
        <v>1705</v>
      </c>
      <c r="C24" s="369">
        <v>37163</v>
      </c>
      <c r="D24" s="175">
        <v>2500000</v>
      </c>
      <c r="E24" s="462"/>
      <c r="F24" s="67">
        <f t="shared" si="0"/>
        <v>2500000</v>
      </c>
      <c r="G24" s="67">
        <v>2499000</v>
      </c>
      <c r="H24" s="67">
        <f t="shared" si="1"/>
        <v>1000</v>
      </c>
      <c r="I24" s="68">
        <v>5</v>
      </c>
      <c r="J24" s="68">
        <v>0.2</v>
      </c>
      <c r="K24" s="68">
        <v>0</v>
      </c>
      <c r="L24" s="67"/>
      <c r="M24" s="67">
        <f t="shared" si="2"/>
        <v>2499000</v>
      </c>
      <c r="N24" s="67">
        <f t="shared" si="3"/>
        <v>1000</v>
      </c>
      <c r="O24" s="111"/>
      <c r="P24" s="111"/>
      <c r="Q24" s="464"/>
      <c r="R24" s="23">
        <f t="shared" si="11"/>
        <v>200</v>
      </c>
      <c r="S24" s="23">
        <f t="shared" si="4"/>
        <v>125000</v>
      </c>
      <c r="T24" s="23">
        <f t="shared" si="5"/>
        <v>-124000</v>
      </c>
      <c r="U24" s="23">
        <f t="shared" si="6"/>
        <v>0</v>
      </c>
      <c r="V24" s="10">
        <f t="shared" si="7"/>
        <v>500000</v>
      </c>
      <c r="W24" s="10">
        <f t="shared" si="8"/>
        <v>0</v>
      </c>
      <c r="X24" s="10">
        <f t="shared" si="9"/>
        <v>0</v>
      </c>
    </row>
    <row r="25" spans="1:24" s="9" customFormat="1" ht="13.5" customHeight="1" x14ac:dyDescent="0.2">
      <c r="A25" s="64">
        <f t="shared" si="10"/>
        <v>21</v>
      </c>
      <c r="B25" s="109" t="s">
        <v>1706</v>
      </c>
      <c r="C25" s="163">
        <v>37181</v>
      </c>
      <c r="D25" s="175">
        <v>10000000</v>
      </c>
      <c r="E25" s="462"/>
      <c r="F25" s="67">
        <f t="shared" si="0"/>
        <v>10000000</v>
      </c>
      <c r="G25" s="67">
        <v>9999000</v>
      </c>
      <c r="H25" s="67">
        <f t="shared" si="1"/>
        <v>1000</v>
      </c>
      <c r="I25" s="68">
        <v>5</v>
      </c>
      <c r="J25" s="68">
        <v>0.2</v>
      </c>
      <c r="K25" s="68">
        <v>0</v>
      </c>
      <c r="L25" s="67"/>
      <c r="M25" s="67">
        <f t="shared" si="2"/>
        <v>9999000</v>
      </c>
      <c r="N25" s="67">
        <f t="shared" si="3"/>
        <v>1000</v>
      </c>
      <c r="O25" s="111"/>
      <c r="P25" s="111"/>
      <c r="Q25" s="464"/>
      <c r="R25" s="23">
        <f t="shared" si="11"/>
        <v>200</v>
      </c>
      <c r="S25" s="23">
        <f t="shared" si="4"/>
        <v>500000</v>
      </c>
      <c r="T25" s="23">
        <f t="shared" si="5"/>
        <v>-499000</v>
      </c>
      <c r="U25" s="23">
        <f t="shared" si="6"/>
        <v>0</v>
      </c>
      <c r="V25" s="10">
        <f t="shared" si="7"/>
        <v>2000000</v>
      </c>
      <c r="W25" s="10">
        <f t="shared" si="8"/>
        <v>0</v>
      </c>
      <c r="X25" s="10">
        <f t="shared" si="9"/>
        <v>0</v>
      </c>
    </row>
    <row r="26" spans="1:24" s="9" customFormat="1" ht="13.5" customHeight="1" x14ac:dyDescent="0.2">
      <c r="A26" s="64">
        <f t="shared" si="10"/>
        <v>22</v>
      </c>
      <c r="B26" s="109" t="s">
        <v>1707</v>
      </c>
      <c r="C26" s="163">
        <v>37201</v>
      </c>
      <c r="D26" s="175">
        <v>31200000</v>
      </c>
      <c r="E26" s="462"/>
      <c r="F26" s="67">
        <f t="shared" si="0"/>
        <v>31200000</v>
      </c>
      <c r="G26" s="67">
        <v>31199000</v>
      </c>
      <c r="H26" s="67">
        <f t="shared" si="1"/>
        <v>1000</v>
      </c>
      <c r="I26" s="68">
        <v>5</v>
      </c>
      <c r="J26" s="68">
        <v>0.2</v>
      </c>
      <c r="K26" s="68">
        <v>0</v>
      </c>
      <c r="L26" s="67"/>
      <c r="M26" s="67">
        <f t="shared" si="2"/>
        <v>31199000</v>
      </c>
      <c r="N26" s="67">
        <f t="shared" si="3"/>
        <v>1000</v>
      </c>
      <c r="O26" s="111" t="s">
        <v>1708</v>
      </c>
      <c r="P26" s="111">
        <v>1</v>
      </c>
      <c r="Q26" s="506"/>
      <c r="R26" s="23">
        <f t="shared" si="11"/>
        <v>200</v>
      </c>
      <c r="S26" s="23">
        <f t="shared" si="4"/>
        <v>1560000</v>
      </c>
      <c r="T26" s="23">
        <f t="shared" si="5"/>
        <v>-1559000</v>
      </c>
      <c r="U26" s="23">
        <f t="shared" si="6"/>
        <v>0</v>
      </c>
      <c r="V26" s="10">
        <f t="shared" si="7"/>
        <v>6240000</v>
      </c>
      <c r="W26" s="10">
        <f t="shared" si="8"/>
        <v>0</v>
      </c>
      <c r="X26" s="10">
        <f t="shared" si="9"/>
        <v>0</v>
      </c>
    </row>
    <row r="27" spans="1:24" s="9" customFormat="1" ht="13.5" customHeight="1" x14ac:dyDescent="0.2">
      <c r="A27" s="64">
        <f t="shared" si="10"/>
        <v>23</v>
      </c>
      <c r="B27" s="109" t="s">
        <v>1709</v>
      </c>
      <c r="C27" s="163">
        <v>37207</v>
      </c>
      <c r="D27" s="175">
        <v>22000000</v>
      </c>
      <c r="E27" s="462"/>
      <c r="F27" s="67">
        <f t="shared" si="0"/>
        <v>22000000</v>
      </c>
      <c r="G27" s="67">
        <v>21999000</v>
      </c>
      <c r="H27" s="67">
        <f t="shared" si="1"/>
        <v>1000</v>
      </c>
      <c r="I27" s="68">
        <v>5</v>
      </c>
      <c r="J27" s="68">
        <v>0.2</v>
      </c>
      <c r="K27" s="68">
        <v>0</v>
      </c>
      <c r="L27" s="67"/>
      <c r="M27" s="67">
        <f t="shared" si="2"/>
        <v>21999000</v>
      </c>
      <c r="N27" s="67">
        <f t="shared" si="3"/>
        <v>1000</v>
      </c>
      <c r="O27" s="111"/>
      <c r="P27" s="111"/>
      <c r="Q27" s="464"/>
      <c r="R27" s="23">
        <f t="shared" si="11"/>
        <v>200</v>
      </c>
      <c r="S27" s="23">
        <f t="shared" si="4"/>
        <v>1100000</v>
      </c>
      <c r="T27" s="23">
        <f t="shared" si="5"/>
        <v>-1099000</v>
      </c>
      <c r="U27" s="23">
        <f t="shared" si="6"/>
        <v>0</v>
      </c>
      <c r="V27" s="10">
        <f t="shared" si="7"/>
        <v>4400000</v>
      </c>
      <c r="W27" s="10">
        <f t="shared" si="8"/>
        <v>0</v>
      </c>
      <c r="X27" s="10">
        <f t="shared" si="9"/>
        <v>0</v>
      </c>
    </row>
    <row r="28" spans="1:24" s="9" customFormat="1" ht="13.5" customHeight="1" x14ac:dyDescent="0.2">
      <c r="A28" s="292">
        <f t="shared" si="10"/>
        <v>24</v>
      </c>
      <c r="B28" s="558" t="s">
        <v>1710</v>
      </c>
      <c r="C28" s="294">
        <v>37287</v>
      </c>
      <c r="D28" s="310">
        <v>0</v>
      </c>
      <c r="E28" s="468"/>
      <c r="F28" s="295">
        <f t="shared" si="0"/>
        <v>0</v>
      </c>
      <c r="G28" s="295">
        <v>0</v>
      </c>
      <c r="H28" s="295">
        <f t="shared" si="1"/>
        <v>0</v>
      </c>
      <c r="I28" s="296">
        <v>5</v>
      </c>
      <c r="J28" s="296">
        <v>0.2</v>
      </c>
      <c r="K28" s="296">
        <v>0</v>
      </c>
      <c r="L28" s="295"/>
      <c r="M28" s="295">
        <f t="shared" si="2"/>
        <v>0</v>
      </c>
      <c r="N28" s="295">
        <f t="shared" si="3"/>
        <v>0</v>
      </c>
      <c r="O28" s="297" t="s">
        <v>1711</v>
      </c>
      <c r="P28" s="297">
        <v>1</v>
      </c>
      <c r="Q28" s="298"/>
      <c r="R28" s="23">
        <f t="shared" si="11"/>
        <v>0</v>
      </c>
      <c r="S28" s="290">
        <f t="shared" si="4"/>
        <v>0</v>
      </c>
      <c r="T28" s="290">
        <f t="shared" si="5"/>
        <v>0</v>
      </c>
      <c r="U28" s="290"/>
      <c r="V28" s="291">
        <f t="shared" si="7"/>
        <v>0</v>
      </c>
      <c r="W28" s="291">
        <f t="shared" si="8"/>
        <v>0</v>
      </c>
      <c r="X28" s="291">
        <f t="shared" si="9"/>
        <v>0</v>
      </c>
    </row>
    <row r="29" spans="1:24" s="9" customFormat="1" ht="13.5" customHeight="1" x14ac:dyDescent="0.2">
      <c r="A29" s="64">
        <f t="shared" si="10"/>
        <v>25</v>
      </c>
      <c r="B29" s="109" t="s">
        <v>1712</v>
      </c>
      <c r="C29" s="163">
        <v>37370</v>
      </c>
      <c r="D29" s="175">
        <v>2000000</v>
      </c>
      <c r="E29" s="462"/>
      <c r="F29" s="67">
        <f t="shared" si="0"/>
        <v>2000000</v>
      </c>
      <c r="G29" s="67">
        <v>1999000</v>
      </c>
      <c r="H29" s="67">
        <f t="shared" si="1"/>
        <v>1000</v>
      </c>
      <c r="I29" s="68">
        <v>5</v>
      </c>
      <c r="J29" s="68">
        <v>0.2</v>
      </c>
      <c r="K29" s="68">
        <v>0</v>
      </c>
      <c r="L29" s="67"/>
      <c r="M29" s="67">
        <f t="shared" si="2"/>
        <v>1999000</v>
      </c>
      <c r="N29" s="67">
        <f t="shared" si="3"/>
        <v>1000</v>
      </c>
      <c r="O29" s="111" t="s">
        <v>1713</v>
      </c>
      <c r="P29" s="111">
        <v>1</v>
      </c>
      <c r="Q29" s="70"/>
      <c r="R29" s="23">
        <f t="shared" si="11"/>
        <v>200</v>
      </c>
      <c r="S29" s="23">
        <f t="shared" si="4"/>
        <v>100000</v>
      </c>
      <c r="T29" s="23">
        <f t="shared" si="5"/>
        <v>-99000</v>
      </c>
      <c r="U29" s="23">
        <f t="shared" ref="U29:U92" si="12">N29-1000</f>
        <v>0</v>
      </c>
      <c r="V29" s="10">
        <f t="shared" si="7"/>
        <v>400000</v>
      </c>
      <c r="W29" s="10">
        <f t="shared" si="8"/>
        <v>0</v>
      </c>
      <c r="X29" s="10">
        <f t="shared" si="9"/>
        <v>0</v>
      </c>
    </row>
    <row r="30" spans="1:24" s="9" customFormat="1" ht="13.5" customHeight="1" x14ac:dyDescent="0.2">
      <c r="A30" s="64">
        <f t="shared" si="10"/>
        <v>26</v>
      </c>
      <c r="B30" s="109" t="s">
        <v>1714</v>
      </c>
      <c r="C30" s="163">
        <v>37372</v>
      </c>
      <c r="D30" s="175">
        <v>830000</v>
      </c>
      <c r="E30" s="462"/>
      <c r="F30" s="67">
        <f t="shared" si="0"/>
        <v>830000</v>
      </c>
      <c r="G30" s="67">
        <v>829000</v>
      </c>
      <c r="H30" s="67">
        <f t="shared" si="1"/>
        <v>1000</v>
      </c>
      <c r="I30" s="68">
        <v>5</v>
      </c>
      <c r="J30" s="68">
        <v>0.2</v>
      </c>
      <c r="K30" s="68">
        <v>0</v>
      </c>
      <c r="L30" s="67"/>
      <c r="M30" s="67">
        <f t="shared" si="2"/>
        <v>829000</v>
      </c>
      <c r="N30" s="67">
        <f t="shared" si="3"/>
        <v>1000</v>
      </c>
      <c r="O30" s="111" t="s">
        <v>1715</v>
      </c>
      <c r="P30" s="111">
        <v>1</v>
      </c>
      <c r="Q30" s="464"/>
      <c r="R30" s="23">
        <f t="shared" si="11"/>
        <v>200</v>
      </c>
      <c r="S30" s="23">
        <f t="shared" si="4"/>
        <v>41500</v>
      </c>
      <c r="T30" s="23">
        <f t="shared" si="5"/>
        <v>-40500</v>
      </c>
      <c r="U30" s="23">
        <f t="shared" si="12"/>
        <v>0</v>
      </c>
      <c r="V30" s="10">
        <f t="shared" si="7"/>
        <v>166000</v>
      </c>
      <c r="W30" s="10">
        <f t="shared" si="8"/>
        <v>0</v>
      </c>
      <c r="X30" s="10">
        <f t="shared" si="9"/>
        <v>0</v>
      </c>
    </row>
    <row r="31" spans="1:24" s="9" customFormat="1" ht="13.5" customHeight="1" x14ac:dyDescent="0.2">
      <c r="A31" s="64">
        <f t="shared" si="10"/>
        <v>27</v>
      </c>
      <c r="B31" s="109" t="s">
        <v>1716</v>
      </c>
      <c r="C31" s="163">
        <v>37392</v>
      </c>
      <c r="D31" s="175">
        <v>300000</v>
      </c>
      <c r="E31" s="462"/>
      <c r="F31" s="67">
        <f t="shared" si="0"/>
        <v>300000</v>
      </c>
      <c r="G31" s="67">
        <v>299000</v>
      </c>
      <c r="H31" s="67">
        <f t="shared" si="1"/>
        <v>1000</v>
      </c>
      <c r="I31" s="68">
        <v>5</v>
      </c>
      <c r="J31" s="68">
        <v>0.2</v>
      </c>
      <c r="K31" s="68">
        <v>0</v>
      </c>
      <c r="L31" s="67"/>
      <c r="M31" s="67">
        <f t="shared" si="2"/>
        <v>299000</v>
      </c>
      <c r="N31" s="67">
        <f t="shared" si="3"/>
        <v>1000</v>
      </c>
      <c r="O31" s="111" t="s">
        <v>1717</v>
      </c>
      <c r="P31" s="111">
        <v>1</v>
      </c>
      <c r="Q31" s="464"/>
      <c r="R31" s="23">
        <f t="shared" si="11"/>
        <v>200</v>
      </c>
      <c r="S31" s="23">
        <f t="shared" si="4"/>
        <v>15000</v>
      </c>
      <c r="T31" s="23">
        <f t="shared" si="5"/>
        <v>-14000</v>
      </c>
      <c r="U31" s="23">
        <f t="shared" si="12"/>
        <v>0</v>
      </c>
      <c r="V31" s="10">
        <f t="shared" si="7"/>
        <v>60000</v>
      </c>
      <c r="W31" s="10">
        <f t="shared" si="8"/>
        <v>0</v>
      </c>
      <c r="X31" s="10">
        <f t="shared" si="9"/>
        <v>0</v>
      </c>
    </row>
    <row r="32" spans="1:24" s="9" customFormat="1" ht="13.5" customHeight="1" x14ac:dyDescent="0.2">
      <c r="A32" s="64">
        <f t="shared" si="10"/>
        <v>28</v>
      </c>
      <c r="B32" s="109" t="s">
        <v>1718</v>
      </c>
      <c r="C32" s="163">
        <v>37401</v>
      </c>
      <c r="D32" s="175">
        <v>1800000</v>
      </c>
      <c r="E32" s="462"/>
      <c r="F32" s="67">
        <v>1800000</v>
      </c>
      <c r="G32" s="67">
        <v>1799000</v>
      </c>
      <c r="H32" s="67">
        <f t="shared" si="1"/>
        <v>1000</v>
      </c>
      <c r="I32" s="68">
        <v>5</v>
      </c>
      <c r="J32" s="68">
        <v>0.2</v>
      </c>
      <c r="K32" s="68">
        <v>0</v>
      </c>
      <c r="L32" s="67"/>
      <c r="M32" s="67">
        <f t="shared" si="2"/>
        <v>1799000</v>
      </c>
      <c r="N32" s="67">
        <f t="shared" si="3"/>
        <v>1000</v>
      </c>
      <c r="O32" s="111" t="s">
        <v>1719</v>
      </c>
      <c r="P32" s="111">
        <v>1</v>
      </c>
      <c r="Q32" s="464"/>
      <c r="R32" s="23">
        <f t="shared" si="11"/>
        <v>200</v>
      </c>
      <c r="S32" s="23">
        <f t="shared" si="4"/>
        <v>90000</v>
      </c>
      <c r="T32" s="23">
        <f t="shared" si="5"/>
        <v>-89000</v>
      </c>
      <c r="U32" s="23">
        <f t="shared" si="12"/>
        <v>0</v>
      </c>
      <c r="V32" s="10">
        <f t="shared" si="7"/>
        <v>360000</v>
      </c>
      <c r="W32" s="10">
        <f t="shared" si="8"/>
        <v>0</v>
      </c>
      <c r="X32" s="10">
        <f t="shared" si="9"/>
        <v>0</v>
      </c>
    </row>
    <row r="33" spans="1:24" s="9" customFormat="1" ht="13.5" customHeight="1" x14ac:dyDescent="0.2">
      <c r="A33" s="64">
        <f t="shared" si="10"/>
        <v>29</v>
      </c>
      <c r="B33" s="109" t="s">
        <v>657</v>
      </c>
      <c r="C33" s="163">
        <v>37509</v>
      </c>
      <c r="D33" s="175">
        <v>4300000</v>
      </c>
      <c r="E33" s="462"/>
      <c r="F33" s="67">
        <f t="shared" ref="F33:F96" si="13">+D33+E33</f>
        <v>4300000</v>
      </c>
      <c r="G33" s="67">
        <v>4299000</v>
      </c>
      <c r="H33" s="67">
        <f t="shared" si="1"/>
        <v>1000</v>
      </c>
      <c r="I33" s="68">
        <v>5</v>
      </c>
      <c r="J33" s="68">
        <v>0.2</v>
      </c>
      <c r="K33" s="68">
        <v>0</v>
      </c>
      <c r="L33" s="67"/>
      <c r="M33" s="67">
        <f t="shared" si="2"/>
        <v>4299000</v>
      </c>
      <c r="N33" s="67">
        <f t="shared" si="3"/>
        <v>1000</v>
      </c>
      <c r="O33" s="111" t="s">
        <v>1720</v>
      </c>
      <c r="P33" s="111">
        <v>1</v>
      </c>
      <c r="Q33" s="464"/>
      <c r="R33" s="23">
        <f t="shared" si="11"/>
        <v>200</v>
      </c>
      <c r="S33" s="23">
        <f t="shared" si="4"/>
        <v>215000</v>
      </c>
      <c r="T33" s="23">
        <f t="shared" si="5"/>
        <v>-214000</v>
      </c>
      <c r="U33" s="23">
        <f t="shared" si="12"/>
        <v>0</v>
      </c>
      <c r="V33" s="10">
        <f t="shared" si="7"/>
        <v>860000</v>
      </c>
      <c r="W33" s="10">
        <f t="shared" si="8"/>
        <v>0</v>
      </c>
      <c r="X33" s="10">
        <f t="shared" si="9"/>
        <v>0</v>
      </c>
    </row>
    <row r="34" spans="1:24" s="9" customFormat="1" ht="13.5" customHeight="1" x14ac:dyDescent="0.2">
      <c r="A34" s="64">
        <f t="shared" si="10"/>
        <v>30</v>
      </c>
      <c r="B34" s="109" t="s">
        <v>1721</v>
      </c>
      <c r="C34" s="163">
        <v>37590</v>
      </c>
      <c r="D34" s="175">
        <v>1100000</v>
      </c>
      <c r="E34" s="462"/>
      <c r="F34" s="67">
        <f t="shared" si="13"/>
        <v>1100000</v>
      </c>
      <c r="G34" s="67">
        <v>1099000</v>
      </c>
      <c r="H34" s="67">
        <f t="shared" si="1"/>
        <v>1000</v>
      </c>
      <c r="I34" s="68">
        <v>5</v>
      </c>
      <c r="J34" s="68">
        <v>0.2</v>
      </c>
      <c r="K34" s="68">
        <v>0</v>
      </c>
      <c r="L34" s="67"/>
      <c r="M34" s="67">
        <f t="shared" si="2"/>
        <v>1099000</v>
      </c>
      <c r="N34" s="67">
        <f t="shared" si="3"/>
        <v>1000</v>
      </c>
      <c r="O34" s="111" t="s">
        <v>1722</v>
      </c>
      <c r="P34" s="111">
        <v>1</v>
      </c>
      <c r="Q34" s="464"/>
      <c r="R34" s="23">
        <f t="shared" si="11"/>
        <v>200</v>
      </c>
      <c r="S34" s="23">
        <f t="shared" si="4"/>
        <v>55000</v>
      </c>
      <c r="T34" s="23">
        <f t="shared" si="5"/>
        <v>-54000</v>
      </c>
      <c r="U34" s="23">
        <f t="shared" si="12"/>
        <v>0</v>
      </c>
      <c r="V34" s="10">
        <f t="shared" si="7"/>
        <v>220000</v>
      </c>
      <c r="W34" s="10">
        <f t="shared" si="8"/>
        <v>0</v>
      </c>
      <c r="X34" s="10">
        <f t="shared" si="9"/>
        <v>0</v>
      </c>
    </row>
    <row r="35" spans="1:24" s="9" customFormat="1" ht="13.5" customHeight="1" x14ac:dyDescent="0.2">
      <c r="A35" s="64">
        <f t="shared" si="10"/>
        <v>31</v>
      </c>
      <c r="B35" s="109" t="s">
        <v>1723</v>
      </c>
      <c r="C35" s="163">
        <v>37673</v>
      </c>
      <c r="D35" s="175">
        <v>250000</v>
      </c>
      <c r="E35" s="462"/>
      <c r="F35" s="67">
        <f t="shared" si="13"/>
        <v>250000</v>
      </c>
      <c r="G35" s="67">
        <v>249000</v>
      </c>
      <c r="H35" s="67">
        <f t="shared" si="1"/>
        <v>1000</v>
      </c>
      <c r="I35" s="68">
        <v>5</v>
      </c>
      <c r="J35" s="68">
        <v>0.2</v>
      </c>
      <c r="K35" s="68">
        <v>0</v>
      </c>
      <c r="L35" s="67"/>
      <c r="M35" s="67">
        <f t="shared" si="2"/>
        <v>249000</v>
      </c>
      <c r="N35" s="67">
        <f t="shared" si="3"/>
        <v>1000</v>
      </c>
      <c r="O35" s="111" t="s">
        <v>1724</v>
      </c>
      <c r="P35" s="111">
        <v>1</v>
      </c>
      <c r="Q35" s="464"/>
      <c r="R35" s="23">
        <f t="shared" si="11"/>
        <v>200</v>
      </c>
      <c r="S35" s="23">
        <f t="shared" si="4"/>
        <v>12500</v>
      </c>
      <c r="T35" s="23">
        <f t="shared" si="5"/>
        <v>-11500</v>
      </c>
      <c r="U35" s="23">
        <f t="shared" si="12"/>
        <v>0</v>
      </c>
      <c r="V35" s="10">
        <f t="shared" si="7"/>
        <v>50000</v>
      </c>
      <c r="W35" s="10">
        <f t="shared" si="8"/>
        <v>0</v>
      </c>
      <c r="X35" s="10">
        <f t="shared" si="9"/>
        <v>0</v>
      </c>
    </row>
    <row r="36" spans="1:24" s="9" customFormat="1" ht="13.5" customHeight="1" x14ac:dyDescent="0.2">
      <c r="A36" s="64">
        <f t="shared" si="10"/>
        <v>32</v>
      </c>
      <c r="B36" s="109" t="s">
        <v>1240</v>
      </c>
      <c r="C36" s="163">
        <v>37776</v>
      </c>
      <c r="D36" s="175">
        <v>7329000</v>
      </c>
      <c r="E36" s="462"/>
      <c r="F36" s="67">
        <f t="shared" si="13"/>
        <v>7329000</v>
      </c>
      <c r="G36" s="67">
        <v>7328000</v>
      </c>
      <c r="H36" s="67">
        <f t="shared" si="1"/>
        <v>1000</v>
      </c>
      <c r="I36" s="68">
        <v>5</v>
      </c>
      <c r="J36" s="68">
        <v>0.2</v>
      </c>
      <c r="K36" s="68">
        <v>0</v>
      </c>
      <c r="L36" s="67"/>
      <c r="M36" s="67">
        <f t="shared" si="2"/>
        <v>7328000</v>
      </c>
      <c r="N36" s="67">
        <f t="shared" si="3"/>
        <v>1000</v>
      </c>
      <c r="O36" s="111" t="s">
        <v>1725</v>
      </c>
      <c r="P36" s="111">
        <v>10</v>
      </c>
      <c r="Q36" s="464"/>
      <c r="R36" s="23">
        <f t="shared" si="11"/>
        <v>200</v>
      </c>
      <c r="S36" s="23">
        <f t="shared" si="4"/>
        <v>366450</v>
      </c>
      <c r="T36" s="23">
        <f t="shared" si="5"/>
        <v>-365450</v>
      </c>
      <c r="U36" s="23">
        <f t="shared" si="12"/>
        <v>0</v>
      </c>
      <c r="V36" s="10">
        <f t="shared" si="7"/>
        <v>1465800</v>
      </c>
      <c r="W36" s="10">
        <f t="shared" si="8"/>
        <v>0</v>
      </c>
      <c r="X36" s="10">
        <f t="shared" si="9"/>
        <v>0</v>
      </c>
    </row>
    <row r="37" spans="1:24" s="9" customFormat="1" ht="13.5" customHeight="1" x14ac:dyDescent="0.2">
      <c r="A37" s="64">
        <f t="shared" si="10"/>
        <v>33</v>
      </c>
      <c r="B37" s="109" t="s">
        <v>1240</v>
      </c>
      <c r="C37" s="163">
        <v>37833</v>
      </c>
      <c r="D37" s="175">
        <v>10083780</v>
      </c>
      <c r="E37" s="462"/>
      <c r="F37" s="67">
        <f t="shared" si="13"/>
        <v>10083780</v>
      </c>
      <c r="G37" s="67">
        <v>10082780</v>
      </c>
      <c r="H37" s="67">
        <f t="shared" si="1"/>
        <v>1000</v>
      </c>
      <c r="I37" s="68">
        <v>5</v>
      </c>
      <c r="J37" s="68">
        <v>0.2</v>
      </c>
      <c r="K37" s="68">
        <v>0</v>
      </c>
      <c r="L37" s="67"/>
      <c r="M37" s="67">
        <f t="shared" si="2"/>
        <v>10082780</v>
      </c>
      <c r="N37" s="67">
        <f t="shared" si="3"/>
        <v>1000</v>
      </c>
      <c r="O37" s="111" t="s">
        <v>1726</v>
      </c>
      <c r="P37" s="111">
        <v>7</v>
      </c>
      <c r="Q37" s="464"/>
      <c r="R37" s="23">
        <f t="shared" si="11"/>
        <v>200</v>
      </c>
      <c r="S37" s="23">
        <f t="shared" si="4"/>
        <v>504189</v>
      </c>
      <c r="T37" s="23">
        <f t="shared" si="5"/>
        <v>-503189</v>
      </c>
      <c r="U37" s="23">
        <f t="shared" si="12"/>
        <v>0</v>
      </c>
      <c r="V37" s="10">
        <f t="shared" si="7"/>
        <v>2016756</v>
      </c>
      <c r="W37" s="10">
        <f t="shared" si="8"/>
        <v>0</v>
      </c>
      <c r="X37" s="10">
        <f t="shared" si="9"/>
        <v>0</v>
      </c>
    </row>
    <row r="38" spans="1:24" s="9" customFormat="1" ht="13.5" customHeight="1" x14ac:dyDescent="0.2">
      <c r="A38" s="64">
        <f t="shared" si="10"/>
        <v>34</v>
      </c>
      <c r="B38" s="109" t="s">
        <v>1240</v>
      </c>
      <c r="C38" s="163">
        <v>37864</v>
      </c>
      <c r="D38" s="175">
        <v>5696160</v>
      </c>
      <c r="E38" s="462"/>
      <c r="F38" s="67">
        <f t="shared" si="13"/>
        <v>5696160</v>
      </c>
      <c r="G38" s="67">
        <v>5695160</v>
      </c>
      <c r="H38" s="67">
        <f t="shared" si="1"/>
        <v>1000</v>
      </c>
      <c r="I38" s="68">
        <v>5</v>
      </c>
      <c r="J38" s="68">
        <v>0.2</v>
      </c>
      <c r="K38" s="68">
        <v>0</v>
      </c>
      <c r="L38" s="67"/>
      <c r="M38" s="67">
        <f t="shared" si="2"/>
        <v>5695160</v>
      </c>
      <c r="N38" s="67">
        <f t="shared" si="3"/>
        <v>1000</v>
      </c>
      <c r="O38" s="111" t="s">
        <v>1725</v>
      </c>
      <c r="P38" s="111">
        <v>8</v>
      </c>
      <c r="Q38" s="464"/>
      <c r="R38" s="23">
        <f t="shared" si="11"/>
        <v>200</v>
      </c>
      <c r="S38" s="23">
        <f t="shared" si="4"/>
        <v>284808</v>
      </c>
      <c r="T38" s="23">
        <f t="shared" si="5"/>
        <v>-283808</v>
      </c>
      <c r="U38" s="23">
        <f t="shared" si="12"/>
        <v>0</v>
      </c>
      <c r="V38" s="10">
        <f t="shared" si="7"/>
        <v>1139232</v>
      </c>
      <c r="W38" s="10">
        <f t="shared" si="8"/>
        <v>0</v>
      </c>
      <c r="X38" s="10">
        <f t="shared" si="9"/>
        <v>0</v>
      </c>
    </row>
    <row r="39" spans="1:24" s="9" customFormat="1" ht="13.5" customHeight="1" x14ac:dyDescent="0.2">
      <c r="A39" s="64">
        <f t="shared" si="10"/>
        <v>35</v>
      </c>
      <c r="B39" s="109" t="s">
        <v>1240</v>
      </c>
      <c r="C39" s="163">
        <v>37894</v>
      </c>
      <c r="D39" s="175">
        <v>19799280</v>
      </c>
      <c r="E39" s="462"/>
      <c r="F39" s="67">
        <f t="shared" si="13"/>
        <v>19799280</v>
      </c>
      <c r="G39" s="67">
        <v>19798280</v>
      </c>
      <c r="H39" s="67">
        <f t="shared" si="1"/>
        <v>1000</v>
      </c>
      <c r="I39" s="68">
        <v>5</v>
      </c>
      <c r="J39" s="68">
        <v>0.2</v>
      </c>
      <c r="K39" s="68">
        <v>0</v>
      </c>
      <c r="L39" s="67"/>
      <c r="M39" s="67">
        <f t="shared" si="2"/>
        <v>19798280</v>
      </c>
      <c r="N39" s="67">
        <f t="shared" si="3"/>
        <v>1000</v>
      </c>
      <c r="O39" s="111" t="s">
        <v>1725</v>
      </c>
      <c r="P39" s="111">
        <v>14</v>
      </c>
      <c r="Q39" s="464"/>
      <c r="R39" s="23">
        <f t="shared" si="11"/>
        <v>200</v>
      </c>
      <c r="S39" s="23">
        <f t="shared" si="4"/>
        <v>989964</v>
      </c>
      <c r="T39" s="23">
        <f t="shared" si="5"/>
        <v>-988964</v>
      </c>
      <c r="U39" s="23">
        <f t="shared" si="12"/>
        <v>0</v>
      </c>
      <c r="V39" s="10">
        <f t="shared" si="7"/>
        <v>3959856</v>
      </c>
      <c r="W39" s="10">
        <f t="shared" si="8"/>
        <v>0</v>
      </c>
      <c r="X39" s="10">
        <f t="shared" si="9"/>
        <v>0</v>
      </c>
    </row>
    <row r="40" spans="1:24" s="9" customFormat="1" ht="13.5" customHeight="1" x14ac:dyDescent="0.2">
      <c r="A40" s="64">
        <f t="shared" si="10"/>
        <v>36</v>
      </c>
      <c r="B40" s="109" t="s">
        <v>1240</v>
      </c>
      <c r="C40" s="163">
        <v>37904</v>
      </c>
      <c r="D40" s="175">
        <v>2000000</v>
      </c>
      <c r="E40" s="462"/>
      <c r="F40" s="67">
        <f t="shared" si="13"/>
        <v>2000000</v>
      </c>
      <c r="G40" s="67">
        <v>1999000</v>
      </c>
      <c r="H40" s="67">
        <f t="shared" si="1"/>
        <v>1000</v>
      </c>
      <c r="I40" s="68">
        <v>5</v>
      </c>
      <c r="J40" s="68">
        <v>0.2</v>
      </c>
      <c r="K40" s="68">
        <v>0</v>
      </c>
      <c r="L40" s="67"/>
      <c r="M40" s="67">
        <f t="shared" si="2"/>
        <v>1999000</v>
      </c>
      <c r="N40" s="67">
        <f t="shared" si="3"/>
        <v>1000</v>
      </c>
      <c r="O40" s="111" t="s">
        <v>1727</v>
      </c>
      <c r="P40" s="111">
        <v>2</v>
      </c>
      <c r="Q40" s="464"/>
      <c r="R40" s="23">
        <f t="shared" si="11"/>
        <v>200</v>
      </c>
      <c r="S40" s="23">
        <f t="shared" si="4"/>
        <v>100000</v>
      </c>
      <c r="T40" s="23">
        <f t="shared" si="5"/>
        <v>-99000</v>
      </c>
      <c r="U40" s="23">
        <f t="shared" si="12"/>
        <v>0</v>
      </c>
      <c r="V40" s="10">
        <f t="shared" si="7"/>
        <v>400000</v>
      </c>
      <c r="W40" s="10">
        <f t="shared" si="8"/>
        <v>0</v>
      </c>
      <c r="X40" s="10">
        <f t="shared" si="9"/>
        <v>0</v>
      </c>
    </row>
    <row r="41" spans="1:24" s="9" customFormat="1" ht="13.5" customHeight="1" x14ac:dyDescent="0.2">
      <c r="A41" s="64">
        <f t="shared" si="10"/>
        <v>37</v>
      </c>
      <c r="B41" s="109" t="s">
        <v>1240</v>
      </c>
      <c r="C41" s="163">
        <v>37925</v>
      </c>
      <c r="D41" s="175">
        <v>6894000</v>
      </c>
      <c r="E41" s="462"/>
      <c r="F41" s="67">
        <f t="shared" si="13"/>
        <v>6894000</v>
      </c>
      <c r="G41" s="67">
        <v>6893000</v>
      </c>
      <c r="H41" s="67">
        <f t="shared" si="1"/>
        <v>1000</v>
      </c>
      <c r="I41" s="68">
        <v>5</v>
      </c>
      <c r="J41" s="68">
        <v>0.2</v>
      </c>
      <c r="K41" s="68">
        <v>0</v>
      </c>
      <c r="L41" s="67"/>
      <c r="M41" s="67">
        <f t="shared" si="2"/>
        <v>6893000</v>
      </c>
      <c r="N41" s="67">
        <f t="shared" si="3"/>
        <v>1000</v>
      </c>
      <c r="O41" s="111" t="s">
        <v>1726</v>
      </c>
      <c r="P41" s="111">
        <v>5</v>
      </c>
      <c r="Q41" s="464"/>
      <c r="R41" s="23">
        <f t="shared" si="11"/>
        <v>200</v>
      </c>
      <c r="S41" s="23">
        <f t="shared" si="4"/>
        <v>344700</v>
      </c>
      <c r="T41" s="23">
        <f t="shared" si="5"/>
        <v>-343700</v>
      </c>
      <c r="U41" s="23">
        <f t="shared" si="12"/>
        <v>0</v>
      </c>
      <c r="V41" s="10">
        <f t="shared" si="7"/>
        <v>1378800</v>
      </c>
      <c r="W41" s="10">
        <f t="shared" si="8"/>
        <v>0</v>
      </c>
      <c r="X41" s="10">
        <f t="shared" si="9"/>
        <v>0</v>
      </c>
    </row>
    <row r="42" spans="1:24" s="9" customFormat="1" ht="13.5" customHeight="1" x14ac:dyDescent="0.2">
      <c r="A42" s="64">
        <f t="shared" si="10"/>
        <v>38</v>
      </c>
      <c r="B42" s="109" t="s">
        <v>1240</v>
      </c>
      <c r="C42" s="163">
        <v>37955</v>
      </c>
      <c r="D42" s="175">
        <v>5654000</v>
      </c>
      <c r="E42" s="462"/>
      <c r="F42" s="67">
        <f t="shared" si="13"/>
        <v>5654000</v>
      </c>
      <c r="G42" s="67">
        <v>5653000</v>
      </c>
      <c r="H42" s="67">
        <f t="shared" si="1"/>
        <v>1000</v>
      </c>
      <c r="I42" s="68">
        <v>5</v>
      </c>
      <c r="J42" s="68">
        <v>0.2</v>
      </c>
      <c r="K42" s="68">
        <v>0</v>
      </c>
      <c r="L42" s="67"/>
      <c r="M42" s="67">
        <f t="shared" si="2"/>
        <v>5653000</v>
      </c>
      <c r="N42" s="67">
        <f t="shared" si="3"/>
        <v>1000</v>
      </c>
      <c r="O42" s="111" t="s">
        <v>1725</v>
      </c>
      <c r="P42" s="111">
        <v>4</v>
      </c>
      <c r="Q42" s="464"/>
      <c r="R42" s="23">
        <f t="shared" si="11"/>
        <v>200</v>
      </c>
      <c r="S42" s="23">
        <f t="shared" si="4"/>
        <v>282700</v>
      </c>
      <c r="T42" s="23">
        <f t="shared" si="5"/>
        <v>-281700</v>
      </c>
      <c r="U42" s="23">
        <f t="shared" si="12"/>
        <v>0</v>
      </c>
      <c r="V42" s="10">
        <f t="shared" si="7"/>
        <v>1130800</v>
      </c>
      <c r="W42" s="10">
        <f t="shared" si="8"/>
        <v>0</v>
      </c>
      <c r="X42" s="10">
        <f t="shared" si="9"/>
        <v>0</v>
      </c>
    </row>
    <row r="43" spans="1:24" s="9" customFormat="1" ht="13.5" customHeight="1" x14ac:dyDescent="0.2">
      <c r="A43" s="64">
        <f t="shared" si="10"/>
        <v>39</v>
      </c>
      <c r="B43" s="109" t="s">
        <v>1240</v>
      </c>
      <c r="C43" s="163">
        <v>37986</v>
      </c>
      <c r="D43" s="175">
        <v>2827200</v>
      </c>
      <c r="E43" s="462"/>
      <c r="F43" s="67">
        <f t="shared" si="13"/>
        <v>2827200</v>
      </c>
      <c r="G43" s="67">
        <v>2826200</v>
      </c>
      <c r="H43" s="67">
        <f t="shared" si="1"/>
        <v>1000</v>
      </c>
      <c r="I43" s="68">
        <v>5</v>
      </c>
      <c r="J43" s="68">
        <v>0.2</v>
      </c>
      <c r="K43" s="68">
        <v>0</v>
      </c>
      <c r="L43" s="67"/>
      <c r="M43" s="67">
        <f t="shared" si="2"/>
        <v>2826200</v>
      </c>
      <c r="N43" s="67">
        <f t="shared" si="3"/>
        <v>1000</v>
      </c>
      <c r="O43" s="111" t="s">
        <v>1725</v>
      </c>
      <c r="P43" s="111">
        <v>2</v>
      </c>
      <c r="Q43" s="464"/>
      <c r="R43" s="23">
        <f t="shared" si="11"/>
        <v>200</v>
      </c>
      <c r="S43" s="23">
        <f t="shared" si="4"/>
        <v>141360</v>
      </c>
      <c r="T43" s="23">
        <f t="shared" si="5"/>
        <v>-140360</v>
      </c>
      <c r="U43" s="23">
        <f t="shared" si="12"/>
        <v>0</v>
      </c>
      <c r="V43" s="10">
        <f t="shared" si="7"/>
        <v>565440</v>
      </c>
      <c r="W43" s="10">
        <f t="shared" si="8"/>
        <v>0</v>
      </c>
      <c r="X43" s="10">
        <f t="shared" si="9"/>
        <v>0</v>
      </c>
    </row>
    <row r="44" spans="1:24" s="9" customFormat="1" ht="13.5" customHeight="1" x14ac:dyDescent="0.2">
      <c r="A44" s="64">
        <f t="shared" si="10"/>
        <v>40</v>
      </c>
      <c r="B44" s="109" t="s">
        <v>1240</v>
      </c>
      <c r="C44" s="163">
        <v>37986</v>
      </c>
      <c r="D44" s="175">
        <v>800000</v>
      </c>
      <c r="E44" s="462"/>
      <c r="F44" s="67">
        <f t="shared" si="13"/>
        <v>800000</v>
      </c>
      <c r="G44" s="67">
        <v>799000</v>
      </c>
      <c r="H44" s="67">
        <f t="shared" si="1"/>
        <v>1000</v>
      </c>
      <c r="I44" s="68">
        <v>5</v>
      </c>
      <c r="J44" s="68">
        <v>0.2</v>
      </c>
      <c r="K44" s="68">
        <v>0</v>
      </c>
      <c r="L44" s="67"/>
      <c r="M44" s="67">
        <f t="shared" si="2"/>
        <v>799000</v>
      </c>
      <c r="N44" s="67">
        <f t="shared" si="3"/>
        <v>1000</v>
      </c>
      <c r="O44" s="111" t="s">
        <v>1727</v>
      </c>
      <c r="P44" s="111">
        <v>1</v>
      </c>
      <c r="Q44" s="464"/>
      <c r="R44" s="23">
        <f t="shared" si="11"/>
        <v>200</v>
      </c>
      <c r="S44" s="23">
        <f t="shared" si="4"/>
        <v>40000</v>
      </c>
      <c r="T44" s="23">
        <f t="shared" si="5"/>
        <v>-39000</v>
      </c>
      <c r="U44" s="23">
        <f t="shared" si="12"/>
        <v>0</v>
      </c>
      <c r="V44" s="10">
        <f t="shared" si="7"/>
        <v>160000</v>
      </c>
      <c r="W44" s="10">
        <f t="shared" si="8"/>
        <v>0</v>
      </c>
      <c r="X44" s="10">
        <f t="shared" si="9"/>
        <v>0</v>
      </c>
    </row>
    <row r="45" spans="1:24" s="9" customFormat="1" ht="13.5" customHeight="1" x14ac:dyDescent="0.2">
      <c r="A45" s="64">
        <f t="shared" si="10"/>
        <v>41</v>
      </c>
      <c r="B45" s="109" t="s">
        <v>1240</v>
      </c>
      <c r="C45" s="66" t="s">
        <v>1241</v>
      </c>
      <c r="D45" s="175">
        <v>5738400</v>
      </c>
      <c r="E45" s="462"/>
      <c r="F45" s="67">
        <f t="shared" si="13"/>
        <v>5738400</v>
      </c>
      <c r="G45" s="67">
        <v>5737400</v>
      </c>
      <c r="H45" s="67">
        <f t="shared" si="1"/>
        <v>1000</v>
      </c>
      <c r="I45" s="68">
        <v>5</v>
      </c>
      <c r="J45" s="68">
        <v>0.2</v>
      </c>
      <c r="K45" s="68">
        <v>0</v>
      </c>
      <c r="L45" s="67"/>
      <c r="M45" s="67">
        <f t="shared" si="2"/>
        <v>5737400</v>
      </c>
      <c r="N45" s="67">
        <f t="shared" si="3"/>
        <v>1000</v>
      </c>
      <c r="O45" s="111" t="s">
        <v>1725</v>
      </c>
      <c r="P45" s="111">
        <v>4</v>
      </c>
      <c r="Q45" s="70"/>
      <c r="R45" s="23">
        <f t="shared" si="11"/>
        <v>200</v>
      </c>
      <c r="S45" s="23">
        <f t="shared" si="4"/>
        <v>286920</v>
      </c>
      <c r="T45" s="23">
        <f t="shared" si="5"/>
        <v>-285920</v>
      </c>
      <c r="U45" s="23">
        <f t="shared" si="12"/>
        <v>0</v>
      </c>
      <c r="V45" s="10">
        <f t="shared" si="7"/>
        <v>1147680</v>
      </c>
      <c r="W45" s="10">
        <f t="shared" si="8"/>
        <v>0</v>
      </c>
      <c r="X45" s="10">
        <f t="shared" si="9"/>
        <v>0</v>
      </c>
    </row>
    <row r="46" spans="1:24" s="9" customFormat="1" ht="13.5" customHeight="1" x14ac:dyDescent="0.2">
      <c r="A46" s="64">
        <f t="shared" si="10"/>
        <v>42</v>
      </c>
      <c r="B46" s="109" t="s">
        <v>1240</v>
      </c>
      <c r="C46" s="66" t="s">
        <v>1728</v>
      </c>
      <c r="D46" s="175">
        <v>1600000</v>
      </c>
      <c r="E46" s="462"/>
      <c r="F46" s="67">
        <f t="shared" si="13"/>
        <v>1600000</v>
      </c>
      <c r="G46" s="67">
        <v>1599000</v>
      </c>
      <c r="H46" s="67">
        <f t="shared" si="1"/>
        <v>1000</v>
      </c>
      <c r="I46" s="68">
        <v>5</v>
      </c>
      <c r="J46" s="68">
        <v>0.2</v>
      </c>
      <c r="K46" s="68">
        <v>0</v>
      </c>
      <c r="L46" s="67"/>
      <c r="M46" s="67">
        <f t="shared" si="2"/>
        <v>1599000</v>
      </c>
      <c r="N46" s="67">
        <f t="shared" si="3"/>
        <v>1000</v>
      </c>
      <c r="O46" s="111" t="s">
        <v>1729</v>
      </c>
      <c r="P46" s="111">
        <v>2</v>
      </c>
      <c r="Q46" s="70"/>
      <c r="R46" s="23">
        <f t="shared" si="11"/>
        <v>200</v>
      </c>
      <c r="S46" s="23">
        <f t="shared" si="4"/>
        <v>80000</v>
      </c>
      <c r="T46" s="23">
        <f t="shared" si="5"/>
        <v>-79000</v>
      </c>
      <c r="U46" s="23">
        <f t="shared" si="12"/>
        <v>0</v>
      </c>
      <c r="V46" s="10">
        <f t="shared" si="7"/>
        <v>320000</v>
      </c>
      <c r="W46" s="10">
        <f t="shared" si="8"/>
        <v>0</v>
      </c>
      <c r="X46" s="10">
        <f t="shared" si="9"/>
        <v>0</v>
      </c>
    </row>
    <row r="47" spans="1:24" s="9" customFormat="1" ht="13.5" customHeight="1" x14ac:dyDescent="0.2">
      <c r="A47" s="64">
        <f t="shared" si="10"/>
        <v>43</v>
      </c>
      <c r="B47" s="109" t="s">
        <v>1240</v>
      </c>
      <c r="C47" s="66" t="s">
        <v>1728</v>
      </c>
      <c r="D47" s="175">
        <v>2000000</v>
      </c>
      <c r="E47" s="462"/>
      <c r="F47" s="67">
        <f t="shared" si="13"/>
        <v>2000000</v>
      </c>
      <c r="G47" s="67">
        <v>1999000</v>
      </c>
      <c r="H47" s="67">
        <f t="shared" si="1"/>
        <v>1000</v>
      </c>
      <c r="I47" s="68">
        <v>5</v>
      </c>
      <c r="J47" s="68">
        <v>0.2</v>
      </c>
      <c r="K47" s="68">
        <v>0</v>
      </c>
      <c r="L47" s="67"/>
      <c r="M47" s="67">
        <f t="shared" si="2"/>
        <v>1999000</v>
      </c>
      <c r="N47" s="67">
        <f t="shared" si="3"/>
        <v>1000</v>
      </c>
      <c r="O47" s="111" t="s">
        <v>1727</v>
      </c>
      <c r="P47" s="111">
        <v>2</v>
      </c>
      <c r="Q47" s="70"/>
      <c r="R47" s="23">
        <f t="shared" si="11"/>
        <v>200</v>
      </c>
      <c r="S47" s="23">
        <f t="shared" si="4"/>
        <v>100000</v>
      </c>
      <c r="T47" s="23">
        <f t="shared" si="5"/>
        <v>-99000</v>
      </c>
      <c r="U47" s="23">
        <f t="shared" si="12"/>
        <v>0</v>
      </c>
      <c r="V47" s="10">
        <f t="shared" si="7"/>
        <v>400000</v>
      </c>
      <c r="W47" s="10">
        <f t="shared" si="8"/>
        <v>0</v>
      </c>
      <c r="X47" s="10">
        <f t="shared" si="9"/>
        <v>0</v>
      </c>
    </row>
    <row r="48" spans="1:24" s="9" customFormat="1" ht="13.5" customHeight="1" x14ac:dyDescent="0.2">
      <c r="A48" s="64">
        <f t="shared" si="10"/>
        <v>44</v>
      </c>
      <c r="B48" s="109" t="s">
        <v>1240</v>
      </c>
      <c r="C48" s="66" t="s">
        <v>1730</v>
      </c>
      <c r="D48" s="175">
        <v>1600000</v>
      </c>
      <c r="E48" s="462"/>
      <c r="F48" s="67">
        <f t="shared" si="13"/>
        <v>1600000</v>
      </c>
      <c r="G48" s="67">
        <v>1599000</v>
      </c>
      <c r="H48" s="67">
        <f t="shared" si="1"/>
        <v>1000</v>
      </c>
      <c r="I48" s="68">
        <v>5</v>
      </c>
      <c r="J48" s="68">
        <v>0.2</v>
      </c>
      <c r="K48" s="68">
        <v>0</v>
      </c>
      <c r="L48" s="67"/>
      <c r="M48" s="67">
        <f t="shared" si="2"/>
        <v>1599000</v>
      </c>
      <c r="N48" s="67">
        <f t="shared" si="3"/>
        <v>1000</v>
      </c>
      <c r="O48" s="111" t="s">
        <v>1731</v>
      </c>
      <c r="P48" s="111">
        <v>2</v>
      </c>
      <c r="Q48" s="70"/>
      <c r="R48" s="23">
        <f t="shared" si="11"/>
        <v>200</v>
      </c>
      <c r="S48" s="23">
        <f t="shared" si="4"/>
        <v>80000</v>
      </c>
      <c r="T48" s="23">
        <f t="shared" si="5"/>
        <v>-79000</v>
      </c>
      <c r="U48" s="23">
        <f t="shared" si="12"/>
        <v>0</v>
      </c>
      <c r="V48" s="10">
        <f t="shared" si="7"/>
        <v>320000</v>
      </c>
      <c r="W48" s="10">
        <f t="shared" si="8"/>
        <v>0</v>
      </c>
      <c r="X48" s="10">
        <f t="shared" si="9"/>
        <v>0</v>
      </c>
    </row>
    <row r="49" spans="1:24" s="9" customFormat="1" ht="13.5" customHeight="1" x14ac:dyDescent="0.2">
      <c r="A49" s="64">
        <f t="shared" si="10"/>
        <v>45</v>
      </c>
      <c r="B49" s="109" t="s">
        <v>1732</v>
      </c>
      <c r="C49" s="66" t="s">
        <v>1733</v>
      </c>
      <c r="D49" s="175">
        <v>880000</v>
      </c>
      <c r="E49" s="462"/>
      <c r="F49" s="67">
        <f t="shared" si="13"/>
        <v>880000</v>
      </c>
      <c r="G49" s="67">
        <v>879000</v>
      </c>
      <c r="H49" s="67">
        <f t="shared" si="1"/>
        <v>1000</v>
      </c>
      <c r="I49" s="68">
        <v>5</v>
      </c>
      <c r="J49" s="68">
        <v>0.2</v>
      </c>
      <c r="K49" s="68">
        <v>0</v>
      </c>
      <c r="L49" s="67"/>
      <c r="M49" s="67">
        <f t="shared" si="2"/>
        <v>879000</v>
      </c>
      <c r="N49" s="67">
        <f t="shared" si="3"/>
        <v>1000</v>
      </c>
      <c r="O49" s="111" t="s">
        <v>1734</v>
      </c>
      <c r="P49" s="111">
        <v>1</v>
      </c>
      <c r="Q49" s="70"/>
      <c r="R49" s="23">
        <f t="shared" si="11"/>
        <v>200</v>
      </c>
      <c r="S49" s="23">
        <f t="shared" si="4"/>
        <v>44000</v>
      </c>
      <c r="T49" s="23">
        <f t="shared" si="5"/>
        <v>-43000</v>
      </c>
      <c r="U49" s="23">
        <f t="shared" si="12"/>
        <v>0</v>
      </c>
      <c r="V49" s="10">
        <f t="shared" si="7"/>
        <v>176000</v>
      </c>
      <c r="W49" s="10">
        <f t="shared" si="8"/>
        <v>0</v>
      </c>
      <c r="X49" s="10">
        <f t="shared" si="9"/>
        <v>0</v>
      </c>
    </row>
    <row r="50" spans="1:24" s="9" customFormat="1" ht="13.5" customHeight="1" x14ac:dyDescent="0.2">
      <c r="A50" s="64">
        <f t="shared" si="10"/>
        <v>46</v>
      </c>
      <c r="B50" s="109" t="s">
        <v>1240</v>
      </c>
      <c r="C50" s="66" t="s">
        <v>1735</v>
      </c>
      <c r="D50" s="175">
        <v>5616720</v>
      </c>
      <c r="E50" s="462"/>
      <c r="F50" s="67">
        <f t="shared" si="13"/>
        <v>5616720</v>
      </c>
      <c r="G50" s="67">
        <v>5615720</v>
      </c>
      <c r="H50" s="67">
        <f t="shared" si="1"/>
        <v>1000</v>
      </c>
      <c r="I50" s="68">
        <v>5</v>
      </c>
      <c r="J50" s="68">
        <v>0.2</v>
      </c>
      <c r="K50" s="68">
        <v>0</v>
      </c>
      <c r="L50" s="67"/>
      <c r="M50" s="67">
        <f t="shared" si="2"/>
        <v>5615720</v>
      </c>
      <c r="N50" s="67">
        <f t="shared" si="3"/>
        <v>1000</v>
      </c>
      <c r="O50" s="111" t="s">
        <v>1725</v>
      </c>
      <c r="P50" s="111">
        <v>4</v>
      </c>
      <c r="Q50" s="70"/>
      <c r="R50" s="23">
        <f t="shared" si="11"/>
        <v>200</v>
      </c>
      <c r="S50" s="23">
        <f t="shared" si="4"/>
        <v>280836</v>
      </c>
      <c r="T50" s="23">
        <f t="shared" si="5"/>
        <v>-279836</v>
      </c>
      <c r="U50" s="23">
        <f t="shared" si="12"/>
        <v>0</v>
      </c>
      <c r="V50" s="10">
        <f t="shared" si="7"/>
        <v>1123344</v>
      </c>
      <c r="W50" s="10">
        <f t="shared" si="8"/>
        <v>0</v>
      </c>
      <c r="X50" s="10">
        <f t="shared" si="9"/>
        <v>0</v>
      </c>
    </row>
    <row r="51" spans="1:24" s="9" customFormat="1" ht="13.5" customHeight="1" x14ac:dyDescent="0.2">
      <c r="A51" s="64">
        <f t="shared" si="10"/>
        <v>47</v>
      </c>
      <c r="B51" s="109" t="s">
        <v>1736</v>
      </c>
      <c r="C51" s="66" t="s">
        <v>1737</v>
      </c>
      <c r="D51" s="175">
        <v>250000</v>
      </c>
      <c r="E51" s="462"/>
      <c r="F51" s="67">
        <f t="shared" si="13"/>
        <v>250000</v>
      </c>
      <c r="G51" s="67">
        <v>249000</v>
      </c>
      <c r="H51" s="67">
        <f t="shared" si="1"/>
        <v>1000</v>
      </c>
      <c r="I51" s="68">
        <v>5</v>
      </c>
      <c r="J51" s="68">
        <v>0.2</v>
      </c>
      <c r="K51" s="68">
        <v>0</v>
      </c>
      <c r="L51" s="67"/>
      <c r="M51" s="67">
        <f t="shared" si="2"/>
        <v>249000</v>
      </c>
      <c r="N51" s="67">
        <f t="shared" si="3"/>
        <v>1000</v>
      </c>
      <c r="O51" s="111" t="s">
        <v>1738</v>
      </c>
      <c r="P51" s="111">
        <v>1</v>
      </c>
      <c r="Q51" s="70"/>
      <c r="R51" s="23">
        <f t="shared" si="11"/>
        <v>200</v>
      </c>
      <c r="S51" s="23">
        <f t="shared" si="4"/>
        <v>12500</v>
      </c>
      <c r="T51" s="23">
        <f t="shared" si="5"/>
        <v>-11500</v>
      </c>
      <c r="U51" s="23">
        <f t="shared" si="12"/>
        <v>0</v>
      </c>
      <c r="V51" s="10">
        <f t="shared" si="7"/>
        <v>50000</v>
      </c>
      <c r="W51" s="10">
        <f t="shared" si="8"/>
        <v>0</v>
      </c>
      <c r="X51" s="10">
        <f t="shared" si="9"/>
        <v>0</v>
      </c>
    </row>
    <row r="52" spans="1:24" s="9" customFormat="1" ht="13.5" customHeight="1" x14ac:dyDescent="0.2">
      <c r="A52" s="64">
        <f t="shared" si="10"/>
        <v>48</v>
      </c>
      <c r="B52" s="109" t="s">
        <v>1240</v>
      </c>
      <c r="C52" s="66" t="s">
        <v>256</v>
      </c>
      <c r="D52" s="175">
        <v>8298000</v>
      </c>
      <c r="E52" s="462"/>
      <c r="F52" s="67">
        <f t="shared" si="13"/>
        <v>8298000</v>
      </c>
      <c r="G52" s="67">
        <v>8297000</v>
      </c>
      <c r="H52" s="67">
        <f t="shared" si="1"/>
        <v>1000</v>
      </c>
      <c r="I52" s="68">
        <v>5</v>
      </c>
      <c r="J52" s="68">
        <v>0.2</v>
      </c>
      <c r="K52" s="68">
        <v>0</v>
      </c>
      <c r="L52" s="67"/>
      <c r="M52" s="67">
        <f t="shared" si="2"/>
        <v>8297000</v>
      </c>
      <c r="N52" s="67">
        <f t="shared" si="3"/>
        <v>1000</v>
      </c>
      <c r="O52" s="111" t="s">
        <v>1725</v>
      </c>
      <c r="P52" s="111">
        <v>6</v>
      </c>
      <c r="Q52" s="70"/>
      <c r="R52" s="23">
        <f t="shared" si="11"/>
        <v>200</v>
      </c>
      <c r="S52" s="23">
        <f t="shared" si="4"/>
        <v>414900</v>
      </c>
      <c r="T52" s="23">
        <f t="shared" si="5"/>
        <v>-413900</v>
      </c>
      <c r="U52" s="23">
        <f t="shared" si="12"/>
        <v>0</v>
      </c>
      <c r="V52" s="10">
        <f t="shared" si="7"/>
        <v>1659600</v>
      </c>
      <c r="W52" s="10">
        <f t="shared" si="8"/>
        <v>0</v>
      </c>
      <c r="X52" s="10">
        <f t="shared" si="9"/>
        <v>0</v>
      </c>
    </row>
    <row r="53" spans="1:24" s="9" customFormat="1" ht="13.5" customHeight="1" x14ac:dyDescent="0.2">
      <c r="A53" s="64">
        <f t="shared" si="10"/>
        <v>49</v>
      </c>
      <c r="B53" s="109" t="s">
        <v>1240</v>
      </c>
      <c r="C53" s="66" t="s">
        <v>256</v>
      </c>
      <c r="D53" s="175">
        <v>800000</v>
      </c>
      <c r="E53" s="462"/>
      <c r="F53" s="67">
        <f t="shared" si="13"/>
        <v>800000</v>
      </c>
      <c r="G53" s="67">
        <v>799000</v>
      </c>
      <c r="H53" s="67">
        <f t="shared" si="1"/>
        <v>1000</v>
      </c>
      <c r="I53" s="68">
        <v>5</v>
      </c>
      <c r="J53" s="68">
        <v>0.2</v>
      </c>
      <c r="K53" s="68">
        <v>0</v>
      </c>
      <c r="L53" s="67"/>
      <c r="M53" s="67">
        <f t="shared" si="2"/>
        <v>799000</v>
      </c>
      <c r="N53" s="67">
        <f t="shared" si="3"/>
        <v>1000</v>
      </c>
      <c r="O53" s="111" t="s">
        <v>1727</v>
      </c>
      <c r="P53" s="111">
        <v>1</v>
      </c>
      <c r="Q53" s="70"/>
      <c r="R53" s="23">
        <f t="shared" si="11"/>
        <v>200</v>
      </c>
      <c r="S53" s="23">
        <f t="shared" si="4"/>
        <v>40000</v>
      </c>
      <c r="T53" s="23">
        <f t="shared" si="5"/>
        <v>-39000</v>
      </c>
      <c r="U53" s="23">
        <f t="shared" si="12"/>
        <v>0</v>
      </c>
      <c r="V53" s="10">
        <f t="shared" si="7"/>
        <v>160000</v>
      </c>
      <c r="W53" s="10">
        <f t="shared" si="8"/>
        <v>0</v>
      </c>
      <c r="X53" s="10">
        <f t="shared" si="9"/>
        <v>0</v>
      </c>
    </row>
    <row r="54" spans="1:24" s="9" customFormat="1" ht="13.5" customHeight="1" x14ac:dyDescent="0.2">
      <c r="A54" s="64">
        <f t="shared" si="10"/>
        <v>50</v>
      </c>
      <c r="B54" s="109" t="s">
        <v>1240</v>
      </c>
      <c r="C54" s="66" t="s">
        <v>256</v>
      </c>
      <c r="D54" s="175">
        <v>1600000</v>
      </c>
      <c r="E54" s="462"/>
      <c r="F54" s="67">
        <f t="shared" si="13"/>
        <v>1600000</v>
      </c>
      <c r="G54" s="67">
        <v>1599000</v>
      </c>
      <c r="H54" s="67">
        <f t="shared" si="1"/>
        <v>1000</v>
      </c>
      <c r="I54" s="68">
        <v>5</v>
      </c>
      <c r="J54" s="68">
        <v>0.2</v>
      </c>
      <c r="K54" s="68">
        <v>0</v>
      </c>
      <c r="L54" s="67"/>
      <c r="M54" s="67">
        <f t="shared" si="2"/>
        <v>1599000</v>
      </c>
      <c r="N54" s="67">
        <f t="shared" si="3"/>
        <v>1000</v>
      </c>
      <c r="O54" s="111" t="s">
        <v>1727</v>
      </c>
      <c r="P54" s="111">
        <v>2</v>
      </c>
      <c r="Q54" s="70"/>
      <c r="R54" s="23">
        <f t="shared" si="11"/>
        <v>200</v>
      </c>
      <c r="S54" s="23">
        <f t="shared" si="4"/>
        <v>80000</v>
      </c>
      <c r="T54" s="23">
        <f t="shared" si="5"/>
        <v>-79000</v>
      </c>
      <c r="U54" s="23">
        <f t="shared" si="12"/>
        <v>0</v>
      </c>
      <c r="V54" s="10">
        <f t="shared" si="7"/>
        <v>320000</v>
      </c>
      <c r="W54" s="10">
        <f t="shared" si="8"/>
        <v>0</v>
      </c>
      <c r="X54" s="10">
        <f t="shared" si="9"/>
        <v>0</v>
      </c>
    </row>
    <row r="55" spans="1:24" s="9" customFormat="1" ht="13.5" customHeight="1" x14ac:dyDescent="0.2">
      <c r="A55" s="64">
        <f t="shared" si="10"/>
        <v>51</v>
      </c>
      <c r="B55" s="109" t="s">
        <v>1739</v>
      </c>
      <c r="C55" s="66" t="s">
        <v>1740</v>
      </c>
      <c r="D55" s="175">
        <v>3000000</v>
      </c>
      <c r="E55" s="462"/>
      <c r="F55" s="67">
        <f t="shared" si="13"/>
        <v>3000000</v>
      </c>
      <c r="G55" s="67">
        <v>2999000</v>
      </c>
      <c r="H55" s="67">
        <f t="shared" si="1"/>
        <v>1000</v>
      </c>
      <c r="I55" s="68">
        <v>5</v>
      </c>
      <c r="J55" s="68">
        <v>0.2</v>
      </c>
      <c r="K55" s="68">
        <v>0</v>
      </c>
      <c r="L55" s="67"/>
      <c r="M55" s="67">
        <f t="shared" si="2"/>
        <v>2999000</v>
      </c>
      <c r="N55" s="67">
        <f t="shared" si="3"/>
        <v>1000</v>
      </c>
      <c r="O55" s="111" t="s">
        <v>1741</v>
      </c>
      <c r="P55" s="111">
        <v>1</v>
      </c>
      <c r="Q55" s="70"/>
      <c r="R55" s="23">
        <f t="shared" si="11"/>
        <v>200</v>
      </c>
      <c r="S55" s="23">
        <f t="shared" si="4"/>
        <v>150000</v>
      </c>
      <c r="T55" s="23">
        <f t="shared" si="5"/>
        <v>-149000</v>
      </c>
      <c r="U55" s="23">
        <f t="shared" si="12"/>
        <v>0</v>
      </c>
      <c r="V55" s="10">
        <f t="shared" si="7"/>
        <v>600000</v>
      </c>
      <c r="W55" s="10">
        <f t="shared" si="8"/>
        <v>0</v>
      </c>
      <c r="X55" s="10">
        <f t="shared" si="9"/>
        <v>0</v>
      </c>
    </row>
    <row r="56" spans="1:24" s="9" customFormat="1" ht="13.5" customHeight="1" x14ac:dyDescent="0.2">
      <c r="A56" s="64">
        <f t="shared" si="10"/>
        <v>52</v>
      </c>
      <c r="B56" s="109" t="s">
        <v>1240</v>
      </c>
      <c r="C56" s="66" t="s">
        <v>1270</v>
      </c>
      <c r="D56" s="175">
        <v>5540160</v>
      </c>
      <c r="E56" s="462"/>
      <c r="F56" s="67">
        <f t="shared" si="13"/>
        <v>5540160</v>
      </c>
      <c r="G56" s="67">
        <v>5539160</v>
      </c>
      <c r="H56" s="67">
        <f t="shared" si="1"/>
        <v>1000</v>
      </c>
      <c r="I56" s="68">
        <v>5</v>
      </c>
      <c r="J56" s="68">
        <v>0.2</v>
      </c>
      <c r="K56" s="68">
        <v>0</v>
      </c>
      <c r="L56" s="67"/>
      <c r="M56" s="67">
        <f t="shared" si="2"/>
        <v>5539160</v>
      </c>
      <c r="N56" s="67">
        <f t="shared" si="3"/>
        <v>1000</v>
      </c>
      <c r="O56" s="111" t="s">
        <v>1725</v>
      </c>
      <c r="P56" s="111">
        <v>4</v>
      </c>
      <c r="Q56" s="70"/>
      <c r="R56" s="23">
        <f t="shared" si="11"/>
        <v>200</v>
      </c>
      <c r="S56" s="23">
        <f t="shared" si="4"/>
        <v>277008</v>
      </c>
      <c r="T56" s="23">
        <f t="shared" si="5"/>
        <v>-276008</v>
      </c>
      <c r="U56" s="23">
        <f t="shared" si="12"/>
        <v>0</v>
      </c>
      <c r="V56" s="10">
        <f t="shared" si="7"/>
        <v>1108032</v>
      </c>
      <c r="W56" s="10">
        <f t="shared" si="8"/>
        <v>0</v>
      </c>
      <c r="X56" s="10">
        <f t="shared" si="9"/>
        <v>0</v>
      </c>
    </row>
    <row r="57" spans="1:24" s="9" customFormat="1" ht="13.5" customHeight="1" x14ac:dyDescent="0.2">
      <c r="A57" s="64">
        <f t="shared" si="10"/>
        <v>53</v>
      </c>
      <c r="B57" s="109" t="s">
        <v>1240</v>
      </c>
      <c r="C57" s="66" t="s">
        <v>1270</v>
      </c>
      <c r="D57" s="175">
        <v>3600000</v>
      </c>
      <c r="E57" s="462"/>
      <c r="F57" s="67">
        <f t="shared" si="13"/>
        <v>3600000</v>
      </c>
      <c r="G57" s="67">
        <v>3599000</v>
      </c>
      <c r="H57" s="67">
        <f t="shared" si="1"/>
        <v>1000</v>
      </c>
      <c r="I57" s="68">
        <v>5</v>
      </c>
      <c r="J57" s="68">
        <v>0.2</v>
      </c>
      <c r="K57" s="68">
        <v>0</v>
      </c>
      <c r="L57" s="67"/>
      <c r="M57" s="67">
        <f t="shared" si="2"/>
        <v>3599000</v>
      </c>
      <c r="N57" s="67">
        <f t="shared" si="3"/>
        <v>1000</v>
      </c>
      <c r="O57" s="111" t="s">
        <v>1731</v>
      </c>
      <c r="P57" s="111">
        <v>3</v>
      </c>
      <c r="Q57" s="70"/>
      <c r="R57" s="23">
        <f t="shared" si="11"/>
        <v>200</v>
      </c>
      <c r="S57" s="23">
        <f t="shared" si="4"/>
        <v>180000</v>
      </c>
      <c r="T57" s="23">
        <f t="shared" si="5"/>
        <v>-179000</v>
      </c>
      <c r="U57" s="23">
        <f t="shared" si="12"/>
        <v>0</v>
      </c>
      <c r="V57" s="10">
        <f t="shared" si="7"/>
        <v>720000</v>
      </c>
      <c r="W57" s="10">
        <f t="shared" si="8"/>
        <v>0</v>
      </c>
      <c r="X57" s="10">
        <f t="shared" si="9"/>
        <v>0</v>
      </c>
    </row>
    <row r="58" spans="1:24" s="9" customFormat="1" ht="13.5" customHeight="1" x14ac:dyDescent="0.2">
      <c r="A58" s="64">
        <f t="shared" si="10"/>
        <v>54</v>
      </c>
      <c r="B58" s="109" t="s">
        <v>1240</v>
      </c>
      <c r="C58" s="66" t="s">
        <v>1270</v>
      </c>
      <c r="D58" s="175">
        <v>4000000</v>
      </c>
      <c r="E58" s="462"/>
      <c r="F58" s="67">
        <f t="shared" si="13"/>
        <v>4000000</v>
      </c>
      <c r="G58" s="67">
        <v>3999000</v>
      </c>
      <c r="H58" s="67">
        <f t="shared" si="1"/>
        <v>1000</v>
      </c>
      <c r="I58" s="68">
        <v>5</v>
      </c>
      <c r="J58" s="68">
        <v>0.2</v>
      </c>
      <c r="K58" s="68">
        <v>0</v>
      </c>
      <c r="L58" s="67"/>
      <c r="M58" s="67">
        <f t="shared" si="2"/>
        <v>3999000</v>
      </c>
      <c r="N58" s="67">
        <f t="shared" si="3"/>
        <v>1000</v>
      </c>
      <c r="O58" s="111" t="s">
        <v>1727</v>
      </c>
      <c r="P58" s="111">
        <v>4</v>
      </c>
      <c r="Q58" s="70"/>
      <c r="R58" s="23">
        <f t="shared" si="11"/>
        <v>200</v>
      </c>
      <c r="S58" s="23">
        <f t="shared" si="4"/>
        <v>200000</v>
      </c>
      <c r="T58" s="23">
        <f t="shared" si="5"/>
        <v>-199000</v>
      </c>
      <c r="U58" s="23">
        <f t="shared" si="12"/>
        <v>0</v>
      </c>
      <c r="V58" s="10">
        <f t="shared" si="7"/>
        <v>800000</v>
      </c>
      <c r="W58" s="10">
        <f t="shared" si="8"/>
        <v>0</v>
      </c>
      <c r="X58" s="10">
        <f t="shared" si="9"/>
        <v>0</v>
      </c>
    </row>
    <row r="59" spans="1:24" s="9" customFormat="1" ht="13.5" customHeight="1" x14ac:dyDescent="0.2">
      <c r="A59" s="64">
        <f t="shared" si="10"/>
        <v>55</v>
      </c>
      <c r="B59" s="109" t="s">
        <v>1240</v>
      </c>
      <c r="C59" s="66" t="s">
        <v>1270</v>
      </c>
      <c r="D59" s="175">
        <v>1600000</v>
      </c>
      <c r="E59" s="462"/>
      <c r="F59" s="67">
        <f t="shared" si="13"/>
        <v>1600000</v>
      </c>
      <c r="G59" s="67">
        <v>1599000</v>
      </c>
      <c r="H59" s="67">
        <f t="shared" si="1"/>
        <v>1000</v>
      </c>
      <c r="I59" s="68">
        <v>5</v>
      </c>
      <c r="J59" s="68">
        <v>0.2</v>
      </c>
      <c r="K59" s="68">
        <v>0</v>
      </c>
      <c r="L59" s="67"/>
      <c r="M59" s="67">
        <f t="shared" si="2"/>
        <v>1599000</v>
      </c>
      <c r="N59" s="67">
        <f t="shared" si="3"/>
        <v>1000</v>
      </c>
      <c r="O59" s="111" t="s">
        <v>1731</v>
      </c>
      <c r="P59" s="111">
        <v>2</v>
      </c>
      <c r="Q59" s="70"/>
      <c r="R59" s="23">
        <f t="shared" si="11"/>
        <v>200</v>
      </c>
      <c r="S59" s="23">
        <f t="shared" si="4"/>
        <v>80000</v>
      </c>
      <c r="T59" s="23">
        <f t="shared" si="5"/>
        <v>-79000</v>
      </c>
      <c r="U59" s="23">
        <f t="shared" si="12"/>
        <v>0</v>
      </c>
      <c r="V59" s="10">
        <f t="shared" si="7"/>
        <v>320000</v>
      </c>
      <c r="W59" s="10">
        <f t="shared" si="8"/>
        <v>0</v>
      </c>
      <c r="X59" s="10">
        <f t="shared" si="9"/>
        <v>0</v>
      </c>
    </row>
    <row r="60" spans="1:24" s="9" customFormat="1" ht="13.5" customHeight="1" x14ac:dyDescent="0.2">
      <c r="A60" s="64">
        <f t="shared" si="10"/>
        <v>56</v>
      </c>
      <c r="B60" s="109" t="s">
        <v>1240</v>
      </c>
      <c r="C60" s="66" t="s">
        <v>1270</v>
      </c>
      <c r="D60" s="175">
        <v>1600000</v>
      </c>
      <c r="E60" s="462"/>
      <c r="F60" s="67">
        <f t="shared" si="13"/>
        <v>1600000</v>
      </c>
      <c r="G60" s="67">
        <v>1599000</v>
      </c>
      <c r="H60" s="67">
        <f t="shared" si="1"/>
        <v>1000</v>
      </c>
      <c r="I60" s="68">
        <v>5</v>
      </c>
      <c r="J60" s="68">
        <v>0.2</v>
      </c>
      <c r="K60" s="68">
        <v>0</v>
      </c>
      <c r="L60" s="67"/>
      <c r="M60" s="67">
        <f t="shared" si="2"/>
        <v>1599000</v>
      </c>
      <c r="N60" s="67">
        <f t="shared" si="3"/>
        <v>1000</v>
      </c>
      <c r="O60" s="111" t="s">
        <v>1727</v>
      </c>
      <c r="P60" s="111">
        <v>2</v>
      </c>
      <c r="Q60" s="70"/>
      <c r="R60" s="23">
        <f t="shared" si="11"/>
        <v>200</v>
      </c>
      <c r="S60" s="23">
        <f t="shared" si="4"/>
        <v>80000</v>
      </c>
      <c r="T60" s="23">
        <f t="shared" si="5"/>
        <v>-79000</v>
      </c>
      <c r="U60" s="23">
        <f t="shared" si="12"/>
        <v>0</v>
      </c>
      <c r="V60" s="10">
        <f t="shared" si="7"/>
        <v>320000</v>
      </c>
      <c r="W60" s="10">
        <f t="shared" si="8"/>
        <v>0</v>
      </c>
      <c r="X60" s="10">
        <f t="shared" si="9"/>
        <v>0</v>
      </c>
    </row>
    <row r="61" spans="1:24" s="9" customFormat="1" ht="13.5" customHeight="1" x14ac:dyDescent="0.2">
      <c r="A61" s="64">
        <f t="shared" si="10"/>
        <v>57</v>
      </c>
      <c r="B61" s="109" t="s">
        <v>1240</v>
      </c>
      <c r="C61" s="66" t="s">
        <v>1270</v>
      </c>
      <c r="D61" s="175">
        <v>4000000</v>
      </c>
      <c r="E61" s="462"/>
      <c r="F61" s="67">
        <f t="shared" si="13"/>
        <v>4000000</v>
      </c>
      <c r="G61" s="67">
        <v>3999000</v>
      </c>
      <c r="H61" s="67">
        <f t="shared" si="1"/>
        <v>1000</v>
      </c>
      <c r="I61" s="68">
        <v>5</v>
      </c>
      <c r="J61" s="68">
        <v>0.2</v>
      </c>
      <c r="K61" s="68">
        <v>0</v>
      </c>
      <c r="L61" s="67"/>
      <c r="M61" s="67">
        <f t="shared" si="2"/>
        <v>3999000</v>
      </c>
      <c r="N61" s="67">
        <f t="shared" si="3"/>
        <v>1000</v>
      </c>
      <c r="O61" s="111" t="s">
        <v>1727</v>
      </c>
      <c r="P61" s="111">
        <v>4</v>
      </c>
      <c r="Q61" s="70"/>
      <c r="R61" s="23">
        <f t="shared" si="11"/>
        <v>200</v>
      </c>
      <c r="S61" s="23">
        <f t="shared" si="4"/>
        <v>200000</v>
      </c>
      <c r="T61" s="23">
        <f t="shared" si="5"/>
        <v>-199000</v>
      </c>
      <c r="U61" s="23">
        <f t="shared" si="12"/>
        <v>0</v>
      </c>
      <c r="V61" s="10">
        <f t="shared" si="7"/>
        <v>800000</v>
      </c>
      <c r="W61" s="10">
        <f t="shared" si="8"/>
        <v>0</v>
      </c>
      <c r="X61" s="10">
        <f t="shared" si="9"/>
        <v>0</v>
      </c>
    </row>
    <row r="62" spans="1:24" s="9" customFormat="1" ht="13.5" customHeight="1" x14ac:dyDescent="0.2">
      <c r="A62" s="64">
        <f t="shared" si="10"/>
        <v>58</v>
      </c>
      <c r="B62" s="109" t="s">
        <v>1742</v>
      </c>
      <c r="C62" s="66" t="s">
        <v>261</v>
      </c>
      <c r="D62" s="175">
        <v>1300000</v>
      </c>
      <c r="E62" s="462"/>
      <c r="F62" s="67">
        <f t="shared" si="13"/>
        <v>1300000</v>
      </c>
      <c r="G62" s="67">
        <v>1299000</v>
      </c>
      <c r="H62" s="67">
        <f t="shared" si="1"/>
        <v>1000</v>
      </c>
      <c r="I62" s="68">
        <v>5</v>
      </c>
      <c r="J62" s="68">
        <v>0.2</v>
      </c>
      <c r="K62" s="68">
        <v>0</v>
      </c>
      <c r="L62" s="67"/>
      <c r="M62" s="67">
        <f t="shared" si="2"/>
        <v>1299000</v>
      </c>
      <c r="N62" s="67">
        <f t="shared" si="3"/>
        <v>1000</v>
      </c>
      <c r="O62" s="111" t="s">
        <v>1743</v>
      </c>
      <c r="P62" s="111">
        <v>10</v>
      </c>
      <c r="Q62" s="70"/>
      <c r="R62" s="23">
        <f t="shared" si="11"/>
        <v>200</v>
      </c>
      <c r="S62" s="23">
        <f t="shared" si="4"/>
        <v>65000</v>
      </c>
      <c r="T62" s="23">
        <f t="shared" si="5"/>
        <v>-64000</v>
      </c>
      <c r="U62" s="23">
        <f t="shared" si="12"/>
        <v>0</v>
      </c>
      <c r="V62" s="10">
        <f t="shared" si="7"/>
        <v>260000</v>
      </c>
      <c r="W62" s="10">
        <f t="shared" si="8"/>
        <v>0</v>
      </c>
      <c r="X62" s="10">
        <f t="shared" si="9"/>
        <v>0</v>
      </c>
    </row>
    <row r="63" spans="1:24" s="9" customFormat="1" ht="13.5" customHeight="1" x14ac:dyDescent="0.2">
      <c r="A63" s="64">
        <f t="shared" si="10"/>
        <v>59</v>
      </c>
      <c r="B63" s="109" t="s">
        <v>1744</v>
      </c>
      <c r="C63" s="66" t="s">
        <v>261</v>
      </c>
      <c r="D63" s="175">
        <v>3600000</v>
      </c>
      <c r="E63" s="462"/>
      <c r="F63" s="67">
        <f t="shared" si="13"/>
        <v>3600000</v>
      </c>
      <c r="G63" s="67">
        <v>3599000</v>
      </c>
      <c r="H63" s="67">
        <f t="shared" si="1"/>
        <v>1000</v>
      </c>
      <c r="I63" s="68">
        <v>5</v>
      </c>
      <c r="J63" s="68">
        <v>0.2</v>
      </c>
      <c r="K63" s="68">
        <v>0</v>
      </c>
      <c r="L63" s="67"/>
      <c r="M63" s="67">
        <f t="shared" si="2"/>
        <v>3599000</v>
      </c>
      <c r="N63" s="67">
        <f t="shared" si="3"/>
        <v>1000</v>
      </c>
      <c r="O63" s="111" t="s">
        <v>1745</v>
      </c>
      <c r="P63" s="111">
        <f>100+100+200</f>
        <v>400</v>
      </c>
      <c r="Q63" s="70"/>
      <c r="R63" s="23">
        <f t="shared" si="11"/>
        <v>200</v>
      </c>
      <c r="S63" s="23">
        <f t="shared" si="4"/>
        <v>180000</v>
      </c>
      <c r="T63" s="23">
        <f t="shared" si="5"/>
        <v>-179000</v>
      </c>
      <c r="U63" s="23">
        <f t="shared" si="12"/>
        <v>0</v>
      </c>
      <c r="V63" s="10">
        <f t="shared" si="7"/>
        <v>720000</v>
      </c>
      <c r="W63" s="10">
        <f t="shared" si="8"/>
        <v>0</v>
      </c>
      <c r="X63" s="10">
        <f t="shared" si="9"/>
        <v>0</v>
      </c>
    </row>
    <row r="64" spans="1:24" s="9" customFormat="1" ht="13.5" customHeight="1" x14ac:dyDescent="0.2">
      <c r="A64" s="64">
        <f t="shared" si="10"/>
        <v>60</v>
      </c>
      <c r="B64" s="109" t="s">
        <v>1746</v>
      </c>
      <c r="C64" s="66" t="s">
        <v>261</v>
      </c>
      <c r="D64" s="175">
        <v>780000</v>
      </c>
      <c r="E64" s="462"/>
      <c r="F64" s="67">
        <f t="shared" si="13"/>
        <v>780000</v>
      </c>
      <c r="G64" s="67">
        <v>779000</v>
      </c>
      <c r="H64" s="67">
        <f t="shared" si="1"/>
        <v>1000</v>
      </c>
      <c r="I64" s="68">
        <v>5</v>
      </c>
      <c r="J64" s="68">
        <v>0.2</v>
      </c>
      <c r="K64" s="68">
        <v>0</v>
      </c>
      <c r="L64" s="67"/>
      <c r="M64" s="67">
        <f t="shared" si="2"/>
        <v>779000</v>
      </c>
      <c r="N64" s="67">
        <f t="shared" si="3"/>
        <v>1000</v>
      </c>
      <c r="O64" s="111" t="s">
        <v>1747</v>
      </c>
      <c r="P64" s="111">
        <f>12+2+12</f>
        <v>26</v>
      </c>
      <c r="Q64" s="70"/>
      <c r="R64" s="23">
        <f t="shared" si="11"/>
        <v>200</v>
      </c>
      <c r="S64" s="23">
        <f t="shared" si="4"/>
        <v>39000</v>
      </c>
      <c r="T64" s="23">
        <f t="shared" si="5"/>
        <v>-38000</v>
      </c>
      <c r="U64" s="23">
        <f t="shared" si="12"/>
        <v>0</v>
      </c>
      <c r="V64" s="10">
        <f t="shared" si="7"/>
        <v>156000</v>
      </c>
      <c r="W64" s="10">
        <f t="shared" si="8"/>
        <v>0</v>
      </c>
      <c r="X64" s="10">
        <f t="shared" si="9"/>
        <v>0</v>
      </c>
    </row>
    <row r="65" spans="1:24" s="9" customFormat="1" ht="13.5" customHeight="1" x14ac:dyDescent="0.2">
      <c r="A65" s="64">
        <f t="shared" si="10"/>
        <v>61</v>
      </c>
      <c r="B65" s="109" t="s">
        <v>1240</v>
      </c>
      <c r="C65" s="66" t="s">
        <v>261</v>
      </c>
      <c r="D65" s="175">
        <v>23727840</v>
      </c>
      <c r="E65" s="462"/>
      <c r="F65" s="67">
        <f t="shared" si="13"/>
        <v>23727840</v>
      </c>
      <c r="G65" s="67">
        <v>23726840</v>
      </c>
      <c r="H65" s="67">
        <f t="shared" si="1"/>
        <v>1000</v>
      </c>
      <c r="I65" s="68">
        <v>5</v>
      </c>
      <c r="J65" s="68">
        <v>0.2</v>
      </c>
      <c r="K65" s="68">
        <v>0</v>
      </c>
      <c r="L65" s="67"/>
      <c r="M65" s="67">
        <f t="shared" si="2"/>
        <v>23726840</v>
      </c>
      <c r="N65" s="67">
        <f t="shared" si="3"/>
        <v>1000</v>
      </c>
      <c r="O65" s="111" t="s">
        <v>1748</v>
      </c>
      <c r="P65" s="111">
        <v>17</v>
      </c>
      <c r="Q65" s="70"/>
      <c r="R65" s="23">
        <f t="shared" si="11"/>
        <v>200</v>
      </c>
      <c r="S65" s="23">
        <f t="shared" si="4"/>
        <v>1186392</v>
      </c>
      <c r="T65" s="23">
        <f t="shared" si="5"/>
        <v>-1185392</v>
      </c>
      <c r="U65" s="23">
        <f t="shared" si="12"/>
        <v>0</v>
      </c>
      <c r="V65" s="10">
        <f t="shared" si="7"/>
        <v>4745568</v>
      </c>
      <c r="W65" s="10">
        <f t="shared" si="8"/>
        <v>0</v>
      </c>
      <c r="X65" s="10">
        <f t="shared" si="9"/>
        <v>0</v>
      </c>
    </row>
    <row r="66" spans="1:24" s="9" customFormat="1" ht="13.5" customHeight="1" x14ac:dyDescent="0.2">
      <c r="A66" s="64">
        <f t="shared" si="10"/>
        <v>62</v>
      </c>
      <c r="B66" s="109" t="s">
        <v>1240</v>
      </c>
      <c r="C66" s="66" t="s">
        <v>261</v>
      </c>
      <c r="D66" s="175">
        <v>1000000</v>
      </c>
      <c r="E66" s="462"/>
      <c r="F66" s="67">
        <f t="shared" si="13"/>
        <v>1000000</v>
      </c>
      <c r="G66" s="67">
        <v>999000</v>
      </c>
      <c r="H66" s="67">
        <f t="shared" si="1"/>
        <v>1000</v>
      </c>
      <c r="I66" s="68">
        <v>5</v>
      </c>
      <c r="J66" s="68">
        <v>0.2</v>
      </c>
      <c r="K66" s="68">
        <v>0</v>
      </c>
      <c r="L66" s="67"/>
      <c r="M66" s="67">
        <f t="shared" si="2"/>
        <v>999000</v>
      </c>
      <c r="N66" s="67">
        <f t="shared" si="3"/>
        <v>1000</v>
      </c>
      <c r="O66" s="111" t="s">
        <v>1729</v>
      </c>
      <c r="P66" s="111">
        <v>1</v>
      </c>
      <c r="Q66" s="70"/>
      <c r="R66" s="23">
        <f t="shared" si="11"/>
        <v>200</v>
      </c>
      <c r="S66" s="23">
        <f t="shared" si="4"/>
        <v>50000</v>
      </c>
      <c r="T66" s="23">
        <f t="shared" si="5"/>
        <v>-49000</v>
      </c>
      <c r="U66" s="23">
        <f t="shared" si="12"/>
        <v>0</v>
      </c>
      <c r="V66" s="10">
        <f t="shared" si="7"/>
        <v>200000</v>
      </c>
      <c r="W66" s="10">
        <f t="shared" si="8"/>
        <v>0</v>
      </c>
      <c r="X66" s="10">
        <f t="shared" si="9"/>
        <v>0</v>
      </c>
    </row>
    <row r="67" spans="1:24" s="9" customFormat="1" ht="13.5" customHeight="1" x14ac:dyDescent="0.2">
      <c r="A67" s="64">
        <f t="shared" si="10"/>
        <v>63</v>
      </c>
      <c r="B67" s="109" t="s">
        <v>1240</v>
      </c>
      <c r="C67" s="66" t="s">
        <v>261</v>
      </c>
      <c r="D67" s="175">
        <v>1600000</v>
      </c>
      <c r="E67" s="462"/>
      <c r="F67" s="67">
        <f t="shared" si="13"/>
        <v>1600000</v>
      </c>
      <c r="G67" s="67">
        <v>1599000</v>
      </c>
      <c r="H67" s="67">
        <f t="shared" si="1"/>
        <v>1000</v>
      </c>
      <c r="I67" s="68">
        <v>5</v>
      </c>
      <c r="J67" s="68">
        <v>0.2</v>
      </c>
      <c r="K67" s="68">
        <v>0</v>
      </c>
      <c r="L67" s="67"/>
      <c r="M67" s="67">
        <f t="shared" si="2"/>
        <v>1599000</v>
      </c>
      <c r="N67" s="67">
        <f t="shared" si="3"/>
        <v>1000</v>
      </c>
      <c r="O67" s="111" t="s">
        <v>1729</v>
      </c>
      <c r="P67" s="111">
        <v>2</v>
      </c>
      <c r="Q67" s="70"/>
      <c r="R67" s="23">
        <f t="shared" si="11"/>
        <v>200</v>
      </c>
      <c r="S67" s="23">
        <f t="shared" si="4"/>
        <v>80000</v>
      </c>
      <c r="T67" s="23">
        <f t="shared" si="5"/>
        <v>-79000</v>
      </c>
      <c r="U67" s="23">
        <f t="shared" si="12"/>
        <v>0</v>
      </c>
      <c r="V67" s="10">
        <f t="shared" si="7"/>
        <v>320000</v>
      </c>
      <c r="W67" s="10">
        <f t="shared" si="8"/>
        <v>0</v>
      </c>
      <c r="X67" s="10">
        <f t="shared" si="9"/>
        <v>0</v>
      </c>
    </row>
    <row r="68" spans="1:24" s="9" customFormat="1" ht="13.5" customHeight="1" x14ac:dyDescent="0.2">
      <c r="A68" s="64">
        <f t="shared" si="10"/>
        <v>64</v>
      </c>
      <c r="B68" s="109" t="s">
        <v>1240</v>
      </c>
      <c r="C68" s="66" t="s">
        <v>746</v>
      </c>
      <c r="D68" s="175">
        <v>2400000</v>
      </c>
      <c r="E68" s="462"/>
      <c r="F68" s="67">
        <f t="shared" si="13"/>
        <v>2400000</v>
      </c>
      <c r="G68" s="67">
        <v>2399000</v>
      </c>
      <c r="H68" s="67">
        <f t="shared" si="1"/>
        <v>1000</v>
      </c>
      <c r="I68" s="68">
        <v>5</v>
      </c>
      <c r="J68" s="68">
        <v>0.2</v>
      </c>
      <c r="K68" s="68">
        <v>0</v>
      </c>
      <c r="L68" s="67"/>
      <c r="M68" s="67">
        <f t="shared" si="2"/>
        <v>2399000</v>
      </c>
      <c r="N68" s="67">
        <f t="shared" si="3"/>
        <v>1000</v>
      </c>
      <c r="O68" s="111" t="s">
        <v>1729</v>
      </c>
      <c r="P68" s="111">
        <v>3</v>
      </c>
      <c r="Q68" s="70"/>
      <c r="R68" s="23">
        <f t="shared" si="11"/>
        <v>200</v>
      </c>
      <c r="S68" s="23">
        <f t="shared" si="4"/>
        <v>120000</v>
      </c>
      <c r="T68" s="23">
        <f t="shared" si="5"/>
        <v>-119000</v>
      </c>
      <c r="U68" s="23">
        <f t="shared" si="12"/>
        <v>0</v>
      </c>
      <c r="V68" s="10">
        <f t="shared" si="7"/>
        <v>480000</v>
      </c>
      <c r="W68" s="10">
        <f t="shared" si="8"/>
        <v>0</v>
      </c>
      <c r="X68" s="10">
        <f t="shared" si="9"/>
        <v>0</v>
      </c>
    </row>
    <row r="69" spans="1:24" s="9" customFormat="1" ht="13.5" customHeight="1" x14ac:dyDescent="0.2">
      <c r="A69" s="64">
        <f t="shared" si="10"/>
        <v>65</v>
      </c>
      <c r="B69" s="109" t="s">
        <v>263</v>
      </c>
      <c r="C69" s="66" t="s">
        <v>1749</v>
      </c>
      <c r="D69" s="175">
        <v>1250000</v>
      </c>
      <c r="E69" s="462"/>
      <c r="F69" s="67">
        <f t="shared" si="13"/>
        <v>1250000</v>
      </c>
      <c r="G69" s="67">
        <v>1249000</v>
      </c>
      <c r="H69" s="67">
        <f t="shared" ref="H69:H132" si="14">+F69-G69</f>
        <v>1000</v>
      </c>
      <c r="I69" s="68">
        <v>5</v>
      </c>
      <c r="J69" s="68">
        <v>0.2</v>
      </c>
      <c r="K69" s="68">
        <v>0</v>
      </c>
      <c r="L69" s="67"/>
      <c r="M69" s="67">
        <f t="shared" ref="M69:M132" si="15">+G69+L69</f>
        <v>1249000</v>
      </c>
      <c r="N69" s="67">
        <f t="shared" ref="N69:N132" si="16">+F69-M69</f>
        <v>1000</v>
      </c>
      <c r="O69" s="111" t="s">
        <v>221</v>
      </c>
      <c r="P69" s="111">
        <v>1</v>
      </c>
      <c r="Q69" s="70"/>
      <c r="R69" s="23">
        <f t="shared" si="11"/>
        <v>200</v>
      </c>
      <c r="S69" s="23">
        <f t="shared" ref="S69:S132" si="17">D69*0.05</f>
        <v>62500</v>
      </c>
      <c r="T69" s="23">
        <f t="shared" ref="T69:T132" si="18">N69-S69</f>
        <v>-61500</v>
      </c>
      <c r="U69" s="23">
        <f t="shared" si="12"/>
        <v>0</v>
      </c>
      <c r="V69" s="10">
        <f t="shared" ref="V69:V132" si="19">F69/I69</f>
        <v>250000</v>
      </c>
      <c r="W69" s="10">
        <f t="shared" ref="W69:W132" si="20">ROUND(IF(H69&lt;=1000,0,V69/12*0),0)</f>
        <v>0</v>
      </c>
      <c r="X69" s="10">
        <f t="shared" ref="X69:X132" si="21">L69-W69</f>
        <v>0</v>
      </c>
    </row>
    <row r="70" spans="1:24" s="9" customFormat="1" ht="13.5" customHeight="1" x14ac:dyDescent="0.2">
      <c r="A70" s="64">
        <f t="shared" ref="A70:A133" si="22">+A69+1</f>
        <v>66</v>
      </c>
      <c r="B70" s="109" t="s">
        <v>1750</v>
      </c>
      <c r="C70" s="66" t="s">
        <v>1751</v>
      </c>
      <c r="D70" s="175">
        <v>410000</v>
      </c>
      <c r="E70" s="462"/>
      <c r="F70" s="67">
        <f t="shared" si="13"/>
        <v>410000</v>
      </c>
      <c r="G70" s="67">
        <v>409000</v>
      </c>
      <c r="H70" s="67">
        <f t="shared" si="14"/>
        <v>1000</v>
      </c>
      <c r="I70" s="68">
        <v>5</v>
      </c>
      <c r="J70" s="68">
        <v>0.2</v>
      </c>
      <c r="K70" s="68">
        <v>0</v>
      </c>
      <c r="L70" s="67"/>
      <c r="M70" s="67">
        <f t="shared" si="15"/>
        <v>409000</v>
      </c>
      <c r="N70" s="67">
        <f t="shared" si="16"/>
        <v>1000</v>
      </c>
      <c r="O70" s="111" t="s">
        <v>1752</v>
      </c>
      <c r="P70" s="111">
        <v>1</v>
      </c>
      <c r="Q70" s="70"/>
      <c r="R70" s="23">
        <f t="shared" si="11"/>
        <v>200</v>
      </c>
      <c r="S70" s="23">
        <f t="shared" si="17"/>
        <v>20500</v>
      </c>
      <c r="T70" s="23">
        <f t="shared" si="18"/>
        <v>-19500</v>
      </c>
      <c r="U70" s="23">
        <f t="shared" si="12"/>
        <v>0</v>
      </c>
      <c r="V70" s="10">
        <f t="shared" si="19"/>
        <v>82000</v>
      </c>
      <c r="W70" s="10">
        <f t="shared" si="20"/>
        <v>0</v>
      </c>
      <c r="X70" s="10">
        <f t="shared" si="21"/>
        <v>0</v>
      </c>
    </row>
    <row r="71" spans="1:24" s="9" customFormat="1" ht="13.5" customHeight="1" x14ac:dyDescent="0.2">
      <c r="A71" s="64">
        <f t="shared" si="22"/>
        <v>67</v>
      </c>
      <c r="B71" s="109" t="s">
        <v>1753</v>
      </c>
      <c r="C71" s="66" t="s">
        <v>1751</v>
      </c>
      <c r="D71" s="175">
        <v>690000</v>
      </c>
      <c r="E71" s="462"/>
      <c r="F71" s="67">
        <f t="shared" si="13"/>
        <v>690000</v>
      </c>
      <c r="G71" s="67">
        <v>689000</v>
      </c>
      <c r="H71" s="67">
        <f t="shared" si="14"/>
        <v>1000</v>
      </c>
      <c r="I71" s="68">
        <v>5</v>
      </c>
      <c r="J71" s="68">
        <v>0.2</v>
      </c>
      <c r="K71" s="68">
        <v>0</v>
      </c>
      <c r="L71" s="67"/>
      <c r="M71" s="67">
        <f t="shared" si="15"/>
        <v>689000</v>
      </c>
      <c r="N71" s="67">
        <f t="shared" si="16"/>
        <v>1000</v>
      </c>
      <c r="O71" s="111" t="s">
        <v>1752</v>
      </c>
      <c r="P71" s="111">
        <v>1</v>
      </c>
      <c r="Q71" s="70"/>
      <c r="R71" s="23">
        <f t="shared" si="11"/>
        <v>200</v>
      </c>
      <c r="S71" s="23">
        <f t="shared" si="17"/>
        <v>34500</v>
      </c>
      <c r="T71" s="23">
        <f t="shared" si="18"/>
        <v>-33500</v>
      </c>
      <c r="U71" s="23">
        <f t="shared" si="12"/>
        <v>0</v>
      </c>
      <c r="V71" s="10">
        <f t="shared" si="19"/>
        <v>138000</v>
      </c>
      <c r="W71" s="10">
        <f t="shared" si="20"/>
        <v>0</v>
      </c>
      <c r="X71" s="10">
        <f t="shared" si="21"/>
        <v>0</v>
      </c>
    </row>
    <row r="72" spans="1:24" s="9" customFormat="1" ht="13.5" customHeight="1" x14ac:dyDescent="0.2">
      <c r="A72" s="64">
        <f t="shared" si="22"/>
        <v>68</v>
      </c>
      <c r="B72" s="109" t="s">
        <v>1240</v>
      </c>
      <c r="C72" s="66" t="s">
        <v>1754</v>
      </c>
      <c r="D72" s="175">
        <v>1651300</v>
      </c>
      <c r="E72" s="462"/>
      <c r="F72" s="67">
        <f t="shared" si="13"/>
        <v>1651300</v>
      </c>
      <c r="G72" s="67">
        <v>1650300</v>
      </c>
      <c r="H72" s="67">
        <f t="shared" si="14"/>
        <v>1000</v>
      </c>
      <c r="I72" s="68">
        <v>5</v>
      </c>
      <c r="J72" s="68">
        <v>0.2</v>
      </c>
      <c r="K72" s="68">
        <v>0</v>
      </c>
      <c r="L72" s="67"/>
      <c r="M72" s="67">
        <f t="shared" si="15"/>
        <v>1650300</v>
      </c>
      <c r="N72" s="67">
        <f t="shared" si="16"/>
        <v>1000</v>
      </c>
      <c r="O72" s="111" t="s">
        <v>1748</v>
      </c>
      <c r="P72" s="111">
        <v>2</v>
      </c>
      <c r="Q72" s="70"/>
      <c r="R72" s="23">
        <f t="shared" si="11"/>
        <v>200</v>
      </c>
      <c r="S72" s="23">
        <f t="shared" si="17"/>
        <v>82565</v>
      </c>
      <c r="T72" s="23">
        <f t="shared" si="18"/>
        <v>-81565</v>
      </c>
      <c r="U72" s="23">
        <f t="shared" si="12"/>
        <v>0</v>
      </c>
      <c r="V72" s="10">
        <f t="shared" si="19"/>
        <v>330260</v>
      </c>
      <c r="W72" s="10">
        <f t="shared" si="20"/>
        <v>0</v>
      </c>
      <c r="X72" s="10">
        <f t="shared" si="21"/>
        <v>0</v>
      </c>
    </row>
    <row r="73" spans="1:24" s="9" customFormat="1" ht="13.5" customHeight="1" x14ac:dyDescent="0.2">
      <c r="A73" s="64">
        <f t="shared" si="22"/>
        <v>69</v>
      </c>
      <c r="B73" s="109" t="s">
        <v>1240</v>
      </c>
      <c r="C73" s="66" t="s">
        <v>1282</v>
      </c>
      <c r="D73" s="175">
        <v>2600000</v>
      </c>
      <c r="E73" s="462"/>
      <c r="F73" s="67">
        <f t="shared" si="13"/>
        <v>2600000</v>
      </c>
      <c r="G73" s="67">
        <v>2599000</v>
      </c>
      <c r="H73" s="67">
        <f t="shared" si="14"/>
        <v>1000</v>
      </c>
      <c r="I73" s="68">
        <v>5</v>
      </c>
      <c r="J73" s="68">
        <v>0.2</v>
      </c>
      <c r="K73" s="68">
        <v>0</v>
      </c>
      <c r="L73" s="67"/>
      <c r="M73" s="67">
        <f t="shared" si="15"/>
        <v>2599000</v>
      </c>
      <c r="N73" s="67">
        <f t="shared" si="16"/>
        <v>1000</v>
      </c>
      <c r="O73" s="111" t="s">
        <v>1729</v>
      </c>
      <c r="P73" s="111">
        <v>3</v>
      </c>
      <c r="Q73" s="70"/>
      <c r="R73" s="23">
        <f t="shared" ref="R73:R115" si="23">+N73*J73</f>
        <v>200</v>
      </c>
      <c r="S73" s="23">
        <f t="shared" si="17"/>
        <v>130000</v>
      </c>
      <c r="T73" s="23">
        <f t="shared" si="18"/>
        <v>-129000</v>
      </c>
      <c r="U73" s="23">
        <f t="shared" si="12"/>
        <v>0</v>
      </c>
      <c r="V73" s="10">
        <f t="shared" si="19"/>
        <v>520000</v>
      </c>
      <c r="W73" s="10">
        <f t="shared" si="20"/>
        <v>0</v>
      </c>
      <c r="X73" s="10">
        <f t="shared" si="21"/>
        <v>0</v>
      </c>
    </row>
    <row r="74" spans="1:24" s="9" customFormat="1" ht="13.5" customHeight="1" x14ac:dyDescent="0.2">
      <c r="A74" s="64">
        <f t="shared" si="22"/>
        <v>70</v>
      </c>
      <c r="B74" s="109" t="s">
        <v>1240</v>
      </c>
      <c r="C74" s="66" t="s">
        <v>1282</v>
      </c>
      <c r="D74" s="175">
        <v>4800000</v>
      </c>
      <c r="E74" s="462"/>
      <c r="F74" s="67">
        <f t="shared" si="13"/>
        <v>4800000</v>
      </c>
      <c r="G74" s="67">
        <v>4799000</v>
      </c>
      <c r="H74" s="67">
        <f t="shared" si="14"/>
        <v>1000</v>
      </c>
      <c r="I74" s="68">
        <v>5</v>
      </c>
      <c r="J74" s="68">
        <v>0.2</v>
      </c>
      <c r="K74" s="68">
        <v>0</v>
      </c>
      <c r="L74" s="67"/>
      <c r="M74" s="67">
        <f t="shared" si="15"/>
        <v>4799000</v>
      </c>
      <c r="N74" s="67">
        <f t="shared" si="16"/>
        <v>1000</v>
      </c>
      <c r="O74" s="111" t="s">
        <v>1729</v>
      </c>
      <c r="P74" s="111">
        <v>6</v>
      </c>
      <c r="Q74" s="70"/>
      <c r="R74" s="23">
        <f t="shared" si="23"/>
        <v>200</v>
      </c>
      <c r="S74" s="23">
        <f t="shared" si="17"/>
        <v>240000</v>
      </c>
      <c r="T74" s="23">
        <f t="shared" si="18"/>
        <v>-239000</v>
      </c>
      <c r="U74" s="23">
        <f t="shared" si="12"/>
        <v>0</v>
      </c>
      <c r="V74" s="10">
        <f t="shared" si="19"/>
        <v>960000</v>
      </c>
      <c r="W74" s="10">
        <f t="shared" si="20"/>
        <v>0</v>
      </c>
      <c r="X74" s="10">
        <f t="shared" si="21"/>
        <v>0</v>
      </c>
    </row>
    <row r="75" spans="1:24" s="9" customFormat="1" ht="13.5" customHeight="1" x14ac:dyDescent="0.2">
      <c r="A75" s="64">
        <f t="shared" si="22"/>
        <v>71</v>
      </c>
      <c r="B75" s="109" t="s">
        <v>1240</v>
      </c>
      <c r="C75" s="66" t="s">
        <v>1282</v>
      </c>
      <c r="D75" s="175">
        <v>1000000</v>
      </c>
      <c r="E75" s="462"/>
      <c r="F75" s="67">
        <f t="shared" si="13"/>
        <v>1000000</v>
      </c>
      <c r="G75" s="67">
        <v>999000</v>
      </c>
      <c r="H75" s="67">
        <f t="shared" si="14"/>
        <v>1000</v>
      </c>
      <c r="I75" s="68">
        <v>5</v>
      </c>
      <c r="J75" s="68">
        <v>0.2</v>
      </c>
      <c r="K75" s="68">
        <v>0</v>
      </c>
      <c r="L75" s="67"/>
      <c r="M75" s="67">
        <f t="shared" si="15"/>
        <v>999000</v>
      </c>
      <c r="N75" s="67">
        <f t="shared" si="16"/>
        <v>1000</v>
      </c>
      <c r="O75" s="111" t="s">
        <v>1729</v>
      </c>
      <c r="P75" s="111">
        <v>1</v>
      </c>
      <c r="Q75" s="70"/>
      <c r="R75" s="23">
        <f t="shared" si="23"/>
        <v>200</v>
      </c>
      <c r="S75" s="23">
        <f t="shared" si="17"/>
        <v>50000</v>
      </c>
      <c r="T75" s="23">
        <f t="shared" si="18"/>
        <v>-49000</v>
      </c>
      <c r="U75" s="23">
        <f t="shared" si="12"/>
        <v>0</v>
      </c>
      <c r="V75" s="10">
        <f t="shared" si="19"/>
        <v>200000</v>
      </c>
      <c r="W75" s="10">
        <f t="shared" si="20"/>
        <v>0</v>
      </c>
      <c r="X75" s="10">
        <f t="shared" si="21"/>
        <v>0</v>
      </c>
    </row>
    <row r="76" spans="1:24" s="9" customFormat="1" ht="13.5" customHeight="1" x14ac:dyDescent="0.2">
      <c r="A76" s="64">
        <f t="shared" si="22"/>
        <v>72</v>
      </c>
      <c r="B76" s="109" t="s">
        <v>1240</v>
      </c>
      <c r="C76" s="66" t="s">
        <v>1289</v>
      </c>
      <c r="D76" s="175">
        <v>800000</v>
      </c>
      <c r="E76" s="462"/>
      <c r="F76" s="67">
        <f t="shared" si="13"/>
        <v>800000</v>
      </c>
      <c r="G76" s="67">
        <v>799000</v>
      </c>
      <c r="H76" s="67">
        <f t="shared" si="14"/>
        <v>1000</v>
      </c>
      <c r="I76" s="68">
        <v>5</v>
      </c>
      <c r="J76" s="68">
        <v>0.2</v>
      </c>
      <c r="K76" s="68">
        <v>0</v>
      </c>
      <c r="L76" s="67"/>
      <c r="M76" s="67">
        <f t="shared" si="15"/>
        <v>799000</v>
      </c>
      <c r="N76" s="67">
        <f t="shared" si="16"/>
        <v>1000</v>
      </c>
      <c r="O76" s="111" t="s">
        <v>1729</v>
      </c>
      <c r="P76" s="111">
        <v>1</v>
      </c>
      <c r="Q76" s="70"/>
      <c r="R76" s="23">
        <f t="shared" si="23"/>
        <v>200</v>
      </c>
      <c r="S76" s="23">
        <f t="shared" si="17"/>
        <v>40000</v>
      </c>
      <c r="T76" s="23">
        <f t="shared" si="18"/>
        <v>-39000</v>
      </c>
      <c r="U76" s="23">
        <f t="shared" si="12"/>
        <v>0</v>
      </c>
      <c r="V76" s="10">
        <f t="shared" si="19"/>
        <v>160000</v>
      </c>
      <c r="W76" s="10">
        <f t="shared" si="20"/>
        <v>0</v>
      </c>
      <c r="X76" s="10">
        <f t="shared" si="21"/>
        <v>0</v>
      </c>
    </row>
    <row r="77" spans="1:24" s="9" customFormat="1" ht="13.5" customHeight="1" x14ac:dyDescent="0.2">
      <c r="A77" s="64">
        <f t="shared" si="22"/>
        <v>73</v>
      </c>
      <c r="B77" s="109" t="s">
        <v>1240</v>
      </c>
      <c r="C77" s="66" t="s">
        <v>1289</v>
      </c>
      <c r="D77" s="175">
        <v>1600000</v>
      </c>
      <c r="E77" s="462"/>
      <c r="F77" s="67">
        <f t="shared" si="13"/>
        <v>1600000</v>
      </c>
      <c r="G77" s="67">
        <v>1599000</v>
      </c>
      <c r="H77" s="67">
        <f t="shared" si="14"/>
        <v>1000</v>
      </c>
      <c r="I77" s="68">
        <v>5</v>
      </c>
      <c r="J77" s="68">
        <v>0.2</v>
      </c>
      <c r="K77" s="68">
        <v>0</v>
      </c>
      <c r="L77" s="67"/>
      <c r="M77" s="67">
        <f t="shared" si="15"/>
        <v>1599000</v>
      </c>
      <c r="N77" s="67">
        <f t="shared" si="16"/>
        <v>1000</v>
      </c>
      <c r="O77" s="111" t="s">
        <v>1729</v>
      </c>
      <c r="P77" s="111">
        <v>2</v>
      </c>
      <c r="Q77" s="70"/>
      <c r="R77" s="23">
        <f t="shared" si="23"/>
        <v>200</v>
      </c>
      <c r="S77" s="23">
        <f t="shared" si="17"/>
        <v>80000</v>
      </c>
      <c r="T77" s="23">
        <f t="shared" si="18"/>
        <v>-79000</v>
      </c>
      <c r="U77" s="23">
        <f t="shared" si="12"/>
        <v>0</v>
      </c>
      <c r="V77" s="10">
        <f t="shared" si="19"/>
        <v>320000</v>
      </c>
      <c r="W77" s="10">
        <f t="shared" si="20"/>
        <v>0</v>
      </c>
      <c r="X77" s="10">
        <f t="shared" si="21"/>
        <v>0</v>
      </c>
    </row>
    <row r="78" spans="1:24" s="9" customFormat="1" ht="13.5" customHeight="1" x14ac:dyDescent="0.2">
      <c r="A78" s="64">
        <f t="shared" si="22"/>
        <v>74</v>
      </c>
      <c r="B78" s="109" t="s">
        <v>1755</v>
      </c>
      <c r="C78" s="66" t="s">
        <v>266</v>
      </c>
      <c r="D78" s="175">
        <v>361900</v>
      </c>
      <c r="E78" s="462"/>
      <c r="F78" s="67">
        <f t="shared" si="13"/>
        <v>361900</v>
      </c>
      <c r="G78" s="67">
        <v>360900</v>
      </c>
      <c r="H78" s="67">
        <f t="shared" si="14"/>
        <v>1000</v>
      </c>
      <c r="I78" s="68">
        <v>5</v>
      </c>
      <c r="J78" s="68">
        <v>0.2</v>
      </c>
      <c r="K78" s="68">
        <v>0</v>
      </c>
      <c r="L78" s="67"/>
      <c r="M78" s="67">
        <f t="shared" si="15"/>
        <v>360900</v>
      </c>
      <c r="N78" s="67">
        <f t="shared" si="16"/>
        <v>1000</v>
      </c>
      <c r="O78" s="505" t="s">
        <v>1293</v>
      </c>
      <c r="P78" s="111">
        <v>5</v>
      </c>
      <c r="Q78" s="70"/>
      <c r="R78" s="23">
        <f t="shared" si="23"/>
        <v>200</v>
      </c>
      <c r="S78" s="23">
        <f t="shared" si="17"/>
        <v>18095</v>
      </c>
      <c r="T78" s="23">
        <f t="shared" si="18"/>
        <v>-17095</v>
      </c>
      <c r="U78" s="23">
        <f t="shared" si="12"/>
        <v>0</v>
      </c>
      <c r="V78" s="10">
        <f t="shared" si="19"/>
        <v>72380</v>
      </c>
      <c r="W78" s="10">
        <f t="shared" si="20"/>
        <v>0</v>
      </c>
      <c r="X78" s="10">
        <f t="shared" si="21"/>
        <v>0</v>
      </c>
    </row>
    <row r="79" spans="1:24" s="9" customFormat="1" ht="13.5" customHeight="1" x14ac:dyDescent="0.2">
      <c r="A79" s="64">
        <f t="shared" si="22"/>
        <v>75</v>
      </c>
      <c r="B79" s="109" t="s">
        <v>1240</v>
      </c>
      <c r="C79" s="66" t="s">
        <v>1295</v>
      </c>
      <c r="D79" s="175">
        <v>1850400</v>
      </c>
      <c r="E79" s="462"/>
      <c r="F79" s="67">
        <f t="shared" si="13"/>
        <v>1850400</v>
      </c>
      <c r="G79" s="67">
        <v>1849400</v>
      </c>
      <c r="H79" s="67">
        <f t="shared" si="14"/>
        <v>1000</v>
      </c>
      <c r="I79" s="68">
        <v>5</v>
      </c>
      <c r="J79" s="68">
        <v>0.2</v>
      </c>
      <c r="K79" s="68">
        <v>0</v>
      </c>
      <c r="L79" s="67"/>
      <c r="M79" s="67">
        <f t="shared" si="15"/>
        <v>1849400</v>
      </c>
      <c r="N79" s="67">
        <f t="shared" si="16"/>
        <v>1000</v>
      </c>
      <c r="O79" s="498" t="s">
        <v>1756</v>
      </c>
      <c r="P79" s="111">
        <v>2</v>
      </c>
      <c r="Q79" s="70"/>
      <c r="R79" s="23">
        <f t="shared" si="23"/>
        <v>200</v>
      </c>
      <c r="S79" s="23">
        <f t="shared" si="17"/>
        <v>92520</v>
      </c>
      <c r="T79" s="23">
        <f t="shared" si="18"/>
        <v>-91520</v>
      </c>
      <c r="U79" s="23">
        <f t="shared" si="12"/>
        <v>0</v>
      </c>
      <c r="V79" s="10">
        <f t="shared" si="19"/>
        <v>370080</v>
      </c>
      <c r="W79" s="10">
        <f t="shared" si="20"/>
        <v>0</v>
      </c>
      <c r="X79" s="10">
        <f t="shared" si="21"/>
        <v>0</v>
      </c>
    </row>
    <row r="80" spans="1:24" s="9" customFormat="1" ht="13.5" customHeight="1" x14ac:dyDescent="0.2">
      <c r="A80" s="64">
        <f t="shared" si="22"/>
        <v>76</v>
      </c>
      <c r="B80" s="109" t="s">
        <v>1240</v>
      </c>
      <c r="C80" s="66" t="s">
        <v>1295</v>
      </c>
      <c r="D80" s="175">
        <v>4626000</v>
      </c>
      <c r="E80" s="462"/>
      <c r="F80" s="67">
        <f t="shared" si="13"/>
        <v>4626000</v>
      </c>
      <c r="G80" s="67">
        <v>4625000</v>
      </c>
      <c r="H80" s="67">
        <f t="shared" si="14"/>
        <v>1000</v>
      </c>
      <c r="I80" s="68">
        <v>5</v>
      </c>
      <c r="J80" s="68">
        <v>0.2</v>
      </c>
      <c r="K80" s="68">
        <v>0</v>
      </c>
      <c r="L80" s="67"/>
      <c r="M80" s="67">
        <f t="shared" si="15"/>
        <v>4625000</v>
      </c>
      <c r="N80" s="67">
        <f t="shared" si="16"/>
        <v>1000</v>
      </c>
      <c r="O80" s="498" t="s">
        <v>1756</v>
      </c>
      <c r="P80" s="111">
        <v>5</v>
      </c>
      <c r="Q80" s="70"/>
      <c r="R80" s="23">
        <f t="shared" si="23"/>
        <v>200</v>
      </c>
      <c r="S80" s="23">
        <f t="shared" si="17"/>
        <v>231300</v>
      </c>
      <c r="T80" s="23">
        <f t="shared" si="18"/>
        <v>-230300</v>
      </c>
      <c r="U80" s="23">
        <f t="shared" si="12"/>
        <v>0</v>
      </c>
      <c r="V80" s="10">
        <f t="shared" si="19"/>
        <v>925200</v>
      </c>
      <c r="W80" s="10">
        <f t="shared" si="20"/>
        <v>0</v>
      </c>
      <c r="X80" s="10">
        <f t="shared" si="21"/>
        <v>0</v>
      </c>
    </row>
    <row r="81" spans="1:24" s="9" customFormat="1" ht="13.5" customHeight="1" x14ac:dyDescent="0.2">
      <c r="A81" s="64">
        <f t="shared" si="22"/>
        <v>77</v>
      </c>
      <c r="B81" s="109" t="s">
        <v>1757</v>
      </c>
      <c r="C81" s="66" t="s">
        <v>1758</v>
      </c>
      <c r="D81" s="175">
        <v>495000</v>
      </c>
      <c r="E81" s="462"/>
      <c r="F81" s="67">
        <f t="shared" si="13"/>
        <v>495000</v>
      </c>
      <c r="G81" s="67">
        <v>494000</v>
      </c>
      <c r="H81" s="67">
        <f t="shared" si="14"/>
        <v>1000</v>
      </c>
      <c r="I81" s="68">
        <v>5</v>
      </c>
      <c r="J81" s="68">
        <v>0.2</v>
      </c>
      <c r="K81" s="68">
        <v>0</v>
      </c>
      <c r="L81" s="67"/>
      <c r="M81" s="67">
        <f t="shared" si="15"/>
        <v>494000</v>
      </c>
      <c r="N81" s="67">
        <f t="shared" si="16"/>
        <v>1000</v>
      </c>
      <c r="O81" s="111" t="s">
        <v>819</v>
      </c>
      <c r="P81" s="111">
        <v>3</v>
      </c>
      <c r="Q81" s="70"/>
      <c r="R81" s="23">
        <f t="shared" si="23"/>
        <v>200</v>
      </c>
      <c r="S81" s="23">
        <f t="shared" si="17"/>
        <v>24750</v>
      </c>
      <c r="T81" s="23">
        <f t="shared" si="18"/>
        <v>-23750</v>
      </c>
      <c r="U81" s="23">
        <f t="shared" si="12"/>
        <v>0</v>
      </c>
      <c r="V81" s="10">
        <f t="shared" si="19"/>
        <v>99000</v>
      </c>
      <c r="W81" s="10">
        <f t="shared" si="20"/>
        <v>0</v>
      </c>
      <c r="X81" s="10">
        <f t="shared" si="21"/>
        <v>0</v>
      </c>
    </row>
    <row r="82" spans="1:24" s="9" customFormat="1" ht="13.5" customHeight="1" x14ac:dyDescent="0.2">
      <c r="A82" s="64">
        <f t="shared" si="22"/>
        <v>78</v>
      </c>
      <c r="B82" s="109" t="s">
        <v>1759</v>
      </c>
      <c r="C82" s="66" t="s">
        <v>1758</v>
      </c>
      <c r="D82" s="175">
        <v>200000</v>
      </c>
      <c r="E82" s="462"/>
      <c r="F82" s="67">
        <f t="shared" si="13"/>
        <v>200000</v>
      </c>
      <c r="G82" s="67">
        <v>199000</v>
      </c>
      <c r="H82" s="67">
        <f t="shared" si="14"/>
        <v>1000</v>
      </c>
      <c r="I82" s="68">
        <v>5</v>
      </c>
      <c r="J82" s="68">
        <v>0.2</v>
      </c>
      <c r="K82" s="68">
        <v>0</v>
      </c>
      <c r="L82" s="67"/>
      <c r="M82" s="67">
        <f t="shared" si="15"/>
        <v>199000</v>
      </c>
      <c r="N82" s="67">
        <f t="shared" si="16"/>
        <v>1000</v>
      </c>
      <c r="O82" s="111" t="s">
        <v>819</v>
      </c>
      <c r="P82" s="111">
        <v>2</v>
      </c>
      <c r="Q82" s="70"/>
      <c r="R82" s="23">
        <f t="shared" si="23"/>
        <v>200</v>
      </c>
      <c r="S82" s="23">
        <f t="shared" si="17"/>
        <v>10000</v>
      </c>
      <c r="T82" s="23">
        <f t="shared" si="18"/>
        <v>-9000</v>
      </c>
      <c r="U82" s="23">
        <f t="shared" si="12"/>
        <v>0</v>
      </c>
      <c r="V82" s="10">
        <f t="shared" si="19"/>
        <v>40000</v>
      </c>
      <c r="W82" s="10">
        <f t="shared" si="20"/>
        <v>0</v>
      </c>
      <c r="X82" s="10">
        <f t="shared" si="21"/>
        <v>0</v>
      </c>
    </row>
    <row r="83" spans="1:24" s="9" customFormat="1" ht="13.5" customHeight="1" x14ac:dyDescent="0.2">
      <c r="A83" s="64">
        <f t="shared" si="22"/>
        <v>79</v>
      </c>
      <c r="B83" s="109" t="s">
        <v>1240</v>
      </c>
      <c r="C83" s="66" t="s">
        <v>1301</v>
      </c>
      <c r="D83" s="175">
        <v>800000</v>
      </c>
      <c r="E83" s="462"/>
      <c r="F83" s="67">
        <f t="shared" si="13"/>
        <v>800000</v>
      </c>
      <c r="G83" s="67">
        <v>799000</v>
      </c>
      <c r="H83" s="67">
        <f t="shared" si="14"/>
        <v>1000</v>
      </c>
      <c r="I83" s="68">
        <v>5</v>
      </c>
      <c r="J83" s="68">
        <v>0.2</v>
      </c>
      <c r="K83" s="68">
        <v>0</v>
      </c>
      <c r="L83" s="67"/>
      <c r="M83" s="67">
        <f t="shared" si="15"/>
        <v>799000</v>
      </c>
      <c r="N83" s="67">
        <f t="shared" si="16"/>
        <v>1000</v>
      </c>
      <c r="O83" s="111" t="s">
        <v>1729</v>
      </c>
      <c r="P83" s="111">
        <v>1</v>
      </c>
      <c r="Q83" s="70"/>
      <c r="R83" s="23">
        <f t="shared" si="23"/>
        <v>200</v>
      </c>
      <c r="S83" s="23">
        <f t="shared" si="17"/>
        <v>40000</v>
      </c>
      <c r="T83" s="23">
        <f t="shared" si="18"/>
        <v>-39000</v>
      </c>
      <c r="U83" s="23">
        <f t="shared" si="12"/>
        <v>0</v>
      </c>
      <c r="V83" s="10">
        <f t="shared" si="19"/>
        <v>160000</v>
      </c>
      <c r="W83" s="10">
        <f t="shared" si="20"/>
        <v>0</v>
      </c>
      <c r="X83" s="10">
        <f t="shared" si="21"/>
        <v>0</v>
      </c>
    </row>
    <row r="84" spans="1:24" s="9" customFormat="1" ht="13.5" customHeight="1" x14ac:dyDescent="0.2">
      <c r="A84" s="64">
        <f t="shared" si="22"/>
        <v>80</v>
      </c>
      <c r="B84" s="109" t="s">
        <v>1240</v>
      </c>
      <c r="C84" s="66" t="s">
        <v>1301</v>
      </c>
      <c r="D84" s="175">
        <v>2400000</v>
      </c>
      <c r="E84" s="462"/>
      <c r="F84" s="67">
        <f t="shared" si="13"/>
        <v>2400000</v>
      </c>
      <c r="G84" s="67">
        <v>2399000</v>
      </c>
      <c r="H84" s="67">
        <f t="shared" si="14"/>
        <v>1000</v>
      </c>
      <c r="I84" s="68">
        <v>5</v>
      </c>
      <c r="J84" s="68">
        <v>0.2</v>
      </c>
      <c r="K84" s="68">
        <v>0</v>
      </c>
      <c r="L84" s="67"/>
      <c r="M84" s="67">
        <f t="shared" si="15"/>
        <v>2399000</v>
      </c>
      <c r="N84" s="67">
        <f t="shared" si="16"/>
        <v>1000</v>
      </c>
      <c r="O84" s="111" t="s">
        <v>1729</v>
      </c>
      <c r="P84" s="111">
        <v>3</v>
      </c>
      <c r="Q84" s="70"/>
      <c r="R84" s="23">
        <f t="shared" si="23"/>
        <v>200</v>
      </c>
      <c r="S84" s="23">
        <f t="shared" si="17"/>
        <v>120000</v>
      </c>
      <c r="T84" s="23">
        <f t="shared" si="18"/>
        <v>-119000</v>
      </c>
      <c r="U84" s="23">
        <f t="shared" si="12"/>
        <v>0</v>
      </c>
      <c r="V84" s="10">
        <f t="shared" si="19"/>
        <v>480000</v>
      </c>
      <c r="W84" s="10">
        <f t="shared" si="20"/>
        <v>0</v>
      </c>
      <c r="X84" s="10">
        <f t="shared" si="21"/>
        <v>0</v>
      </c>
    </row>
    <row r="85" spans="1:24" s="9" customFormat="1" ht="13.5" customHeight="1" x14ac:dyDescent="0.2">
      <c r="A85" s="64">
        <f t="shared" si="22"/>
        <v>81</v>
      </c>
      <c r="B85" s="109" t="s">
        <v>1240</v>
      </c>
      <c r="C85" s="66" t="s">
        <v>1301</v>
      </c>
      <c r="D85" s="175">
        <v>1600000</v>
      </c>
      <c r="E85" s="462"/>
      <c r="F85" s="67">
        <f t="shared" si="13"/>
        <v>1600000</v>
      </c>
      <c r="G85" s="67">
        <v>1599000</v>
      </c>
      <c r="H85" s="67">
        <f t="shared" si="14"/>
        <v>1000</v>
      </c>
      <c r="I85" s="68">
        <v>5</v>
      </c>
      <c r="J85" s="68">
        <v>0.2</v>
      </c>
      <c r="K85" s="68">
        <v>0</v>
      </c>
      <c r="L85" s="67"/>
      <c r="M85" s="67">
        <f t="shared" si="15"/>
        <v>1599000</v>
      </c>
      <c r="N85" s="67">
        <f t="shared" si="16"/>
        <v>1000</v>
      </c>
      <c r="O85" s="111" t="s">
        <v>1729</v>
      </c>
      <c r="P85" s="111">
        <v>2</v>
      </c>
      <c r="Q85" s="70"/>
      <c r="R85" s="23">
        <f t="shared" si="23"/>
        <v>200</v>
      </c>
      <c r="S85" s="23">
        <f t="shared" si="17"/>
        <v>80000</v>
      </c>
      <c r="T85" s="23">
        <f t="shared" si="18"/>
        <v>-79000</v>
      </c>
      <c r="U85" s="23">
        <f t="shared" si="12"/>
        <v>0</v>
      </c>
      <c r="V85" s="10">
        <f t="shared" si="19"/>
        <v>320000</v>
      </c>
      <c r="W85" s="10">
        <f t="shared" si="20"/>
        <v>0</v>
      </c>
      <c r="X85" s="10">
        <f t="shared" si="21"/>
        <v>0</v>
      </c>
    </row>
    <row r="86" spans="1:24" s="9" customFormat="1" ht="13.5" customHeight="1" x14ac:dyDescent="0.2">
      <c r="A86" s="64">
        <f t="shared" si="22"/>
        <v>82</v>
      </c>
      <c r="B86" s="109" t="s">
        <v>1744</v>
      </c>
      <c r="C86" s="66" t="s">
        <v>1760</v>
      </c>
      <c r="D86" s="175">
        <v>1800000</v>
      </c>
      <c r="E86" s="462"/>
      <c r="F86" s="67">
        <f t="shared" si="13"/>
        <v>1800000</v>
      </c>
      <c r="G86" s="67">
        <v>1799000</v>
      </c>
      <c r="H86" s="67">
        <f t="shared" si="14"/>
        <v>1000</v>
      </c>
      <c r="I86" s="68">
        <v>5</v>
      </c>
      <c r="J86" s="68">
        <v>0.2</v>
      </c>
      <c r="K86" s="68">
        <v>0</v>
      </c>
      <c r="L86" s="67"/>
      <c r="M86" s="67">
        <f t="shared" si="15"/>
        <v>1799000</v>
      </c>
      <c r="N86" s="67">
        <f t="shared" si="16"/>
        <v>1000</v>
      </c>
      <c r="O86" s="111" t="s">
        <v>1747</v>
      </c>
      <c r="P86" s="111">
        <v>200</v>
      </c>
      <c r="Q86" s="70"/>
      <c r="R86" s="23">
        <f t="shared" si="23"/>
        <v>200</v>
      </c>
      <c r="S86" s="23">
        <f t="shared" si="17"/>
        <v>90000</v>
      </c>
      <c r="T86" s="23">
        <f t="shared" si="18"/>
        <v>-89000</v>
      </c>
      <c r="U86" s="23">
        <f t="shared" si="12"/>
        <v>0</v>
      </c>
      <c r="V86" s="10">
        <f t="shared" si="19"/>
        <v>360000</v>
      </c>
      <c r="W86" s="10">
        <f t="shared" si="20"/>
        <v>0</v>
      </c>
      <c r="X86" s="10">
        <f t="shared" si="21"/>
        <v>0</v>
      </c>
    </row>
    <row r="87" spans="1:24" s="9" customFormat="1" ht="13.5" customHeight="1" x14ac:dyDescent="0.2">
      <c r="A87" s="64">
        <f t="shared" si="22"/>
        <v>83</v>
      </c>
      <c r="B87" s="109" t="s">
        <v>1240</v>
      </c>
      <c r="C87" s="66" t="s">
        <v>1761</v>
      </c>
      <c r="D87" s="175">
        <v>5387040</v>
      </c>
      <c r="E87" s="462"/>
      <c r="F87" s="67">
        <f t="shared" si="13"/>
        <v>5387040</v>
      </c>
      <c r="G87" s="67">
        <v>5386040</v>
      </c>
      <c r="H87" s="67">
        <f t="shared" si="14"/>
        <v>1000</v>
      </c>
      <c r="I87" s="68">
        <v>5</v>
      </c>
      <c r="J87" s="68">
        <v>0.2</v>
      </c>
      <c r="K87" s="68">
        <v>0</v>
      </c>
      <c r="L87" s="67"/>
      <c r="M87" s="67">
        <f t="shared" si="15"/>
        <v>5386040</v>
      </c>
      <c r="N87" s="67">
        <f t="shared" si="16"/>
        <v>1000</v>
      </c>
      <c r="O87" s="498" t="s">
        <v>1756</v>
      </c>
      <c r="P87" s="111">
        <v>6</v>
      </c>
      <c r="Q87" s="70"/>
      <c r="R87" s="23">
        <f t="shared" si="23"/>
        <v>200</v>
      </c>
      <c r="S87" s="23">
        <f t="shared" si="17"/>
        <v>269352</v>
      </c>
      <c r="T87" s="23">
        <f t="shared" si="18"/>
        <v>-268352</v>
      </c>
      <c r="U87" s="23">
        <f t="shared" si="12"/>
        <v>0</v>
      </c>
      <c r="V87" s="10">
        <f t="shared" si="19"/>
        <v>1077408</v>
      </c>
      <c r="W87" s="10">
        <f t="shared" si="20"/>
        <v>0</v>
      </c>
      <c r="X87" s="10">
        <f t="shared" si="21"/>
        <v>0</v>
      </c>
    </row>
    <row r="88" spans="1:24" s="9" customFormat="1" ht="13.5" customHeight="1" x14ac:dyDescent="0.2">
      <c r="A88" s="64">
        <f t="shared" si="22"/>
        <v>84</v>
      </c>
      <c r="B88" s="109" t="s">
        <v>1762</v>
      </c>
      <c r="C88" s="66" t="s">
        <v>1763</v>
      </c>
      <c r="D88" s="175">
        <v>133000</v>
      </c>
      <c r="E88" s="462"/>
      <c r="F88" s="67">
        <f t="shared" si="13"/>
        <v>133000</v>
      </c>
      <c r="G88" s="67">
        <v>132000</v>
      </c>
      <c r="H88" s="67">
        <f t="shared" si="14"/>
        <v>1000</v>
      </c>
      <c r="I88" s="68">
        <v>5</v>
      </c>
      <c r="J88" s="68">
        <v>0.2</v>
      </c>
      <c r="K88" s="68">
        <v>0</v>
      </c>
      <c r="L88" s="67"/>
      <c r="M88" s="67">
        <f t="shared" si="15"/>
        <v>132000</v>
      </c>
      <c r="N88" s="67">
        <f t="shared" si="16"/>
        <v>1000</v>
      </c>
      <c r="O88" s="111" t="s">
        <v>1764</v>
      </c>
      <c r="P88" s="111">
        <v>1</v>
      </c>
      <c r="Q88" s="70"/>
      <c r="R88" s="23">
        <f t="shared" si="23"/>
        <v>200</v>
      </c>
      <c r="S88" s="23">
        <f t="shared" si="17"/>
        <v>6650</v>
      </c>
      <c r="T88" s="23">
        <f t="shared" si="18"/>
        <v>-5650</v>
      </c>
      <c r="U88" s="23">
        <f t="shared" si="12"/>
        <v>0</v>
      </c>
      <c r="V88" s="10">
        <f t="shared" si="19"/>
        <v>26600</v>
      </c>
      <c r="W88" s="10">
        <f t="shared" si="20"/>
        <v>0</v>
      </c>
      <c r="X88" s="10">
        <f t="shared" si="21"/>
        <v>0</v>
      </c>
    </row>
    <row r="89" spans="1:24" s="9" customFormat="1" ht="13.5" customHeight="1" x14ac:dyDescent="0.2">
      <c r="A89" s="64">
        <f t="shared" si="22"/>
        <v>85</v>
      </c>
      <c r="B89" s="109" t="s">
        <v>1765</v>
      </c>
      <c r="C89" s="66" t="s">
        <v>1312</v>
      </c>
      <c r="D89" s="175">
        <v>390000</v>
      </c>
      <c r="E89" s="462"/>
      <c r="F89" s="67">
        <f t="shared" si="13"/>
        <v>390000</v>
      </c>
      <c r="G89" s="67">
        <v>389000</v>
      </c>
      <c r="H89" s="67">
        <f t="shared" si="14"/>
        <v>1000</v>
      </c>
      <c r="I89" s="68">
        <v>5</v>
      </c>
      <c r="J89" s="68">
        <v>0.2</v>
      </c>
      <c r="K89" s="68">
        <v>0</v>
      </c>
      <c r="L89" s="67"/>
      <c r="M89" s="67">
        <f t="shared" si="15"/>
        <v>389000</v>
      </c>
      <c r="N89" s="67">
        <f t="shared" si="16"/>
        <v>1000</v>
      </c>
      <c r="O89" s="111" t="s">
        <v>1752</v>
      </c>
      <c r="P89" s="111">
        <v>1</v>
      </c>
      <c r="Q89" s="70"/>
      <c r="R89" s="23">
        <f t="shared" si="23"/>
        <v>200</v>
      </c>
      <c r="S89" s="23">
        <f t="shared" si="17"/>
        <v>19500</v>
      </c>
      <c r="T89" s="23">
        <f t="shared" si="18"/>
        <v>-18500</v>
      </c>
      <c r="U89" s="23">
        <f t="shared" si="12"/>
        <v>0</v>
      </c>
      <c r="V89" s="10">
        <f t="shared" si="19"/>
        <v>78000</v>
      </c>
      <c r="W89" s="10">
        <f t="shared" si="20"/>
        <v>0</v>
      </c>
      <c r="X89" s="10">
        <f t="shared" si="21"/>
        <v>0</v>
      </c>
    </row>
    <row r="90" spans="1:24" s="9" customFormat="1" ht="13.5" customHeight="1" x14ac:dyDescent="0.2">
      <c r="A90" s="64">
        <f t="shared" si="22"/>
        <v>86</v>
      </c>
      <c r="B90" s="109" t="s">
        <v>1240</v>
      </c>
      <c r="C90" s="66" t="s">
        <v>1312</v>
      </c>
      <c r="D90" s="175">
        <v>4161600</v>
      </c>
      <c r="E90" s="462"/>
      <c r="F90" s="67">
        <f t="shared" si="13"/>
        <v>4161600</v>
      </c>
      <c r="G90" s="67">
        <v>4160600</v>
      </c>
      <c r="H90" s="67">
        <f t="shared" si="14"/>
        <v>1000</v>
      </c>
      <c r="I90" s="68">
        <v>5</v>
      </c>
      <c r="J90" s="68">
        <v>0.2</v>
      </c>
      <c r="K90" s="68">
        <v>0</v>
      </c>
      <c r="L90" s="67"/>
      <c r="M90" s="67">
        <f t="shared" si="15"/>
        <v>4160600</v>
      </c>
      <c r="N90" s="67">
        <f t="shared" si="16"/>
        <v>1000</v>
      </c>
      <c r="O90" s="111" t="s">
        <v>1748</v>
      </c>
      <c r="P90" s="111">
        <v>3</v>
      </c>
      <c r="Q90" s="70"/>
      <c r="R90" s="23">
        <f t="shared" si="23"/>
        <v>200</v>
      </c>
      <c r="S90" s="23">
        <f t="shared" si="17"/>
        <v>208080</v>
      </c>
      <c r="T90" s="23">
        <f t="shared" si="18"/>
        <v>-207080</v>
      </c>
      <c r="U90" s="23">
        <f t="shared" si="12"/>
        <v>0</v>
      </c>
      <c r="V90" s="10">
        <f t="shared" si="19"/>
        <v>832320</v>
      </c>
      <c r="W90" s="10">
        <f t="shared" si="20"/>
        <v>0</v>
      </c>
      <c r="X90" s="10">
        <f t="shared" si="21"/>
        <v>0</v>
      </c>
    </row>
    <row r="91" spans="1:24" s="9" customFormat="1" ht="13.5" customHeight="1" x14ac:dyDescent="0.2">
      <c r="A91" s="64">
        <f t="shared" si="22"/>
        <v>87</v>
      </c>
      <c r="B91" s="109" t="s">
        <v>1766</v>
      </c>
      <c r="C91" s="66" t="s">
        <v>1767</v>
      </c>
      <c r="D91" s="175">
        <v>300000</v>
      </c>
      <c r="E91" s="462"/>
      <c r="F91" s="67">
        <f t="shared" si="13"/>
        <v>300000</v>
      </c>
      <c r="G91" s="67">
        <v>299000</v>
      </c>
      <c r="H91" s="67">
        <f t="shared" si="14"/>
        <v>1000</v>
      </c>
      <c r="I91" s="68">
        <v>5</v>
      </c>
      <c r="J91" s="68">
        <v>0.2</v>
      </c>
      <c r="K91" s="68">
        <v>0</v>
      </c>
      <c r="L91" s="67"/>
      <c r="M91" s="67">
        <f t="shared" si="15"/>
        <v>299000</v>
      </c>
      <c r="N91" s="67">
        <f t="shared" si="16"/>
        <v>1000</v>
      </c>
      <c r="O91" s="111" t="s">
        <v>819</v>
      </c>
      <c r="P91" s="111">
        <v>3</v>
      </c>
      <c r="Q91" s="70"/>
      <c r="R91" s="23">
        <f t="shared" si="23"/>
        <v>200</v>
      </c>
      <c r="S91" s="23">
        <f t="shared" si="17"/>
        <v>15000</v>
      </c>
      <c r="T91" s="23">
        <f t="shared" si="18"/>
        <v>-14000</v>
      </c>
      <c r="U91" s="23">
        <f t="shared" si="12"/>
        <v>0</v>
      </c>
      <c r="V91" s="10">
        <f t="shared" si="19"/>
        <v>60000</v>
      </c>
      <c r="W91" s="10">
        <f t="shared" si="20"/>
        <v>0</v>
      </c>
      <c r="X91" s="10">
        <f t="shared" si="21"/>
        <v>0</v>
      </c>
    </row>
    <row r="92" spans="1:24" s="9" customFormat="1" ht="13.5" customHeight="1" x14ac:dyDescent="0.2">
      <c r="A92" s="64">
        <f t="shared" si="22"/>
        <v>88</v>
      </c>
      <c r="B92" s="109" t="s">
        <v>1768</v>
      </c>
      <c r="C92" s="66" t="s">
        <v>1767</v>
      </c>
      <c r="D92" s="175">
        <v>280000</v>
      </c>
      <c r="E92" s="462"/>
      <c r="F92" s="67">
        <f t="shared" si="13"/>
        <v>280000</v>
      </c>
      <c r="G92" s="67">
        <v>279000</v>
      </c>
      <c r="H92" s="67">
        <f t="shared" si="14"/>
        <v>1000</v>
      </c>
      <c r="I92" s="68">
        <v>5</v>
      </c>
      <c r="J92" s="68">
        <v>0.2</v>
      </c>
      <c r="K92" s="68">
        <v>0</v>
      </c>
      <c r="L92" s="67"/>
      <c r="M92" s="67">
        <f t="shared" si="15"/>
        <v>279000</v>
      </c>
      <c r="N92" s="67">
        <f t="shared" si="16"/>
        <v>1000</v>
      </c>
      <c r="O92" s="111" t="s">
        <v>819</v>
      </c>
      <c r="P92" s="111">
        <v>10</v>
      </c>
      <c r="Q92" s="70"/>
      <c r="R92" s="23">
        <f t="shared" si="23"/>
        <v>200</v>
      </c>
      <c r="S92" s="23">
        <f t="shared" si="17"/>
        <v>14000</v>
      </c>
      <c r="T92" s="23">
        <f t="shared" si="18"/>
        <v>-13000</v>
      </c>
      <c r="U92" s="23">
        <f t="shared" si="12"/>
        <v>0</v>
      </c>
      <c r="V92" s="10">
        <f t="shared" si="19"/>
        <v>56000</v>
      </c>
      <c r="W92" s="10">
        <f t="shared" si="20"/>
        <v>0</v>
      </c>
      <c r="X92" s="10">
        <f t="shared" si="21"/>
        <v>0</v>
      </c>
    </row>
    <row r="93" spans="1:24" s="9" customFormat="1" ht="13.5" customHeight="1" x14ac:dyDescent="0.2">
      <c r="A93" s="64">
        <f t="shared" si="22"/>
        <v>89</v>
      </c>
      <c r="B93" s="109" t="s">
        <v>1769</v>
      </c>
      <c r="C93" s="66" t="s">
        <v>1767</v>
      </c>
      <c r="D93" s="175">
        <v>400000</v>
      </c>
      <c r="E93" s="462"/>
      <c r="F93" s="67">
        <f t="shared" si="13"/>
        <v>400000</v>
      </c>
      <c r="G93" s="67">
        <v>399000</v>
      </c>
      <c r="H93" s="67">
        <f t="shared" si="14"/>
        <v>1000</v>
      </c>
      <c r="I93" s="68">
        <v>5</v>
      </c>
      <c r="J93" s="68">
        <v>0.2</v>
      </c>
      <c r="K93" s="68">
        <v>0</v>
      </c>
      <c r="L93" s="67"/>
      <c r="M93" s="67">
        <f t="shared" si="15"/>
        <v>399000</v>
      </c>
      <c r="N93" s="67">
        <f t="shared" si="16"/>
        <v>1000</v>
      </c>
      <c r="O93" s="111" t="s">
        <v>819</v>
      </c>
      <c r="P93" s="111">
        <v>1</v>
      </c>
      <c r="Q93" s="70"/>
      <c r="R93" s="23">
        <f t="shared" si="23"/>
        <v>200</v>
      </c>
      <c r="S93" s="23">
        <f t="shared" si="17"/>
        <v>20000</v>
      </c>
      <c r="T93" s="23">
        <f t="shared" si="18"/>
        <v>-19000</v>
      </c>
      <c r="U93" s="23">
        <f t="shared" ref="U93:U156" si="24">N93-1000</f>
        <v>0</v>
      </c>
      <c r="V93" s="10">
        <f t="shared" si="19"/>
        <v>80000</v>
      </c>
      <c r="W93" s="10">
        <f t="shared" si="20"/>
        <v>0</v>
      </c>
      <c r="X93" s="10">
        <f t="shared" si="21"/>
        <v>0</v>
      </c>
    </row>
    <row r="94" spans="1:24" s="9" customFormat="1" ht="13.5" customHeight="1" x14ac:dyDescent="0.2">
      <c r="A94" s="64">
        <f t="shared" si="22"/>
        <v>90</v>
      </c>
      <c r="B94" s="109" t="s">
        <v>1770</v>
      </c>
      <c r="C94" s="66" t="s">
        <v>1767</v>
      </c>
      <c r="D94" s="175">
        <v>190000</v>
      </c>
      <c r="E94" s="462"/>
      <c r="F94" s="67">
        <f t="shared" si="13"/>
        <v>190000</v>
      </c>
      <c r="G94" s="67">
        <v>189000</v>
      </c>
      <c r="H94" s="67">
        <f t="shared" si="14"/>
        <v>1000</v>
      </c>
      <c r="I94" s="68">
        <v>5</v>
      </c>
      <c r="J94" s="68">
        <v>0.2</v>
      </c>
      <c r="K94" s="68">
        <v>0</v>
      </c>
      <c r="L94" s="67"/>
      <c r="M94" s="67">
        <f t="shared" si="15"/>
        <v>189000</v>
      </c>
      <c r="N94" s="67">
        <f t="shared" si="16"/>
        <v>1000</v>
      </c>
      <c r="O94" s="111" t="s">
        <v>819</v>
      </c>
      <c r="P94" s="111">
        <v>1</v>
      </c>
      <c r="Q94" s="70"/>
      <c r="R94" s="23">
        <f t="shared" si="23"/>
        <v>200</v>
      </c>
      <c r="S94" s="23">
        <f t="shared" si="17"/>
        <v>9500</v>
      </c>
      <c r="T94" s="23">
        <f t="shared" si="18"/>
        <v>-8500</v>
      </c>
      <c r="U94" s="23">
        <f t="shared" si="24"/>
        <v>0</v>
      </c>
      <c r="V94" s="10">
        <f t="shared" si="19"/>
        <v>38000</v>
      </c>
      <c r="W94" s="10">
        <f t="shared" si="20"/>
        <v>0</v>
      </c>
      <c r="X94" s="10">
        <f t="shared" si="21"/>
        <v>0</v>
      </c>
    </row>
    <row r="95" spans="1:24" s="9" customFormat="1" ht="13.5" customHeight="1" x14ac:dyDescent="0.2">
      <c r="A95" s="64">
        <f t="shared" si="22"/>
        <v>91</v>
      </c>
      <c r="B95" s="109" t="s">
        <v>1240</v>
      </c>
      <c r="C95" s="66" t="s">
        <v>1771</v>
      </c>
      <c r="D95" s="175">
        <v>2522400</v>
      </c>
      <c r="E95" s="462"/>
      <c r="F95" s="67">
        <f t="shared" si="13"/>
        <v>2522400</v>
      </c>
      <c r="G95" s="67">
        <v>2521400</v>
      </c>
      <c r="H95" s="67">
        <f t="shared" si="14"/>
        <v>1000</v>
      </c>
      <c r="I95" s="68">
        <v>5</v>
      </c>
      <c r="J95" s="68">
        <v>0.2</v>
      </c>
      <c r="K95" s="68">
        <v>0</v>
      </c>
      <c r="L95" s="67"/>
      <c r="M95" s="67">
        <f t="shared" si="15"/>
        <v>2521400</v>
      </c>
      <c r="N95" s="67">
        <f t="shared" si="16"/>
        <v>1000</v>
      </c>
      <c r="O95" s="498" t="s">
        <v>1756</v>
      </c>
      <c r="P95" s="111">
        <v>3</v>
      </c>
      <c r="Q95" s="70"/>
      <c r="R95" s="23">
        <f t="shared" si="23"/>
        <v>200</v>
      </c>
      <c r="S95" s="23">
        <f t="shared" si="17"/>
        <v>126120</v>
      </c>
      <c r="T95" s="23">
        <f t="shared" si="18"/>
        <v>-125120</v>
      </c>
      <c r="U95" s="23">
        <f t="shared" si="24"/>
        <v>0</v>
      </c>
      <c r="V95" s="10">
        <f t="shared" si="19"/>
        <v>504480</v>
      </c>
      <c r="W95" s="10">
        <f t="shared" si="20"/>
        <v>0</v>
      </c>
      <c r="X95" s="10">
        <f t="shared" si="21"/>
        <v>0</v>
      </c>
    </row>
    <row r="96" spans="1:24" s="9" customFormat="1" ht="13.5" customHeight="1" x14ac:dyDescent="0.2">
      <c r="A96" s="64">
        <f t="shared" si="22"/>
        <v>92</v>
      </c>
      <c r="B96" s="109" t="s">
        <v>1772</v>
      </c>
      <c r="C96" s="66" t="s">
        <v>1321</v>
      </c>
      <c r="D96" s="175">
        <v>6900000</v>
      </c>
      <c r="E96" s="462"/>
      <c r="F96" s="67">
        <f t="shared" si="13"/>
        <v>6900000</v>
      </c>
      <c r="G96" s="67">
        <v>6899000</v>
      </c>
      <c r="H96" s="67">
        <f t="shared" si="14"/>
        <v>1000</v>
      </c>
      <c r="I96" s="68">
        <v>5</v>
      </c>
      <c r="J96" s="68">
        <v>0.2</v>
      </c>
      <c r="K96" s="68">
        <v>0</v>
      </c>
      <c r="L96" s="67"/>
      <c r="M96" s="67">
        <f t="shared" si="15"/>
        <v>6899000</v>
      </c>
      <c r="N96" s="67">
        <f t="shared" si="16"/>
        <v>1000</v>
      </c>
      <c r="O96" s="111" t="s">
        <v>1440</v>
      </c>
      <c r="P96" s="111">
        <v>1</v>
      </c>
      <c r="Q96" s="70"/>
      <c r="R96" s="23">
        <f t="shared" si="23"/>
        <v>200</v>
      </c>
      <c r="S96" s="23">
        <f t="shared" si="17"/>
        <v>345000</v>
      </c>
      <c r="T96" s="23">
        <f t="shared" si="18"/>
        <v>-344000</v>
      </c>
      <c r="U96" s="23">
        <f t="shared" si="24"/>
        <v>0</v>
      </c>
      <c r="V96" s="10">
        <f t="shared" si="19"/>
        <v>1380000</v>
      </c>
      <c r="W96" s="10">
        <f t="shared" si="20"/>
        <v>0</v>
      </c>
      <c r="X96" s="10">
        <f t="shared" si="21"/>
        <v>0</v>
      </c>
    </row>
    <row r="97" spans="1:24" s="9" customFormat="1" ht="13.5" customHeight="1" x14ac:dyDescent="0.2">
      <c r="A97" s="64">
        <f t="shared" si="22"/>
        <v>93</v>
      </c>
      <c r="B97" s="109" t="s">
        <v>1240</v>
      </c>
      <c r="C97" s="66" t="s">
        <v>1773</v>
      </c>
      <c r="D97" s="175">
        <v>2000000</v>
      </c>
      <c r="E97" s="462"/>
      <c r="F97" s="67">
        <f t="shared" ref="F97:F160" si="25">+D97+E97</f>
        <v>2000000</v>
      </c>
      <c r="G97" s="67">
        <v>1999000</v>
      </c>
      <c r="H97" s="67">
        <f t="shared" si="14"/>
        <v>1000</v>
      </c>
      <c r="I97" s="68">
        <v>5</v>
      </c>
      <c r="J97" s="68">
        <v>0.2</v>
      </c>
      <c r="K97" s="68">
        <v>0</v>
      </c>
      <c r="L97" s="67"/>
      <c r="M97" s="67">
        <f t="shared" si="15"/>
        <v>1999000</v>
      </c>
      <c r="N97" s="67">
        <f t="shared" si="16"/>
        <v>1000</v>
      </c>
      <c r="O97" s="111" t="s">
        <v>1729</v>
      </c>
      <c r="P97" s="111">
        <v>2</v>
      </c>
      <c r="Q97" s="70"/>
      <c r="R97" s="23">
        <f t="shared" si="23"/>
        <v>200</v>
      </c>
      <c r="S97" s="23">
        <f t="shared" si="17"/>
        <v>100000</v>
      </c>
      <c r="T97" s="23">
        <f t="shared" si="18"/>
        <v>-99000</v>
      </c>
      <c r="U97" s="23">
        <f t="shared" si="24"/>
        <v>0</v>
      </c>
      <c r="V97" s="10">
        <f t="shared" si="19"/>
        <v>400000</v>
      </c>
      <c r="W97" s="10">
        <f t="shared" si="20"/>
        <v>0</v>
      </c>
      <c r="X97" s="10">
        <f t="shared" si="21"/>
        <v>0</v>
      </c>
    </row>
    <row r="98" spans="1:24" s="9" customFormat="1" ht="13.5" customHeight="1" x14ac:dyDescent="0.2">
      <c r="A98" s="64">
        <f t="shared" si="22"/>
        <v>94</v>
      </c>
      <c r="B98" s="109" t="s">
        <v>1240</v>
      </c>
      <c r="C98" s="66" t="s">
        <v>1773</v>
      </c>
      <c r="D98" s="175">
        <v>1600000</v>
      </c>
      <c r="E98" s="462"/>
      <c r="F98" s="67">
        <f t="shared" si="25"/>
        <v>1600000</v>
      </c>
      <c r="G98" s="67">
        <v>1599000</v>
      </c>
      <c r="H98" s="67">
        <f t="shared" si="14"/>
        <v>1000</v>
      </c>
      <c r="I98" s="68">
        <v>5</v>
      </c>
      <c r="J98" s="68">
        <v>0.2</v>
      </c>
      <c r="K98" s="68">
        <v>0</v>
      </c>
      <c r="L98" s="67"/>
      <c r="M98" s="67">
        <f t="shared" si="15"/>
        <v>1599000</v>
      </c>
      <c r="N98" s="67">
        <f t="shared" si="16"/>
        <v>1000</v>
      </c>
      <c r="O98" s="111" t="s">
        <v>1729</v>
      </c>
      <c r="P98" s="111">
        <v>2</v>
      </c>
      <c r="Q98" s="70"/>
      <c r="R98" s="23">
        <f t="shared" si="23"/>
        <v>200</v>
      </c>
      <c r="S98" s="23">
        <f t="shared" si="17"/>
        <v>80000</v>
      </c>
      <c r="T98" s="23">
        <f t="shared" si="18"/>
        <v>-79000</v>
      </c>
      <c r="U98" s="23">
        <f t="shared" si="24"/>
        <v>0</v>
      </c>
      <c r="V98" s="10">
        <f t="shared" si="19"/>
        <v>320000</v>
      </c>
      <c r="W98" s="10">
        <f t="shared" si="20"/>
        <v>0</v>
      </c>
      <c r="X98" s="10">
        <f t="shared" si="21"/>
        <v>0</v>
      </c>
    </row>
    <row r="99" spans="1:24" s="9" customFormat="1" ht="13.5" customHeight="1" x14ac:dyDescent="0.2">
      <c r="A99" s="64">
        <f t="shared" si="22"/>
        <v>95</v>
      </c>
      <c r="B99" s="109" t="s">
        <v>1240</v>
      </c>
      <c r="C99" s="66" t="s">
        <v>1773</v>
      </c>
      <c r="D99" s="175">
        <v>2514000</v>
      </c>
      <c r="E99" s="462"/>
      <c r="F99" s="67">
        <f t="shared" si="25"/>
        <v>2514000</v>
      </c>
      <c r="G99" s="67">
        <v>2513000</v>
      </c>
      <c r="H99" s="67">
        <f t="shared" si="14"/>
        <v>1000</v>
      </c>
      <c r="I99" s="68">
        <v>5</v>
      </c>
      <c r="J99" s="68">
        <v>0.2</v>
      </c>
      <c r="K99" s="68">
        <v>0</v>
      </c>
      <c r="L99" s="67"/>
      <c r="M99" s="67">
        <f t="shared" si="15"/>
        <v>2513000</v>
      </c>
      <c r="N99" s="67">
        <f t="shared" si="16"/>
        <v>1000</v>
      </c>
      <c r="O99" s="111" t="s">
        <v>1748</v>
      </c>
      <c r="P99" s="111">
        <v>2</v>
      </c>
      <c r="Q99" s="70"/>
      <c r="R99" s="23">
        <f t="shared" si="23"/>
        <v>200</v>
      </c>
      <c r="S99" s="23">
        <f t="shared" si="17"/>
        <v>125700</v>
      </c>
      <c r="T99" s="23">
        <f t="shared" si="18"/>
        <v>-124700</v>
      </c>
      <c r="U99" s="23">
        <f t="shared" si="24"/>
        <v>0</v>
      </c>
      <c r="V99" s="10">
        <f t="shared" si="19"/>
        <v>502800</v>
      </c>
      <c r="W99" s="10">
        <f t="shared" si="20"/>
        <v>0</v>
      </c>
      <c r="X99" s="10">
        <f t="shared" si="21"/>
        <v>0</v>
      </c>
    </row>
    <row r="100" spans="1:24" s="9" customFormat="1" ht="13.5" customHeight="1" x14ac:dyDescent="0.2">
      <c r="A100" s="64">
        <f t="shared" si="22"/>
        <v>96</v>
      </c>
      <c r="B100" s="109" t="s">
        <v>1240</v>
      </c>
      <c r="C100" s="66" t="s">
        <v>1774</v>
      </c>
      <c r="D100" s="175">
        <v>1000000</v>
      </c>
      <c r="E100" s="462"/>
      <c r="F100" s="67">
        <f t="shared" si="25"/>
        <v>1000000</v>
      </c>
      <c r="G100" s="67">
        <v>999000</v>
      </c>
      <c r="H100" s="67">
        <f t="shared" si="14"/>
        <v>1000</v>
      </c>
      <c r="I100" s="68">
        <v>5</v>
      </c>
      <c r="J100" s="68">
        <v>0.2</v>
      </c>
      <c r="K100" s="68">
        <v>0</v>
      </c>
      <c r="L100" s="67"/>
      <c r="M100" s="67">
        <f t="shared" si="15"/>
        <v>999000</v>
      </c>
      <c r="N100" s="67">
        <f t="shared" si="16"/>
        <v>1000</v>
      </c>
      <c r="O100" s="111" t="s">
        <v>1729</v>
      </c>
      <c r="P100" s="111">
        <v>1</v>
      </c>
      <c r="Q100" s="464"/>
      <c r="R100" s="23">
        <f t="shared" si="23"/>
        <v>200</v>
      </c>
      <c r="S100" s="23">
        <f t="shared" si="17"/>
        <v>50000</v>
      </c>
      <c r="T100" s="23">
        <f t="shared" si="18"/>
        <v>-49000</v>
      </c>
      <c r="U100" s="23">
        <f t="shared" si="24"/>
        <v>0</v>
      </c>
      <c r="V100" s="10">
        <f t="shared" si="19"/>
        <v>200000</v>
      </c>
      <c r="W100" s="10">
        <f t="shared" si="20"/>
        <v>0</v>
      </c>
      <c r="X100" s="10">
        <f t="shared" si="21"/>
        <v>0</v>
      </c>
    </row>
    <row r="101" spans="1:24" s="9" customFormat="1" ht="13.5" customHeight="1" x14ac:dyDescent="0.2">
      <c r="A101" s="64">
        <f t="shared" si="22"/>
        <v>97</v>
      </c>
      <c r="B101" s="109" t="s">
        <v>1775</v>
      </c>
      <c r="C101" s="66" t="s">
        <v>1776</v>
      </c>
      <c r="D101" s="175">
        <v>1160000</v>
      </c>
      <c r="E101" s="462"/>
      <c r="F101" s="67">
        <f t="shared" si="25"/>
        <v>1160000</v>
      </c>
      <c r="G101" s="67">
        <v>1159000</v>
      </c>
      <c r="H101" s="67">
        <f t="shared" si="14"/>
        <v>1000</v>
      </c>
      <c r="I101" s="68">
        <v>5</v>
      </c>
      <c r="J101" s="68">
        <v>0.2</v>
      </c>
      <c r="K101" s="68">
        <v>0</v>
      </c>
      <c r="L101" s="67"/>
      <c r="M101" s="67">
        <f t="shared" si="15"/>
        <v>1159000</v>
      </c>
      <c r="N101" s="67">
        <f t="shared" si="16"/>
        <v>1000</v>
      </c>
      <c r="O101" s="111" t="s">
        <v>819</v>
      </c>
      <c r="P101" s="111">
        <v>2</v>
      </c>
      <c r="Q101" s="464"/>
      <c r="R101" s="23">
        <f t="shared" si="23"/>
        <v>200</v>
      </c>
      <c r="S101" s="23">
        <f t="shared" si="17"/>
        <v>58000</v>
      </c>
      <c r="T101" s="23">
        <f t="shared" si="18"/>
        <v>-57000</v>
      </c>
      <c r="U101" s="23">
        <f t="shared" si="24"/>
        <v>0</v>
      </c>
      <c r="V101" s="10">
        <f t="shared" si="19"/>
        <v>232000</v>
      </c>
      <c r="W101" s="10">
        <f t="shared" si="20"/>
        <v>0</v>
      </c>
      <c r="X101" s="10">
        <f t="shared" si="21"/>
        <v>0</v>
      </c>
    </row>
    <row r="102" spans="1:24" s="9" customFormat="1" ht="13.5" customHeight="1" x14ac:dyDescent="0.2">
      <c r="A102" s="64">
        <f t="shared" si="22"/>
        <v>98</v>
      </c>
      <c r="B102" s="109" t="s">
        <v>1777</v>
      </c>
      <c r="C102" s="66" t="s">
        <v>1778</v>
      </c>
      <c r="D102" s="175">
        <v>4100000</v>
      </c>
      <c r="E102" s="462"/>
      <c r="F102" s="67">
        <f t="shared" si="25"/>
        <v>4100000</v>
      </c>
      <c r="G102" s="67">
        <v>4099000</v>
      </c>
      <c r="H102" s="67">
        <f t="shared" si="14"/>
        <v>1000</v>
      </c>
      <c r="I102" s="68">
        <v>5</v>
      </c>
      <c r="J102" s="68">
        <v>0.2</v>
      </c>
      <c r="K102" s="68">
        <v>0</v>
      </c>
      <c r="L102" s="67"/>
      <c r="M102" s="67">
        <f t="shared" si="15"/>
        <v>4099000</v>
      </c>
      <c r="N102" s="67">
        <f t="shared" si="16"/>
        <v>1000</v>
      </c>
      <c r="O102" s="111" t="s">
        <v>1779</v>
      </c>
      <c r="P102" s="111">
        <v>1</v>
      </c>
      <c r="Q102" s="464"/>
      <c r="R102" s="23">
        <f t="shared" si="23"/>
        <v>200</v>
      </c>
      <c r="S102" s="23">
        <f t="shared" si="17"/>
        <v>205000</v>
      </c>
      <c r="T102" s="23">
        <f t="shared" si="18"/>
        <v>-204000</v>
      </c>
      <c r="U102" s="23">
        <f t="shared" si="24"/>
        <v>0</v>
      </c>
      <c r="V102" s="10">
        <f t="shared" si="19"/>
        <v>820000</v>
      </c>
      <c r="W102" s="10">
        <f t="shared" si="20"/>
        <v>0</v>
      </c>
      <c r="X102" s="10">
        <f t="shared" si="21"/>
        <v>0</v>
      </c>
    </row>
    <row r="103" spans="1:24" s="9" customFormat="1" ht="13.5" customHeight="1" x14ac:dyDescent="0.2">
      <c r="A103" s="64">
        <f t="shared" si="22"/>
        <v>99</v>
      </c>
      <c r="B103" s="109" t="s">
        <v>1538</v>
      </c>
      <c r="C103" s="66" t="s">
        <v>1780</v>
      </c>
      <c r="D103" s="175">
        <v>380000</v>
      </c>
      <c r="E103" s="462"/>
      <c r="F103" s="67">
        <f t="shared" si="25"/>
        <v>380000</v>
      </c>
      <c r="G103" s="67">
        <v>379000</v>
      </c>
      <c r="H103" s="67">
        <f t="shared" si="14"/>
        <v>1000</v>
      </c>
      <c r="I103" s="68">
        <v>5</v>
      </c>
      <c r="J103" s="68">
        <v>0.2</v>
      </c>
      <c r="K103" s="68">
        <v>0</v>
      </c>
      <c r="L103" s="67"/>
      <c r="M103" s="67">
        <f t="shared" si="15"/>
        <v>379000</v>
      </c>
      <c r="N103" s="67">
        <f t="shared" si="16"/>
        <v>1000</v>
      </c>
      <c r="O103" s="111" t="s">
        <v>1781</v>
      </c>
      <c r="P103" s="111">
        <v>1</v>
      </c>
      <c r="Q103" s="464"/>
      <c r="R103" s="23">
        <f t="shared" si="23"/>
        <v>200</v>
      </c>
      <c r="S103" s="23">
        <f t="shared" si="17"/>
        <v>19000</v>
      </c>
      <c r="T103" s="23">
        <f t="shared" si="18"/>
        <v>-18000</v>
      </c>
      <c r="U103" s="23">
        <f t="shared" si="24"/>
        <v>0</v>
      </c>
      <c r="V103" s="10">
        <f t="shared" si="19"/>
        <v>76000</v>
      </c>
      <c r="W103" s="10">
        <f t="shared" si="20"/>
        <v>0</v>
      </c>
      <c r="X103" s="10">
        <f t="shared" si="21"/>
        <v>0</v>
      </c>
    </row>
    <row r="104" spans="1:24" s="9" customFormat="1" ht="13.5" customHeight="1" x14ac:dyDescent="0.2">
      <c r="A104" s="64">
        <f t="shared" si="22"/>
        <v>100</v>
      </c>
      <c r="B104" s="109" t="s">
        <v>1240</v>
      </c>
      <c r="C104" s="66" t="s">
        <v>843</v>
      </c>
      <c r="D104" s="175">
        <v>800000</v>
      </c>
      <c r="E104" s="462"/>
      <c r="F104" s="67">
        <f t="shared" si="25"/>
        <v>800000</v>
      </c>
      <c r="G104" s="67">
        <v>799000</v>
      </c>
      <c r="H104" s="67">
        <f t="shared" si="14"/>
        <v>1000</v>
      </c>
      <c r="I104" s="68">
        <v>5</v>
      </c>
      <c r="J104" s="68">
        <v>0.2</v>
      </c>
      <c r="K104" s="68">
        <v>0</v>
      </c>
      <c r="L104" s="67"/>
      <c r="M104" s="67">
        <f t="shared" si="15"/>
        <v>799000</v>
      </c>
      <c r="N104" s="67">
        <f t="shared" si="16"/>
        <v>1000</v>
      </c>
      <c r="O104" s="111" t="s">
        <v>1729</v>
      </c>
      <c r="P104" s="111">
        <v>1</v>
      </c>
      <c r="Q104" s="464"/>
      <c r="R104" s="23">
        <f t="shared" si="23"/>
        <v>200</v>
      </c>
      <c r="S104" s="23">
        <f t="shared" si="17"/>
        <v>40000</v>
      </c>
      <c r="T104" s="23">
        <f t="shared" si="18"/>
        <v>-39000</v>
      </c>
      <c r="U104" s="23">
        <f t="shared" si="24"/>
        <v>0</v>
      </c>
      <c r="V104" s="10">
        <f t="shared" si="19"/>
        <v>160000</v>
      </c>
      <c r="W104" s="10">
        <f t="shared" si="20"/>
        <v>0</v>
      </c>
      <c r="X104" s="10">
        <f t="shared" si="21"/>
        <v>0</v>
      </c>
    </row>
    <row r="105" spans="1:24" s="9" customFormat="1" ht="13.5" customHeight="1" x14ac:dyDescent="0.2">
      <c r="A105" s="64">
        <f t="shared" si="22"/>
        <v>101</v>
      </c>
      <c r="B105" s="559" t="s">
        <v>1782</v>
      </c>
      <c r="C105" s="66" t="s">
        <v>1783</v>
      </c>
      <c r="D105" s="175">
        <v>800000</v>
      </c>
      <c r="E105" s="462"/>
      <c r="F105" s="67">
        <f t="shared" si="25"/>
        <v>800000</v>
      </c>
      <c r="G105" s="67">
        <v>799000</v>
      </c>
      <c r="H105" s="67">
        <f t="shared" si="14"/>
        <v>1000</v>
      </c>
      <c r="I105" s="68">
        <v>5</v>
      </c>
      <c r="J105" s="68">
        <v>0.2</v>
      </c>
      <c r="K105" s="68">
        <v>0</v>
      </c>
      <c r="L105" s="67"/>
      <c r="M105" s="67">
        <f t="shared" si="15"/>
        <v>799000</v>
      </c>
      <c r="N105" s="67">
        <f t="shared" si="16"/>
        <v>1000</v>
      </c>
      <c r="O105" s="111" t="s">
        <v>800</v>
      </c>
      <c r="P105" s="111">
        <v>1</v>
      </c>
      <c r="Q105" s="464"/>
      <c r="R105" s="23">
        <f t="shared" si="23"/>
        <v>200</v>
      </c>
      <c r="S105" s="23">
        <f t="shared" si="17"/>
        <v>40000</v>
      </c>
      <c r="T105" s="23">
        <f t="shared" si="18"/>
        <v>-39000</v>
      </c>
      <c r="U105" s="23">
        <f t="shared" si="24"/>
        <v>0</v>
      </c>
      <c r="V105" s="10">
        <f t="shared" si="19"/>
        <v>160000</v>
      </c>
      <c r="W105" s="10">
        <f t="shared" si="20"/>
        <v>0</v>
      </c>
      <c r="X105" s="10">
        <f t="shared" si="21"/>
        <v>0</v>
      </c>
    </row>
    <row r="106" spans="1:24" s="9" customFormat="1" ht="13.5" customHeight="1" x14ac:dyDescent="0.2">
      <c r="A106" s="64">
        <f t="shared" si="22"/>
        <v>102</v>
      </c>
      <c r="B106" s="109" t="s">
        <v>1240</v>
      </c>
      <c r="C106" s="66" t="s">
        <v>1784</v>
      </c>
      <c r="D106" s="175">
        <v>1085136</v>
      </c>
      <c r="E106" s="462"/>
      <c r="F106" s="67">
        <f t="shared" si="25"/>
        <v>1085136</v>
      </c>
      <c r="G106" s="67">
        <v>1084136</v>
      </c>
      <c r="H106" s="67">
        <f t="shared" si="14"/>
        <v>1000</v>
      </c>
      <c r="I106" s="68">
        <v>5</v>
      </c>
      <c r="J106" s="68">
        <v>0.2</v>
      </c>
      <c r="K106" s="68">
        <v>0</v>
      </c>
      <c r="L106" s="67"/>
      <c r="M106" s="67">
        <f t="shared" si="15"/>
        <v>1084136</v>
      </c>
      <c r="N106" s="67">
        <f t="shared" si="16"/>
        <v>1000</v>
      </c>
      <c r="O106" s="505" t="s">
        <v>1756</v>
      </c>
      <c r="P106" s="111">
        <v>2</v>
      </c>
      <c r="Q106" s="464"/>
      <c r="R106" s="23">
        <f t="shared" si="23"/>
        <v>200</v>
      </c>
      <c r="S106" s="23">
        <f t="shared" si="17"/>
        <v>54256.800000000003</v>
      </c>
      <c r="T106" s="23">
        <f t="shared" si="18"/>
        <v>-53256.800000000003</v>
      </c>
      <c r="U106" s="23">
        <f t="shared" si="24"/>
        <v>0</v>
      </c>
      <c r="V106" s="10">
        <f t="shared" si="19"/>
        <v>217027.20000000001</v>
      </c>
      <c r="W106" s="10">
        <f t="shared" si="20"/>
        <v>0</v>
      </c>
      <c r="X106" s="10">
        <f t="shared" si="21"/>
        <v>0</v>
      </c>
    </row>
    <row r="107" spans="1:24" s="9" customFormat="1" ht="13.5" customHeight="1" x14ac:dyDescent="0.2">
      <c r="A107" s="64">
        <f t="shared" si="22"/>
        <v>103</v>
      </c>
      <c r="B107" s="109" t="s">
        <v>1240</v>
      </c>
      <c r="C107" s="66" t="s">
        <v>1785</v>
      </c>
      <c r="D107" s="175">
        <v>9169072</v>
      </c>
      <c r="E107" s="462"/>
      <c r="F107" s="67">
        <f t="shared" si="25"/>
        <v>9169072</v>
      </c>
      <c r="G107" s="67">
        <v>9168072</v>
      </c>
      <c r="H107" s="67">
        <f t="shared" si="14"/>
        <v>1000</v>
      </c>
      <c r="I107" s="68">
        <v>5</v>
      </c>
      <c r="J107" s="68">
        <v>0.2</v>
      </c>
      <c r="K107" s="68">
        <v>0</v>
      </c>
      <c r="L107" s="67"/>
      <c r="M107" s="67">
        <f t="shared" si="15"/>
        <v>9168072</v>
      </c>
      <c r="N107" s="67">
        <f t="shared" si="16"/>
        <v>1000</v>
      </c>
      <c r="O107" s="505" t="s">
        <v>1756</v>
      </c>
      <c r="P107" s="111">
        <v>12</v>
      </c>
      <c r="Q107" s="464"/>
      <c r="R107" s="23">
        <f t="shared" si="23"/>
        <v>200</v>
      </c>
      <c r="S107" s="23">
        <f t="shared" si="17"/>
        <v>458453.60000000003</v>
      </c>
      <c r="T107" s="23">
        <f t="shared" si="18"/>
        <v>-457453.60000000003</v>
      </c>
      <c r="U107" s="23">
        <f t="shared" si="24"/>
        <v>0</v>
      </c>
      <c r="V107" s="10">
        <f t="shared" si="19"/>
        <v>1833814.4</v>
      </c>
      <c r="W107" s="10">
        <f t="shared" si="20"/>
        <v>0</v>
      </c>
      <c r="X107" s="10">
        <f t="shared" si="21"/>
        <v>0</v>
      </c>
    </row>
    <row r="108" spans="1:24" s="9" customFormat="1" ht="13.5" customHeight="1" x14ac:dyDescent="0.2">
      <c r="A108" s="64">
        <f t="shared" si="22"/>
        <v>104</v>
      </c>
      <c r="B108" s="109" t="s">
        <v>1240</v>
      </c>
      <c r="C108" s="66" t="s">
        <v>1786</v>
      </c>
      <c r="D108" s="175">
        <v>743493</v>
      </c>
      <c r="E108" s="462"/>
      <c r="F108" s="67">
        <f t="shared" si="25"/>
        <v>743493</v>
      </c>
      <c r="G108" s="67">
        <v>742493</v>
      </c>
      <c r="H108" s="67">
        <f t="shared" si="14"/>
        <v>1000</v>
      </c>
      <c r="I108" s="68">
        <v>5</v>
      </c>
      <c r="J108" s="68">
        <v>0.2</v>
      </c>
      <c r="K108" s="68">
        <v>0</v>
      </c>
      <c r="L108" s="67"/>
      <c r="M108" s="67">
        <f t="shared" si="15"/>
        <v>742493</v>
      </c>
      <c r="N108" s="67">
        <f t="shared" si="16"/>
        <v>1000</v>
      </c>
      <c r="O108" s="505" t="s">
        <v>1756</v>
      </c>
      <c r="P108" s="111">
        <v>1</v>
      </c>
      <c r="Q108" s="464"/>
      <c r="R108" s="23">
        <f t="shared" si="23"/>
        <v>200</v>
      </c>
      <c r="S108" s="23">
        <f t="shared" si="17"/>
        <v>37174.65</v>
      </c>
      <c r="T108" s="23">
        <f t="shared" si="18"/>
        <v>-36174.65</v>
      </c>
      <c r="U108" s="23">
        <f t="shared" si="24"/>
        <v>0</v>
      </c>
      <c r="V108" s="10">
        <f t="shared" si="19"/>
        <v>148698.6</v>
      </c>
      <c r="W108" s="10">
        <f t="shared" si="20"/>
        <v>0</v>
      </c>
      <c r="X108" s="10">
        <f t="shared" si="21"/>
        <v>0</v>
      </c>
    </row>
    <row r="109" spans="1:24" s="9" customFormat="1" ht="13.5" customHeight="1" x14ac:dyDescent="0.2">
      <c r="A109" s="64">
        <f t="shared" si="22"/>
        <v>105</v>
      </c>
      <c r="B109" s="109" t="s">
        <v>1240</v>
      </c>
      <c r="C109" s="66" t="s">
        <v>1787</v>
      </c>
      <c r="D109" s="175">
        <v>743493</v>
      </c>
      <c r="E109" s="462"/>
      <c r="F109" s="67">
        <f t="shared" si="25"/>
        <v>743493</v>
      </c>
      <c r="G109" s="67">
        <v>742493</v>
      </c>
      <c r="H109" s="67">
        <f t="shared" si="14"/>
        <v>1000</v>
      </c>
      <c r="I109" s="68">
        <v>5</v>
      </c>
      <c r="J109" s="68">
        <v>0.2</v>
      </c>
      <c r="K109" s="68">
        <v>0</v>
      </c>
      <c r="L109" s="67"/>
      <c r="M109" s="67">
        <f t="shared" si="15"/>
        <v>742493</v>
      </c>
      <c r="N109" s="67">
        <f t="shared" si="16"/>
        <v>1000</v>
      </c>
      <c r="O109" s="505" t="s">
        <v>1756</v>
      </c>
      <c r="P109" s="111">
        <v>1</v>
      </c>
      <c r="Q109" s="464"/>
      <c r="R109" s="23">
        <f t="shared" si="23"/>
        <v>200</v>
      </c>
      <c r="S109" s="23">
        <f t="shared" si="17"/>
        <v>37174.65</v>
      </c>
      <c r="T109" s="23">
        <f t="shared" si="18"/>
        <v>-36174.65</v>
      </c>
      <c r="U109" s="23">
        <f t="shared" si="24"/>
        <v>0</v>
      </c>
      <c r="V109" s="10">
        <f t="shared" si="19"/>
        <v>148698.6</v>
      </c>
      <c r="W109" s="10">
        <f t="shared" si="20"/>
        <v>0</v>
      </c>
      <c r="X109" s="10">
        <f t="shared" si="21"/>
        <v>0</v>
      </c>
    </row>
    <row r="110" spans="1:24" s="9" customFormat="1" ht="13.5" customHeight="1" x14ac:dyDescent="0.2">
      <c r="A110" s="64">
        <f t="shared" si="22"/>
        <v>106</v>
      </c>
      <c r="B110" s="109" t="s">
        <v>1240</v>
      </c>
      <c r="C110" s="66" t="s">
        <v>1788</v>
      </c>
      <c r="D110" s="175">
        <v>1470348</v>
      </c>
      <c r="E110" s="462"/>
      <c r="F110" s="67">
        <f t="shared" si="25"/>
        <v>1470348</v>
      </c>
      <c r="G110" s="67">
        <v>1469348</v>
      </c>
      <c r="H110" s="67">
        <f t="shared" si="14"/>
        <v>1000</v>
      </c>
      <c r="I110" s="68">
        <v>5</v>
      </c>
      <c r="J110" s="68">
        <v>0.2</v>
      </c>
      <c r="K110" s="68">
        <v>0</v>
      </c>
      <c r="L110" s="67"/>
      <c r="M110" s="67">
        <f t="shared" si="15"/>
        <v>1469348</v>
      </c>
      <c r="N110" s="67">
        <f t="shared" si="16"/>
        <v>1000</v>
      </c>
      <c r="O110" s="505" t="s">
        <v>1756</v>
      </c>
      <c r="P110" s="111">
        <v>2</v>
      </c>
      <c r="Q110" s="464"/>
      <c r="R110" s="23">
        <f t="shared" si="23"/>
        <v>200</v>
      </c>
      <c r="S110" s="23">
        <f t="shared" si="17"/>
        <v>73517.400000000009</v>
      </c>
      <c r="T110" s="23">
        <f t="shared" si="18"/>
        <v>-72517.400000000009</v>
      </c>
      <c r="U110" s="23">
        <f t="shared" si="24"/>
        <v>0</v>
      </c>
      <c r="V110" s="10">
        <f t="shared" si="19"/>
        <v>294069.59999999998</v>
      </c>
      <c r="W110" s="10">
        <f t="shared" si="20"/>
        <v>0</v>
      </c>
      <c r="X110" s="10">
        <f t="shared" si="21"/>
        <v>0</v>
      </c>
    </row>
    <row r="111" spans="1:24" s="9" customFormat="1" ht="13.5" customHeight="1" x14ac:dyDescent="0.2">
      <c r="A111" s="64">
        <f t="shared" si="22"/>
        <v>107</v>
      </c>
      <c r="B111" s="109" t="s">
        <v>1240</v>
      </c>
      <c r="C111" s="66" t="s">
        <v>1789</v>
      </c>
      <c r="D111" s="175">
        <v>731367</v>
      </c>
      <c r="E111" s="462"/>
      <c r="F111" s="67">
        <f t="shared" si="25"/>
        <v>731367</v>
      </c>
      <c r="G111" s="67">
        <v>730367</v>
      </c>
      <c r="H111" s="67">
        <f t="shared" si="14"/>
        <v>1000</v>
      </c>
      <c r="I111" s="68">
        <v>5</v>
      </c>
      <c r="J111" s="68">
        <v>0.2</v>
      </c>
      <c r="K111" s="68">
        <v>0</v>
      </c>
      <c r="L111" s="67"/>
      <c r="M111" s="67">
        <f t="shared" si="15"/>
        <v>730367</v>
      </c>
      <c r="N111" s="67">
        <f t="shared" si="16"/>
        <v>1000</v>
      </c>
      <c r="O111" s="505" t="s">
        <v>1756</v>
      </c>
      <c r="P111" s="111">
        <v>1</v>
      </c>
      <c r="Q111" s="464"/>
      <c r="R111" s="23">
        <f t="shared" si="23"/>
        <v>200</v>
      </c>
      <c r="S111" s="23">
        <f t="shared" si="17"/>
        <v>36568.35</v>
      </c>
      <c r="T111" s="23">
        <f t="shared" si="18"/>
        <v>-35568.35</v>
      </c>
      <c r="U111" s="23">
        <f t="shared" si="24"/>
        <v>0</v>
      </c>
      <c r="V111" s="10">
        <f t="shared" si="19"/>
        <v>146273.4</v>
      </c>
      <c r="W111" s="10">
        <f t="shared" si="20"/>
        <v>0</v>
      </c>
      <c r="X111" s="10">
        <f t="shared" si="21"/>
        <v>0</v>
      </c>
    </row>
    <row r="112" spans="1:24" s="9" customFormat="1" ht="13.5" customHeight="1" x14ac:dyDescent="0.2">
      <c r="A112" s="64">
        <f t="shared" si="22"/>
        <v>108</v>
      </c>
      <c r="B112" s="109" t="s">
        <v>1790</v>
      </c>
      <c r="C112" s="66" t="s">
        <v>1383</v>
      </c>
      <c r="D112" s="175">
        <v>400000</v>
      </c>
      <c r="E112" s="462"/>
      <c r="F112" s="67">
        <f t="shared" si="25"/>
        <v>400000</v>
      </c>
      <c r="G112" s="67">
        <v>399000</v>
      </c>
      <c r="H112" s="67">
        <f t="shared" si="14"/>
        <v>1000</v>
      </c>
      <c r="I112" s="68">
        <v>5</v>
      </c>
      <c r="J112" s="68">
        <v>0.2</v>
      </c>
      <c r="K112" s="68">
        <v>0</v>
      </c>
      <c r="L112" s="67"/>
      <c r="M112" s="67">
        <f t="shared" si="15"/>
        <v>399000</v>
      </c>
      <c r="N112" s="67">
        <f t="shared" si="16"/>
        <v>1000</v>
      </c>
      <c r="O112" s="111" t="s">
        <v>1791</v>
      </c>
      <c r="P112" s="111">
        <v>1</v>
      </c>
      <c r="Q112" s="464"/>
      <c r="R112" s="23">
        <f t="shared" si="23"/>
        <v>200</v>
      </c>
      <c r="S112" s="23">
        <f t="shared" si="17"/>
        <v>20000</v>
      </c>
      <c r="T112" s="23">
        <f t="shared" si="18"/>
        <v>-19000</v>
      </c>
      <c r="U112" s="23">
        <f t="shared" si="24"/>
        <v>0</v>
      </c>
      <c r="V112" s="10">
        <f t="shared" si="19"/>
        <v>80000</v>
      </c>
      <c r="W112" s="10">
        <f t="shared" si="20"/>
        <v>0</v>
      </c>
      <c r="X112" s="10">
        <f t="shared" si="21"/>
        <v>0</v>
      </c>
    </row>
    <row r="113" spans="1:24" s="9" customFormat="1" ht="13.5" customHeight="1" x14ac:dyDescent="0.2">
      <c r="A113" s="64">
        <f t="shared" si="22"/>
        <v>109</v>
      </c>
      <c r="B113" s="109" t="s">
        <v>1240</v>
      </c>
      <c r="C113" s="66" t="s">
        <v>1792</v>
      </c>
      <c r="D113" s="175">
        <v>1458363</v>
      </c>
      <c r="E113" s="462"/>
      <c r="F113" s="67">
        <f t="shared" si="25"/>
        <v>1458363</v>
      </c>
      <c r="G113" s="67">
        <v>1457363</v>
      </c>
      <c r="H113" s="67">
        <f t="shared" si="14"/>
        <v>1000</v>
      </c>
      <c r="I113" s="68">
        <v>5</v>
      </c>
      <c r="J113" s="68">
        <v>0.2</v>
      </c>
      <c r="K113" s="68">
        <v>0</v>
      </c>
      <c r="L113" s="67"/>
      <c r="M113" s="67">
        <f t="shared" si="15"/>
        <v>1457363</v>
      </c>
      <c r="N113" s="67">
        <f t="shared" si="16"/>
        <v>1000</v>
      </c>
      <c r="O113" s="505" t="s">
        <v>1756</v>
      </c>
      <c r="P113" s="111">
        <v>2</v>
      </c>
      <c r="Q113" s="464"/>
      <c r="R113" s="23">
        <f t="shared" si="23"/>
        <v>200</v>
      </c>
      <c r="S113" s="23">
        <f t="shared" si="17"/>
        <v>72918.150000000009</v>
      </c>
      <c r="T113" s="23">
        <f t="shared" si="18"/>
        <v>-71918.150000000009</v>
      </c>
      <c r="U113" s="23">
        <f t="shared" si="24"/>
        <v>0</v>
      </c>
      <c r="V113" s="10">
        <f t="shared" si="19"/>
        <v>291672.59999999998</v>
      </c>
      <c r="W113" s="10">
        <f t="shared" si="20"/>
        <v>0</v>
      </c>
      <c r="X113" s="10">
        <f t="shared" si="21"/>
        <v>0</v>
      </c>
    </row>
    <row r="114" spans="1:24" s="9" customFormat="1" ht="13.5" customHeight="1" x14ac:dyDescent="0.2">
      <c r="A114" s="64">
        <f t="shared" si="22"/>
        <v>110</v>
      </c>
      <c r="B114" s="109" t="s">
        <v>1240</v>
      </c>
      <c r="C114" s="66" t="s">
        <v>1793</v>
      </c>
      <c r="D114" s="175">
        <v>4313754</v>
      </c>
      <c r="E114" s="462"/>
      <c r="F114" s="67">
        <f t="shared" si="25"/>
        <v>4313754</v>
      </c>
      <c r="G114" s="67">
        <v>4312754</v>
      </c>
      <c r="H114" s="67">
        <f t="shared" si="14"/>
        <v>1000</v>
      </c>
      <c r="I114" s="68">
        <v>5</v>
      </c>
      <c r="J114" s="68">
        <v>0.2</v>
      </c>
      <c r="K114" s="68">
        <v>0</v>
      </c>
      <c r="L114" s="67"/>
      <c r="M114" s="67">
        <f t="shared" si="15"/>
        <v>4312754</v>
      </c>
      <c r="N114" s="67">
        <f t="shared" si="16"/>
        <v>1000</v>
      </c>
      <c r="O114" s="505" t="s">
        <v>1756</v>
      </c>
      <c r="P114" s="111">
        <v>6</v>
      </c>
      <c r="Q114" s="464"/>
      <c r="R114" s="23">
        <f t="shared" si="23"/>
        <v>200</v>
      </c>
      <c r="S114" s="23">
        <f t="shared" si="17"/>
        <v>215687.7</v>
      </c>
      <c r="T114" s="23">
        <f t="shared" si="18"/>
        <v>-214687.7</v>
      </c>
      <c r="U114" s="23">
        <f t="shared" si="24"/>
        <v>0</v>
      </c>
      <c r="V114" s="10">
        <f t="shared" si="19"/>
        <v>862750.8</v>
      </c>
      <c r="W114" s="10">
        <f t="shared" si="20"/>
        <v>0</v>
      </c>
      <c r="X114" s="10">
        <f t="shared" si="21"/>
        <v>0</v>
      </c>
    </row>
    <row r="115" spans="1:24" s="9" customFormat="1" ht="13.5" customHeight="1" x14ac:dyDescent="0.2">
      <c r="A115" s="64">
        <f t="shared" si="22"/>
        <v>111</v>
      </c>
      <c r="B115" s="109" t="s">
        <v>1240</v>
      </c>
      <c r="C115" s="66" t="s">
        <v>1794</v>
      </c>
      <c r="D115" s="175">
        <v>7177605</v>
      </c>
      <c r="E115" s="462"/>
      <c r="F115" s="67">
        <f t="shared" si="25"/>
        <v>7177605</v>
      </c>
      <c r="G115" s="67">
        <v>7176605</v>
      </c>
      <c r="H115" s="67">
        <f t="shared" si="14"/>
        <v>1000</v>
      </c>
      <c r="I115" s="68">
        <v>5</v>
      </c>
      <c r="J115" s="68">
        <v>0.2</v>
      </c>
      <c r="K115" s="68">
        <v>0</v>
      </c>
      <c r="L115" s="67"/>
      <c r="M115" s="67">
        <f t="shared" si="15"/>
        <v>7176605</v>
      </c>
      <c r="N115" s="67">
        <f t="shared" si="16"/>
        <v>1000</v>
      </c>
      <c r="O115" s="505" t="s">
        <v>1756</v>
      </c>
      <c r="P115" s="111">
        <v>10</v>
      </c>
      <c r="Q115" s="464"/>
      <c r="R115" s="23">
        <f t="shared" si="23"/>
        <v>200</v>
      </c>
      <c r="S115" s="23">
        <f t="shared" si="17"/>
        <v>358880.25</v>
      </c>
      <c r="T115" s="23">
        <f t="shared" si="18"/>
        <v>-357880.25</v>
      </c>
      <c r="U115" s="23">
        <f t="shared" si="24"/>
        <v>0</v>
      </c>
      <c r="V115" s="10">
        <f t="shared" si="19"/>
        <v>1435521</v>
      </c>
      <c r="W115" s="10">
        <f t="shared" si="20"/>
        <v>0</v>
      </c>
      <c r="X115" s="10">
        <f t="shared" si="21"/>
        <v>0</v>
      </c>
    </row>
    <row r="116" spans="1:24" s="9" customFormat="1" ht="13.5" customHeight="1" x14ac:dyDescent="0.2">
      <c r="A116" s="64">
        <f t="shared" si="22"/>
        <v>112</v>
      </c>
      <c r="B116" s="109" t="s">
        <v>1240</v>
      </c>
      <c r="C116" s="163">
        <v>38730</v>
      </c>
      <c r="D116" s="175">
        <v>2694588</v>
      </c>
      <c r="E116" s="462"/>
      <c r="F116" s="67">
        <f t="shared" si="25"/>
        <v>2694588</v>
      </c>
      <c r="G116" s="67">
        <v>2693588</v>
      </c>
      <c r="H116" s="67">
        <f t="shared" si="14"/>
        <v>1000</v>
      </c>
      <c r="I116" s="68">
        <v>5</v>
      </c>
      <c r="J116" s="68">
        <v>0.2</v>
      </c>
      <c r="K116" s="68">
        <v>0</v>
      </c>
      <c r="L116" s="67"/>
      <c r="M116" s="67">
        <f t="shared" si="15"/>
        <v>2693588</v>
      </c>
      <c r="N116" s="67">
        <f t="shared" si="16"/>
        <v>1000</v>
      </c>
      <c r="O116" s="505" t="s">
        <v>1756</v>
      </c>
      <c r="P116" s="111">
        <v>4</v>
      </c>
      <c r="Q116" s="464"/>
      <c r="R116" s="23"/>
      <c r="S116" s="23">
        <f t="shared" si="17"/>
        <v>134729.4</v>
      </c>
      <c r="T116" s="23">
        <f t="shared" si="18"/>
        <v>-133729.4</v>
      </c>
      <c r="U116" s="23">
        <f t="shared" si="24"/>
        <v>0</v>
      </c>
      <c r="V116" s="10">
        <f t="shared" si="19"/>
        <v>538917.6</v>
      </c>
      <c r="W116" s="10">
        <f t="shared" si="20"/>
        <v>0</v>
      </c>
      <c r="X116" s="10">
        <f t="shared" si="21"/>
        <v>0</v>
      </c>
    </row>
    <row r="117" spans="1:24" s="9" customFormat="1" ht="13.5" customHeight="1" x14ac:dyDescent="0.2">
      <c r="A117" s="64">
        <f t="shared" si="22"/>
        <v>113</v>
      </c>
      <c r="B117" s="109" t="s">
        <v>1795</v>
      </c>
      <c r="C117" s="163">
        <v>38754</v>
      </c>
      <c r="D117" s="175">
        <v>580000</v>
      </c>
      <c r="E117" s="462"/>
      <c r="F117" s="67">
        <f t="shared" si="25"/>
        <v>580000</v>
      </c>
      <c r="G117" s="67">
        <v>579000</v>
      </c>
      <c r="H117" s="67">
        <f t="shared" si="14"/>
        <v>1000</v>
      </c>
      <c r="I117" s="68">
        <v>5</v>
      </c>
      <c r="J117" s="68">
        <v>0.2</v>
      </c>
      <c r="K117" s="68">
        <v>0</v>
      </c>
      <c r="L117" s="67">
        <f t="shared" ref="L117:L130" si="26">ROUND(IF(F117*J117*K117/12&gt;=H117,H117-1000,F117*J117*K117/12),0)</f>
        <v>0</v>
      </c>
      <c r="M117" s="67">
        <f t="shared" si="15"/>
        <v>579000</v>
      </c>
      <c r="N117" s="67">
        <f t="shared" si="16"/>
        <v>1000</v>
      </c>
      <c r="O117" s="180" t="s">
        <v>819</v>
      </c>
      <c r="P117" s="111">
        <v>1</v>
      </c>
      <c r="Q117" s="464"/>
      <c r="R117" s="23"/>
      <c r="S117" s="23">
        <f t="shared" si="17"/>
        <v>29000</v>
      </c>
      <c r="T117" s="23">
        <f t="shared" si="18"/>
        <v>-28000</v>
      </c>
      <c r="U117" s="23">
        <f t="shared" si="24"/>
        <v>0</v>
      </c>
      <c r="V117" s="10">
        <f t="shared" si="19"/>
        <v>116000</v>
      </c>
      <c r="W117" s="10">
        <f t="shared" si="20"/>
        <v>0</v>
      </c>
      <c r="X117" s="10">
        <f t="shared" si="21"/>
        <v>0</v>
      </c>
    </row>
    <row r="118" spans="1:24" s="9" customFormat="1" ht="13.5" customHeight="1" x14ac:dyDescent="0.2">
      <c r="A118" s="64">
        <f t="shared" si="22"/>
        <v>114</v>
      </c>
      <c r="B118" s="109" t="s">
        <v>1011</v>
      </c>
      <c r="C118" s="163">
        <v>38755</v>
      </c>
      <c r="D118" s="175">
        <v>590000</v>
      </c>
      <c r="E118" s="462"/>
      <c r="F118" s="67">
        <f t="shared" si="25"/>
        <v>590000</v>
      </c>
      <c r="G118" s="67">
        <v>589000</v>
      </c>
      <c r="H118" s="67">
        <f t="shared" si="14"/>
        <v>1000</v>
      </c>
      <c r="I118" s="68">
        <v>5</v>
      </c>
      <c r="J118" s="68">
        <v>0.2</v>
      </c>
      <c r="K118" s="68">
        <v>0</v>
      </c>
      <c r="L118" s="67">
        <f t="shared" si="26"/>
        <v>0</v>
      </c>
      <c r="M118" s="67">
        <f t="shared" si="15"/>
        <v>589000</v>
      </c>
      <c r="N118" s="67">
        <f t="shared" si="16"/>
        <v>1000</v>
      </c>
      <c r="O118" s="180" t="s">
        <v>819</v>
      </c>
      <c r="P118" s="111">
        <v>1</v>
      </c>
      <c r="Q118" s="464"/>
      <c r="R118" s="23"/>
      <c r="S118" s="23">
        <f t="shared" si="17"/>
        <v>29500</v>
      </c>
      <c r="T118" s="23">
        <f t="shared" si="18"/>
        <v>-28500</v>
      </c>
      <c r="U118" s="23">
        <f t="shared" si="24"/>
        <v>0</v>
      </c>
      <c r="V118" s="10">
        <f t="shared" si="19"/>
        <v>118000</v>
      </c>
      <c r="W118" s="10">
        <f t="shared" si="20"/>
        <v>0</v>
      </c>
      <c r="X118" s="10">
        <f t="shared" si="21"/>
        <v>0</v>
      </c>
    </row>
    <row r="119" spans="1:24" s="9" customFormat="1" ht="13.5" customHeight="1" x14ac:dyDescent="0.2">
      <c r="A119" s="64">
        <f t="shared" si="22"/>
        <v>115</v>
      </c>
      <c r="B119" s="109" t="s">
        <v>719</v>
      </c>
      <c r="C119" s="163">
        <v>38758</v>
      </c>
      <c r="D119" s="175">
        <v>842030</v>
      </c>
      <c r="E119" s="462"/>
      <c r="F119" s="67">
        <f t="shared" si="25"/>
        <v>842030</v>
      </c>
      <c r="G119" s="67">
        <v>841030</v>
      </c>
      <c r="H119" s="67">
        <f t="shared" si="14"/>
        <v>1000</v>
      </c>
      <c r="I119" s="68">
        <v>5</v>
      </c>
      <c r="J119" s="68">
        <v>0.2</v>
      </c>
      <c r="K119" s="68">
        <v>0</v>
      </c>
      <c r="L119" s="67">
        <f t="shared" si="26"/>
        <v>0</v>
      </c>
      <c r="M119" s="67">
        <f t="shared" si="15"/>
        <v>841030</v>
      </c>
      <c r="N119" s="67">
        <f t="shared" si="16"/>
        <v>1000</v>
      </c>
      <c r="O119" s="505" t="s">
        <v>1796</v>
      </c>
      <c r="P119" s="111">
        <v>1</v>
      </c>
      <c r="Q119" s="464"/>
      <c r="R119" s="23"/>
      <c r="S119" s="23">
        <f t="shared" si="17"/>
        <v>42101.5</v>
      </c>
      <c r="T119" s="23">
        <f t="shared" si="18"/>
        <v>-41101.5</v>
      </c>
      <c r="U119" s="23">
        <f t="shared" si="24"/>
        <v>0</v>
      </c>
      <c r="V119" s="10">
        <f t="shared" si="19"/>
        <v>168406</v>
      </c>
      <c r="W119" s="10">
        <f t="shared" si="20"/>
        <v>0</v>
      </c>
      <c r="X119" s="10">
        <f t="shared" si="21"/>
        <v>0</v>
      </c>
    </row>
    <row r="120" spans="1:24" s="9" customFormat="1" ht="13.5" customHeight="1" x14ac:dyDescent="0.2">
      <c r="A120" s="64">
        <f t="shared" si="22"/>
        <v>116</v>
      </c>
      <c r="B120" s="109" t="s">
        <v>1240</v>
      </c>
      <c r="C120" s="163">
        <v>38758</v>
      </c>
      <c r="D120" s="175">
        <v>684696</v>
      </c>
      <c r="E120" s="462"/>
      <c r="F120" s="67">
        <f t="shared" si="25"/>
        <v>684696</v>
      </c>
      <c r="G120" s="67">
        <v>683696</v>
      </c>
      <c r="H120" s="67">
        <f t="shared" si="14"/>
        <v>1000</v>
      </c>
      <c r="I120" s="68">
        <v>5</v>
      </c>
      <c r="J120" s="68">
        <v>0.2</v>
      </c>
      <c r="K120" s="68">
        <v>0</v>
      </c>
      <c r="L120" s="67">
        <f t="shared" si="26"/>
        <v>0</v>
      </c>
      <c r="M120" s="67">
        <f t="shared" si="15"/>
        <v>683696</v>
      </c>
      <c r="N120" s="67">
        <f t="shared" si="16"/>
        <v>1000</v>
      </c>
      <c r="O120" s="505" t="s">
        <v>1756</v>
      </c>
      <c r="P120" s="111">
        <v>1</v>
      </c>
      <c r="Q120" s="464"/>
      <c r="R120" s="23"/>
      <c r="S120" s="23">
        <f t="shared" si="17"/>
        <v>34234.800000000003</v>
      </c>
      <c r="T120" s="23">
        <f t="shared" si="18"/>
        <v>-33234.800000000003</v>
      </c>
      <c r="U120" s="23">
        <f t="shared" si="24"/>
        <v>0</v>
      </c>
      <c r="V120" s="10">
        <f t="shared" si="19"/>
        <v>136939.20000000001</v>
      </c>
      <c r="W120" s="10">
        <f t="shared" si="20"/>
        <v>0</v>
      </c>
      <c r="X120" s="10">
        <f t="shared" si="21"/>
        <v>0</v>
      </c>
    </row>
    <row r="121" spans="1:24" s="9" customFormat="1" ht="13.5" customHeight="1" x14ac:dyDescent="0.2">
      <c r="A121" s="64">
        <f t="shared" si="22"/>
        <v>117</v>
      </c>
      <c r="B121" s="109" t="s">
        <v>1240</v>
      </c>
      <c r="C121" s="163">
        <v>38768</v>
      </c>
      <c r="D121" s="175">
        <v>5493924</v>
      </c>
      <c r="E121" s="462"/>
      <c r="F121" s="67">
        <f t="shared" si="25"/>
        <v>5493924</v>
      </c>
      <c r="G121" s="67">
        <v>5492924</v>
      </c>
      <c r="H121" s="67">
        <f t="shared" si="14"/>
        <v>1000</v>
      </c>
      <c r="I121" s="68">
        <v>5</v>
      </c>
      <c r="J121" s="68">
        <v>0.2</v>
      </c>
      <c r="K121" s="68">
        <v>0</v>
      </c>
      <c r="L121" s="67">
        <f t="shared" si="26"/>
        <v>0</v>
      </c>
      <c r="M121" s="67">
        <f t="shared" si="15"/>
        <v>5492924</v>
      </c>
      <c r="N121" s="67">
        <f t="shared" si="16"/>
        <v>1000</v>
      </c>
      <c r="O121" s="505" t="s">
        <v>1756</v>
      </c>
      <c r="P121" s="111">
        <v>8</v>
      </c>
      <c r="Q121" s="464"/>
      <c r="R121" s="23"/>
      <c r="S121" s="23">
        <f t="shared" si="17"/>
        <v>274696.2</v>
      </c>
      <c r="T121" s="23">
        <f t="shared" si="18"/>
        <v>-273696.2</v>
      </c>
      <c r="U121" s="23">
        <f t="shared" si="24"/>
        <v>0</v>
      </c>
      <c r="V121" s="10">
        <f t="shared" si="19"/>
        <v>1098784.8</v>
      </c>
      <c r="W121" s="10">
        <f t="shared" si="20"/>
        <v>0</v>
      </c>
      <c r="X121" s="10">
        <f t="shared" si="21"/>
        <v>0</v>
      </c>
    </row>
    <row r="122" spans="1:24" s="9" customFormat="1" ht="13.5" customHeight="1" x14ac:dyDescent="0.2">
      <c r="A122" s="64">
        <f t="shared" si="22"/>
        <v>118</v>
      </c>
      <c r="B122" s="109" t="s">
        <v>1240</v>
      </c>
      <c r="C122" s="163">
        <v>38774</v>
      </c>
      <c r="D122" s="175">
        <v>427944</v>
      </c>
      <c r="E122" s="462"/>
      <c r="F122" s="67">
        <f t="shared" si="25"/>
        <v>427944</v>
      </c>
      <c r="G122" s="67">
        <v>426944</v>
      </c>
      <c r="H122" s="67">
        <f t="shared" si="14"/>
        <v>1000</v>
      </c>
      <c r="I122" s="68">
        <v>5</v>
      </c>
      <c r="J122" s="68">
        <v>0.2</v>
      </c>
      <c r="K122" s="68">
        <v>0</v>
      </c>
      <c r="L122" s="67">
        <f t="shared" si="26"/>
        <v>0</v>
      </c>
      <c r="M122" s="67">
        <f t="shared" si="15"/>
        <v>426944</v>
      </c>
      <c r="N122" s="67">
        <f t="shared" si="16"/>
        <v>1000</v>
      </c>
      <c r="O122" s="505" t="s">
        <v>1756</v>
      </c>
      <c r="P122" s="111">
        <v>1</v>
      </c>
      <c r="Q122" s="464"/>
      <c r="R122" s="23"/>
      <c r="S122" s="23">
        <f t="shared" si="17"/>
        <v>21397.200000000001</v>
      </c>
      <c r="T122" s="23">
        <f t="shared" si="18"/>
        <v>-20397.2</v>
      </c>
      <c r="U122" s="23">
        <f t="shared" si="24"/>
        <v>0</v>
      </c>
      <c r="V122" s="10">
        <f t="shared" si="19"/>
        <v>85588.800000000003</v>
      </c>
      <c r="W122" s="10">
        <f t="shared" si="20"/>
        <v>0</v>
      </c>
      <c r="X122" s="10">
        <f t="shared" si="21"/>
        <v>0</v>
      </c>
    </row>
    <row r="123" spans="1:24" s="9" customFormat="1" ht="13.5" customHeight="1" x14ac:dyDescent="0.2">
      <c r="A123" s="64">
        <f t="shared" si="22"/>
        <v>119</v>
      </c>
      <c r="B123" s="109" t="s">
        <v>1240</v>
      </c>
      <c r="C123" s="163">
        <v>38779</v>
      </c>
      <c r="D123" s="175">
        <v>3869502</v>
      </c>
      <c r="E123" s="462"/>
      <c r="F123" s="67">
        <f t="shared" si="25"/>
        <v>3869502</v>
      </c>
      <c r="G123" s="67">
        <v>3868502</v>
      </c>
      <c r="H123" s="67">
        <f t="shared" si="14"/>
        <v>1000</v>
      </c>
      <c r="I123" s="68">
        <v>5</v>
      </c>
      <c r="J123" s="68">
        <v>0.2</v>
      </c>
      <c r="K123" s="68">
        <v>0</v>
      </c>
      <c r="L123" s="67">
        <f t="shared" si="26"/>
        <v>0</v>
      </c>
      <c r="M123" s="67">
        <f t="shared" si="15"/>
        <v>3868502</v>
      </c>
      <c r="N123" s="67">
        <f t="shared" si="16"/>
        <v>1000</v>
      </c>
      <c r="O123" s="498" t="s">
        <v>1797</v>
      </c>
      <c r="P123" s="111">
        <v>6</v>
      </c>
      <c r="Q123" s="464"/>
      <c r="R123" s="23"/>
      <c r="S123" s="23">
        <f t="shared" si="17"/>
        <v>193475.1</v>
      </c>
      <c r="T123" s="23">
        <f t="shared" si="18"/>
        <v>-192475.1</v>
      </c>
      <c r="U123" s="23">
        <f t="shared" si="24"/>
        <v>0</v>
      </c>
      <c r="V123" s="10">
        <f t="shared" si="19"/>
        <v>773900.4</v>
      </c>
      <c r="W123" s="10">
        <f t="shared" si="20"/>
        <v>0</v>
      </c>
      <c r="X123" s="10">
        <f t="shared" si="21"/>
        <v>0</v>
      </c>
    </row>
    <row r="124" spans="1:24" s="9" customFormat="1" ht="13.5" customHeight="1" x14ac:dyDescent="0.2">
      <c r="A124" s="64">
        <f t="shared" si="22"/>
        <v>120</v>
      </c>
      <c r="B124" s="109" t="s">
        <v>1240</v>
      </c>
      <c r="C124" s="163">
        <v>38783</v>
      </c>
      <c r="D124" s="175">
        <v>1294489</v>
      </c>
      <c r="E124" s="462"/>
      <c r="F124" s="67">
        <f t="shared" si="25"/>
        <v>1294489</v>
      </c>
      <c r="G124" s="67">
        <v>1293489</v>
      </c>
      <c r="H124" s="67">
        <f t="shared" si="14"/>
        <v>1000</v>
      </c>
      <c r="I124" s="68">
        <v>5</v>
      </c>
      <c r="J124" s="68">
        <v>0.2</v>
      </c>
      <c r="K124" s="68">
        <v>0</v>
      </c>
      <c r="L124" s="67">
        <f t="shared" si="26"/>
        <v>0</v>
      </c>
      <c r="M124" s="67">
        <f t="shared" si="15"/>
        <v>1293489</v>
      </c>
      <c r="N124" s="67">
        <f t="shared" si="16"/>
        <v>1000</v>
      </c>
      <c r="O124" s="498" t="s">
        <v>1797</v>
      </c>
      <c r="P124" s="111">
        <v>7</v>
      </c>
      <c r="Q124" s="464"/>
      <c r="R124" s="23"/>
      <c r="S124" s="23">
        <f t="shared" si="17"/>
        <v>64724.450000000004</v>
      </c>
      <c r="T124" s="23">
        <f t="shared" si="18"/>
        <v>-63724.450000000004</v>
      </c>
      <c r="U124" s="23">
        <f t="shared" si="24"/>
        <v>0</v>
      </c>
      <c r="V124" s="10">
        <f t="shared" si="19"/>
        <v>258897.8</v>
      </c>
      <c r="W124" s="10">
        <f t="shared" si="20"/>
        <v>0</v>
      </c>
      <c r="X124" s="10">
        <f t="shared" si="21"/>
        <v>0</v>
      </c>
    </row>
    <row r="125" spans="1:24" s="9" customFormat="1" ht="13.5" customHeight="1" x14ac:dyDescent="0.2">
      <c r="A125" s="64">
        <f t="shared" si="22"/>
        <v>121</v>
      </c>
      <c r="B125" s="109" t="s">
        <v>1240</v>
      </c>
      <c r="C125" s="163">
        <v>38792</v>
      </c>
      <c r="D125" s="175">
        <v>3889053</v>
      </c>
      <c r="E125" s="462"/>
      <c r="F125" s="67">
        <f t="shared" si="25"/>
        <v>3889053</v>
      </c>
      <c r="G125" s="67">
        <v>3888053</v>
      </c>
      <c r="H125" s="67">
        <f t="shared" si="14"/>
        <v>1000</v>
      </c>
      <c r="I125" s="68">
        <v>5</v>
      </c>
      <c r="J125" s="68">
        <v>0.2</v>
      </c>
      <c r="K125" s="68">
        <v>0</v>
      </c>
      <c r="L125" s="67">
        <f t="shared" si="26"/>
        <v>0</v>
      </c>
      <c r="M125" s="67">
        <f t="shared" si="15"/>
        <v>3888053</v>
      </c>
      <c r="N125" s="67">
        <f t="shared" si="16"/>
        <v>1000</v>
      </c>
      <c r="O125" s="498" t="s">
        <v>1797</v>
      </c>
      <c r="P125" s="111">
        <v>6</v>
      </c>
      <c r="Q125" s="464"/>
      <c r="R125" s="23"/>
      <c r="S125" s="23">
        <f t="shared" si="17"/>
        <v>194452.65000000002</v>
      </c>
      <c r="T125" s="23">
        <f t="shared" si="18"/>
        <v>-193452.65000000002</v>
      </c>
      <c r="U125" s="23">
        <f t="shared" si="24"/>
        <v>0</v>
      </c>
      <c r="V125" s="10">
        <f t="shared" si="19"/>
        <v>777810.6</v>
      </c>
      <c r="W125" s="10">
        <f t="shared" si="20"/>
        <v>0</v>
      </c>
      <c r="X125" s="10">
        <f t="shared" si="21"/>
        <v>0</v>
      </c>
    </row>
    <row r="126" spans="1:24" s="9" customFormat="1" ht="13.5" customHeight="1" x14ac:dyDescent="0.2">
      <c r="A126" s="64">
        <f t="shared" si="22"/>
        <v>122</v>
      </c>
      <c r="B126" s="109" t="s">
        <v>1240</v>
      </c>
      <c r="C126" s="163">
        <v>38805</v>
      </c>
      <c r="D126" s="175">
        <v>648907</v>
      </c>
      <c r="E126" s="462"/>
      <c r="F126" s="67">
        <f t="shared" si="25"/>
        <v>648907</v>
      </c>
      <c r="G126" s="67">
        <v>647907</v>
      </c>
      <c r="H126" s="67">
        <f t="shared" si="14"/>
        <v>1000</v>
      </c>
      <c r="I126" s="68">
        <v>5</v>
      </c>
      <c r="J126" s="68">
        <v>0.2</v>
      </c>
      <c r="K126" s="68">
        <v>0</v>
      </c>
      <c r="L126" s="67">
        <f t="shared" si="26"/>
        <v>0</v>
      </c>
      <c r="M126" s="67">
        <f t="shared" si="15"/>
        <v>647907</v>
      </c>
      <c r="N126" s="67">
        <f t="shared" si="16"/>
        <v>1000</v>
      </c>
      <c r="O126" s="498" t="s">
        <v>1797</v>
      </c>
      <c r="P126" s="111">
        <v>1</v>
      </c>
      <c r="Q126" s="464"/>
      <c r="R126" s="23"/>
      <c r="S126" s="23">
        <f t="shared" si="17"/>
        <v>32445.350000000002</v>
      </c>
      <c r="T126" s="23">
        <f t="shared" si="18"/>
        <v>-31445.350000000002</v>
      </c>
      <c r="U126" s="23">
        <f t="shared" si="24"/>
        <v>0</v>
      </c>
      <c r="V126" s="10">
        <f t="shared" si="19"/>
        <v>129781.4</v>
      </c>
      <c r="W126" s="10">
        <f t="shared" si="20"/>
        <v>0</v>
      </c>
      <c r="X126" s="10">
        <f t="shared" si="21"/>
        <v>0</v>
      </c>
    </row>
    <row r="127" spans="1:24" s="9" customFormat="1" ht="13.5" customHeight="1" x14ac:dyDescent="0.2">
      <c r="A127" s="64">
        <f t="shared" si="22"/>
        <v>123</v>
      </c>
      <c r="B127" s="109" t="s">
        <v>1798</v>
      </c>
      <c r="C127" s="163">
        <v>38807</v>
      </c>
      <c r="D127" s="175">
        <v>10400000</v>
      </c>
      <c r="E127" s="462"/>
      <c r="F127" s="67">
        <f t="shared" si="25"/>
        <v>10400000</v>
      </c>
      <c r="G127" s="67">
        <v>10399000</v>
      </c>
      <c r="H127" s="67">
        <f t="shared" si="14"/>
        <v>1000</v>
      </c>
      <c r="I127" s="68">
        <v>5</v>
      </c>
      <c r="J127" s="68">
        <v>0.2</v>
      </c>
      <c r="K127" s="68">
        <v>0</v>
      </c>
      <c r="L127" s="67">
        <f t="shared" si="26"/>
        <v>0</v>
      </c>
      <c r="M127" s="67">
        <f t="shared" si="15"/>
        <v>10399000</v>
      </c>
      <c r="N127" s="67">
        <f t="shared" si="16"/>
        <v>1000</v>
      </c>
      <c r="O127" s="180" t="s">
        <v>819</v>
      </c>
      <c r="P127" s="111">
        <v>1</v>
      </c>
      <c r="Q127" s="464"/>
      <c r="R127" s="23"/>
      <c r="S127" s="23">
        <f t="shared" si="17"/>
        <v>520000</v>
      </c>
      <c r="T127" s="23">
        <f t="shared" si="18"/>
        <v>-519000</v>
      </c>
      <c r="U127" s="23">
        <f t="shared" si="24"/>
        <v>0</v>
      </c>
      <c r="V127" s="10">
        <f t="shared" si="19"/>
        <v>2080000</v>
      </c>
      <c r="W127" s="10">
        <f t="shared" si="20"/>
        <v>0</v>
      </c>
      <c r="X127" s="10">
        <f t="shared" si="21"/>
        <v>0</v>
      </c>
    </row>
    <row r="128" spans="1:24" s="9" customFormat="1" ht="13.5" customHeight="1" x14ac:dyDescent="0.2">
      <c r="A128" s="64">
        <f t="shared" si="22"/>
        <v>124</v>
      </c>
      <c r="B128" s="109" t="s">
        <v>1799</v>
      </c>
      <c r="C128" s="163">
        <v>38807</v>
      </c>
      <c r="D128" s="175">
        <v>1530000</v>
      </c>
      <c r="E128" s="462"/>
      <c r="F128" s="67">
        <f t="shared" si="25"/>
        <v>1530000</v>
      </c>
      <c r="G128" s="67">
        <v>1529000</v>
      </c>
      <c r="H128" s="67">
        <f t="shared" si="14"/>
        <v>1000</v>
      </c>
      <c r="I128" s="68">
        <v>5</v>
      </c>
      <c r="J128" s="68">
        <v>0.2</v>
      </c>
      <c r="K128" s="68">
        <v>0</v>
      </c>
      <c r="L128" s="67">
        <f t="shared" si="26"/>
        <v>0</v>
      </c>
      <c r="M128" s="67">
        <f t="shared" si="15"/>
        <v>1529000</v>
      </c>
      <c r="N128" s="67">
        <f t="shared" si="16"/>
        <v>1000</v>
      </c>
      <c r="O128" s="180" t="s">
        <v>819</v>
      </c>
      <c r="P128" s="111">
        <v>1</v>
      </c>
      <c r="Q128" s="464"/>
      <c r="R128" s="23"/>
      <c r="S128" s="23">
        <f t="shared" si="17"/>
        <v>76500</v>
      </c>
      <c r="T128" s="23">
        <f t="shared" si="18"/>
        <v>-75500</v>
      </c>
      <c r="U128" s="23">
        <f t="shared" si="24"/>
        <v>0</v>
      </c>
      <c r="V128" s="10">
        <f t="shared" si="19"/>
        <v>306000</v>
      </c>
      <c r="W128" s="10">
        <f t="shared" si="20"/>
        <v>0</v>
      </c>
      <c r="X128" s="10">
        <f t="shared" si="21"/>
        <v>0</v>
      </c>
    </row>
    <row r="129" spans="1:24" s="190" customFormat="1" ht="13.5" customHeight="1" x14ac:dyDescent="0.2">
      <c r="A129" s="64">
        <f t="shared" si="22"/>
        <v>125</v>
      </c>
      <c r="B129" s="560" t="s">
        <v>1795</v>
      </c>
      <c r="C129" s="183">
        <v>38807</v>
      </c>
      <c r="D129" s="359">
        <v>580000</v>
      </c>
      <c r="E129" s="508"/>
      <c r="F129" s="184">
        <f t="shared" si="25"/>
        <v>580000</v>
      </c>
      <c r="G129" s="184">
        <v>579000</v>
      </c>
      <c r="H129" s="184">
        <f t="shared" si="14"/>
        <v>1000</v>
      </c>
      <c r="I129" s="186">
        <v>5</v>
      </c>
      <c r="J129" s="186">
        <v>0.2</v>
      </c>
      <c r="K129" s="68">
        <v>0</v>
      </c>
      <c r="L129" s="184">
        <f t="shared" si="26"/>
        <v>0</v>
      </c>
      <c r="M129" s="184">
        <f t="shared" si="15"/>
        <v>579000</v>
      </c>
      <c r="N129" s="184">
        <f t="shared" si="16"/>
        <v>1000</v>
      </c>
      <c r="O129" s="561" t="s">
        <v>819</v>
      </c>
      <c r="P129" s="187">
        <v>1</v>
      </c>
      <c r="Q129" s="509"/>
      <c r="R129" s="189"/>
      <c r="S129" s="23">
        <f t="shared" si="17"/>
        <v>29000</v>
      </c>
      <c r="T129" s="23">
        <f t="shared" si="18"/>
        <v>-28000</v>
      </c>
      <c r="U129" s="23">
        <f t="shared" si="24"/>
        <v>0</v>
      </c>
      <c r="V129" s="10">
        <f t="shared" si="19"/>
        <v>116000</v>
      </c>
      <c r="W129" s="10">
        <f t="shared" si="20"/>
        <v>0</v>
      </c>
      <c r="X129" s="10">
        <f t="shared" si="21"/>
        <v>0</v>
      </c>
    </row>
    <row r="130" spans="1:24" s="9" customFormat="1" ht="13.5" customHeight="1" x14ac:dyDescent="0.2">
      <c r="A130" s="64">
        <f t="shared" si="22"/>
        <v>126</v>
      </c>
      <c r="B130" s="109" t="s">
        <v>1011</v>
      </c>
      <c r="C130" s="163">
        <v>38810</v>
      </c>
      <c r="D130" s="175">
        <v>590000</v>
      </c>
      <c r="E130" s="462"/>
      <c r="F130" s="67">
        <f t="shared" si="25"/>
        <v>590000</v>
      </c>
      <c r="G130" s="67">
        <v>589000</v>
      </c>
      <c r="H130" s="67">
        <f t="shared" si="14"/>
        <v>1000</v>
      </c>
      <c r="I130" s="68">
        <v>5</v>
      </c>
      <c r="J130" s="68">
        <v>0.2</v>
      </c>
      <c r="K130" s="68">
        <v>0</v>
      </c>
      <c r="L130" s="67">
        <f t="shared" si="26"/>
        <v>0</v>
      </c>
      <c r="M130" s="67">
        <f t="shared" si="15"/>
        <v>589000</v>
      </c>
      <c r="N130" s="67">
        <f t="shared" si="16"/>
        <v>1000</v>
      </c>
      <c r="O130" s="180" t="s">
        <v>819</v>
      </c>
      <c r="P130" s="111">
        <v>1</v>
      </c>
      <c r="Q130" s="464"/>
      <c r="R130" s="23"/>
      <c r="S130" s="23">
        <f t="shared" si="17"/>
        <v>29500</v>
      </c>
      <c r="T130" s="23">
        <f t="shared" si="18"/>
        <v>-28500</v>
      </c>
      <c r="U130" s="23">
        <f t="shared" si="24"/>
        <v>0</v>
      </c>
      <c r="V130" s="10">
        <f t="shared" si="19"/>
        <v>118000</v>
      </c>
      <c r="W130" s="10">
        <f t="shared" si="20"/>
        <v>0</v>
      </c>
      <c r="X130" s="10">
        <f t="shared" si="21"/>
        <v>0</v>
      </c>
    </row>
    <row r="131" spans="1:24" s="9" customFormat="1" ht="13.5" customHeight="1" x14ac:dyDescent="0.2">
      <c r="A131" s="64">
        <f t="shared" si="22"/>
        <v>127</v>
      </c>
      <c r="B131" s="109" t="s">
        <v>1240</v>
      </c>
      <c r="C131" s="163">
        <v>38821</v>
      </c>
      <c r="D131" s="175">
        <v>5109328</v>
      </c>
      <c r="E131" s="462"/>
      <c r="F131" s="67">
        <f t="shared" si="25"/>
        <v>5109328</v>
      </c>
      <c r="G131" s="67">
        <v>5108328</v>
      </c>
      <c r="H131" s="67">
        <f t="shared" si="14"/>
        <v>1000</v>
      </c>
      <c r="I131" s="68">
        <v>5</v>
      </c>
      <c r="J131" s="68">
        <v>0.2</v>
      </c>
      <c r="K131" s="68">
        <v>0</v>
      </c>
      <c r="L131" s="67">
        <v>0</v>
      </c>
      <c r="M131" s="67">
        <f t="shared" si="15"/>
        <v>5108328</v>
      </c>
      <c r="N131" s="67">
        <f t="shared" si="16"/>
        <v>1000</v>
      </c>
      <c r="O131" s="498" t="s">
        <v>1797</v>
      </c>
      <c r="P131" s="111">
        <v>8</v>
      </c>
      <c r="Q131" s="464"/>
      <c r="R131" s="23"/>
      <c r="S131" s="23">
        <f t="shared" si="17"/>
        <v>255466.40000000002</v>
      </c>
      <c r="T131" s="23">
        <f t="shared" si="18"/>
        <v>-254466.40000000002</v>
      </c>
      <c r="U131" s="23">
        <f t="shared" si="24"/>
        <v>0</v>
      </c>
      <c r="V131" s="10">
        <f t="shared" si="19"/>
        <v>1021865.6</v>
      </c>
      <c r="W131" s="10">
        <f t="shared" si="20"/>
        <v>0</v>
      </c>
      <c r="X131" s="10">
        <f t="shared" si="21"/>
        <v>0</v>
      </c>
    </row>
    <row r="132" spans="1:24" s="9" customFormat="1" ht="13.5" customHeight="1" x14ac:dyDescent="0.2">
      <c r="A132" s="64">
        <f t="shared" si="22"/>
        <v>128</v>
      </c>
      <c r="B132" s="109" t="s">
        <v>1240</v>
      </c>
      <c r="C132" s="163">
        <v>38828</v>
      </c>
      <c r="D132" s="175">
        <v>1260175</v>
      </c>
      <c r="E132" s="462"/>
      <c r="F132" s="67">
        <f t="shared" si="25"/>
        <v>1260175</v>
      </c>
      <c r="G132" s="67">
        <v>1259175</v>
      </c>
      <c r="H132" s="67">
        <f t="shared" si="14"/>
        <v>1000</v>
      </c>
      <c r="I132" s="68">
        <v>5</v>
      </c>
      <c r="J132" s="68">
        <v>0.2</v>
      </c>
      <c r="K132" s="68">
        <v>0</v>
      </c>
      <c r="L132" s="67">
        <v>0</v>
      </c>
      <c r="M132" s="67">
        <f t="shared" si="15"/>
        <v>1259175</v>
      </c>
      <c r="N132" s="67">
        <f t="shared" si="16"/>
        <v>1000</v>
      </c>
      <c r="O132" s="498" t="s">
        <v>1797</v>
      </c>
      <c r="P132" s="111">
        <v>8</v>
      </c>
      <c r="Q132" s="464"/>
      <c r="R132" s="23"/>
      <c r="S132" s="23">
        <f t="shared" si="17"/>
        <v>63008.75</v>
      </c>
      <c r="T132" s="23">
        <f t="shared" si="18"/>
        <v>-62008.75</v>
      </c>
      <c r="U132" s="23">
        <f t="shared" si="24"/>
        <v>0</v>
      </c>
      <c r="V132" s="10">
        <f t="shared" si="19"/>
        <v>252035</v>
      </c>
      <c r="W132" s="10">
        <f t="shared" si="20"/>
        <v>0</v>
      </c>
      <c r="X132" s="10">
        <f t="shared" si="21"/>
        <v>0</v>
      </c>
    </row>
    <row r="133" spans="1:24" s="9" customFormat="1" ht="13.5" customHeight="1" x14ac:dyDescent="0.2">
      <c r="A133" s="64">
        <f t="shared" si="22"/>
        <v>129</v>
      </c>
      <c r="B133" s="109" t="s">
        <v>1240</v>
      </c>
      <c r="C133" s="163">
        <v>38839</v>
      </c>
      <c r="D133" s="175">
        <v>627826</v>
      </c>
      <c r="E133" s="462"/>
      <c r="F133" s="67">
        <f t="shared" si="25"/>
        <v>627826</v>
      </c>
      <c r="G133" s="67">
        <v>626826</v>
      </c>
      <c r="H133" s="67">
        <f t="shared" ref="H133:H196" si="27">+F133-G133</f>
        <v>1000</v>
      </c>
      <c r="I133" s="68">
        <v>5</v>
      </c>
      <c r="J133" s="68">
        <v>0.2</v>
      </c>
      <c r="K133" s="68">
        <v>0</v>
      </c>
      <c r="L133" s="67">
        <f t="shared" ref="L133:L196" si="28">ROUND(IF(F133*J133*K133/12&gt;=H133,H133-1000,F133*J133*K133/12),0)</f>
        <v>0</v>
      </c>
      <c r="M133" s="67">
        <f t="shared" ref="M133:M196" si="29">+G133+L133</f>
        <v>626826</v>
      </c>
      <c r="N133" s="67">
        <f t="shared" ref="N133:N196" si="30">+F133-M133</f>
        <v>1000</v>
      </c>
      <c r="O133" s="498" t="s">
        <v>1797</v>
      </c>
      <c r="P133" s="111">
        <v>1</v>
      </c>
      <c r="Q133" s="464"/>
      <c r="R133" s="23"/>
      <c r="S133" s="23">
        <f t="shared" ref="S133:S196" si="31">D133*0.05</f>
        <v>31391.300000000003</v>
      </c>
      <c r="T133" s="23">
        <f t="shared" ref="T133:T196" si="32">N133-S133</f>
        <v>-30391.300000000003</v>
      </c>
      <c r="U133" s="23">
        <f t="shared" si="24"/>
        <v>0</v>
      </c>
      <c r="V133" s="10">
        <f t="shared" ref="V133:V196" si="33">F133/I133</f>
        <v>125565.2</v>
      </c>
      <c r="W133" s="10">
        <f t="shared" ref="W133:W159" si="34">ROUND(IF(H133&lt;=1000,0,V133/12*0),0)</f>
        <v>0</v>
      </c>
      <c r="X133" s="10">
        <f t="shared" ref="X133:X196" si="35">L133-W133</f>
        <v>0</v>
      </c>
    </row>
    <row r="134" spans="1:24" s="9" customFormat="1" ht="13.5" customHeight="1" x14ac:dyDescent="0.2">
      <c r="A134" s="64">
        <f t="shared" ref="A134:A197" si="36">+A133+1</f>
        <v>130</v>
      </c>
      <c r="B134" s="109" t="s">
        <v>1240</v>
      </c>
      <c r="C134" s="163">
        <v>38862</v>
      </c>
      <c r="D134" s="175">
        <v>4419457</v>
      </c>
      <c r="E134" s="462"/>
      <c r="F134" s="67">
        <f t="shared" si="25"/>
        <v>4419457</v>
      </c>
      <c r="G134" s="67">
        <v>4418457</v>
      </c>
      <c r="H134" s="67">
        <f t="shared" si="27"/>
        <v>1000</v>
      </c>
      <c r="I134" s="68">
        <v>5</v>
      </c>
      <c r="J134" s="68">
        <v>0.2</v>
      </c>
      <c r="K134" s="68">
        <v>0</v>
      </c>
      <c r="L134" s="67">
        <f t="shared" si="28"/>
        <v>0</v>
      </c>
      <c r="M134" s="67">
        <f t="shared" si="29"/>
        <v>4418457</v>
      </c>
      <c r="N134" s="67">
        <f t="shared" si="30"/>
        <v>1000</v>
      </c>
      <c r="O134" s="498" t="s">
        <v>1797</v>
      </c>
      <c r="P134" s="111">
        <v>7</v>
      </c>
      <c r="Q134" s="464"/>
      <c r="R134" s="23"/>
      <c r="S134" s="23">
        <f t="shared" si="31"/>
        <v>220972.85</v>
      </c>
      <c r="T134" s="23">
        <f t="shared" si="32"/>
        <v>-219972.85</v>
      </c>
      <c r="U134" s="23">
        <f t="shared" si="24"/>
        <v>0</v>
      </c>
      <c r="V134" s="10">
        <f t="shared" si="33"/>
        <v>883891.4</v>
      </c>
      <c r="W134" s="10">
        <f t="shared" si="34"/>
        <v>0</v>
      </c>
      <c r="X134" s="10">
        <f t="shared" si="35"/>
        <v>0</v>
      </c>
    </row>
    <row r="135" spans="1:24" s="9" customFormat="1" ht="13.5" customHeight="1" x14ac:dyDescent="0.2">
      <c r="A135" s="64">
        <f t="shared" si="36"/>
        <v>131</v>
      </c>
      <c r="B135" s="109" t="s">
        <v>1011</v>
      </c>
      <c r="C135" s="163">
        <v>38868</v>
      </c>
      <c r="D135" s="175">
        <v>590000</v>
      </c>
      <c r="E135" s="462"/>
      <c r="F135" s="67">
        <f t="shared" si="25"/>
        <v>590000</v>
      </c>
      <c r="G135" s="67">
        <v>589000</v>
      </c>
      <c r="H135" s="67">
        <f t="shared" si="27"/>
        <v>1000</v>
      </c>
      <c r="I135" s="68">
        <v>5</v>
      </c>
      <c r="J135" s="68">
        <v>0.2</v>
      </c>
      <c r="K135" s="68">
        <v>0</v>
      </c>
      <c r="L135" s="67">
        <f t="shared" si="28"/>
        <v>0</v>
      </c>
      <c r="M135" s="67">
        <f t="shared" si="29"/>
        <v>589000</v>
      </c>
      <c r="N135" s="67">
        <f t="shared" si="30"/>
        <v>1000</v>
      </c>
      <c r="O135" s="180" t="s">
        <v>819</v>
      </c>
      <c r="P135" s="111">
        <v>1</v>
      </c>
      <c r="Q135" s="464"/>
      <c r="R135" s="23"/>
      <c r="S135" s="23">
        <f t="shared" si="31"/>
        <v>29500</v>
      </c>
      <c r="T135" s="23">
        <f t="shared" si="32"/>
        <v>-28500</v>
      </c>
      <c r="U135" s="23">
        <f t="shared" si="24"/>
        <v>0</v>
      </c>
      <c r="V135" s="10">
        <f t="shared" si="33"/>
        <v>118000</v>
      </c>
      <c r="W135" s="10">
        <f t="shared" si="34"/>
        <v>0</v>
      </c>
      <c r="X135" s="10">
        <f t="shared" si="35"/>
        <v>0</v>
      </c>
    </row>
    <row r="136" spans="1:24" s="9" customFormat="1" ht="13.5" customHeight="1" x14ac:dyDescent="0.2">
      <c r="A136" s="64">
        <f t="shared" si="36"/>
        <v>132</v>
      </c>
      <c r="B136" s="109" t="s">
        <v>1800</v>
      </c>
      <c r="C136" s="163">
        <v>38877</v>
      </c>
      <c r="D136" s="175">
        <v>3000000</v>
      </c>
      <c r="E136" s="462"/>
      <c r="F136" s="67">
        <f t="shared" si="25"/>
        <v>3000000</v>
      </c>
      <c r="G136" s="67">
        <v>2999000</v>
      </c>
      <c r="H136" s="67">
        <f t="shared" si="27"/>
        <v>1000</v>
      </c>
      <c r="I136" s="68">
        <v>5</v>
      </c>
      <c r="J136" s="68">
        <v>0.2</v>
      </c>
      <c r="K136" s="68">
        <v>0</v>
      </c>
      <c r="L136" s="67">
        <f t="shared" si="28"/>
        <v>0</v>
      </c>
      <c r="M136" s="67">
        <f t="shared" si="29"/>
        <v>2999000</v>
      </c>
      <c r="N136" s="67">
        <f t="shared" si="30"/>
        <v>1000</v>
      </c>
      <c r="O136" s="180" t="s">
        <v>1801</v>
      </c>
      <c r="P136" s="111">
        <v>3</v>
      </c>
      <c r="Q136" s="464"/>
      <c r="R136" s="23"/>
      <c r="S136" s="23">
        <f t="shared" si="31"/>
        <v>150000</v>
      </c>
      <c r="T136" s="23">
        <f t="shared" si="32"/>
        <v>-149000</v>
      </c>
      <c r="U136" s="23">
        <f t="shared" si="24"/>
        <v>0</v>
      </c>
      <c r="V136" s="10">
        <f t="shared" si="33"/>
        <v>600000</v>
      </c>
      <c r="W136" s="10">
        <f t="shared" si="34"/>
        <v>0</v>
      </c>
      <c r="X136" s="10">
        <f t="shared" si="35"/>
        <v>0</v>
      </c>
    </row>
    <row r="137" spans="1:24" s="9" customFormat="1" ht="13.5" customHeight="1" x14ac:dyDescent="0.2">
      <c r="A137" s="64">
        <f t="shared" si="36"/>
        <v>133</v>
      </c>
      <c r="B137" s="109" t="s">
        <v>1798</v>
      </c>
      <c r="C137" s="163">
        <v>38880</v>
      </c>
      <c r="D137" s="175">
        <v>8400000</v>
      </c>
      <c r="E137" s="462"/>
      <c r="F137" s="67">
        <f t="shared" si="25"/>
        <v>8400000</v>
      </c>
      <c r="G137" s="67">
        <v>8399000</v>
      </c>
      <c r="H137" s="67">
        <f t="shared" si="27"/>
        <v>1000</v>
      </c>
      <c r="I137" s="68">
        <v>5</v>
      </c>
      <c r="J137" s="68">
        <v>0.2</v>
      </c>
      <c r="K137" s="68">
        <v>0</v>
      </c>
      <c r="L137" s="67">
        <f t="shared" si="28"/>
        <v>0</v>
      </c>
      <c r="M137" s="67">
        <f t="shared" si="29"/>
        <v>8399000</v>
      </c>
      <c r="N137" s="67">
        <f t="shared" si="30"/>
        <v>1000</v>
      </c>
      <c r="O137" s="180" t="s">
        <v>819</v>
      </c>
      <c r="P137" s="111">
        <v>3</v>
      </c>
      <c r="Q137" s="464"/>
      <c r="R137" s="23"/>
      <c r="S137" s="23">
        <f t="shared" si="31"/>
        <v>420000</v>
      </c>
      <c r="T137" s="23">
        <f t="shared" si="32"/>
        <v>-419000</v>
      </c>
      <c r="U137" s="23">
        <f t="shared" si="24"/>
        <v>0</v>
      </c>
      <c r="V137" s="10">
        <f t="shared" si="33"/>
        <v>1680000</v>
      </c>
      <c r="W137" s="10">
        <f t="shared" si="34"/>
        <v>0</v>
      </c>
      <c r="X137" s="10">
        <f t="shared" si="35"/>
        <v>0</v>
      </c>
    </row>
    <row r="138" spans="1:24" s="563" customFormat="1" ht="13.5" customHeight="1" x14ac:dyDescent="0.2">
      <c r="A138" s="64">
        <f t="shared" si="36"/>
        <v>134</v>
      </c>
      <c r="B138" s="109" t="s">
        <v>1240</v>
      </c>
      <c r="C138" s="163">
        <v>38881</v>
      </c>
      <c r="D138" s="175">
        <v>1908417</v>
      </c>
      <c r="E138" s="462"/>
      <c r="F138" s="67">
        <f t="shared" si="25"/>
        <v>1908417</v>
      </c>
      <c r="G138" s="67">
        <v>1907417</v>
      </c>
      <c r="H138" s="67">
        <f t="shared" si="27"/>
        <v>1000</v>
      </c>
      <c r="I138" s="68">
        <v>5</v>
      </c>
      <c r="J138" s="68">
        <v>0.2</v>
      </c>
      <c r="K138" s="68">
        <v>0</v>
      </c>
      <c r="L138" s="67">
        <f t="shared" si="28"/>
        <v>0</v>
      </c>
      <c r="M138" s="67">
        <f t="shared" si="29"/>
        <v>1907417</v>
      </c>
      <c r="N138" s="67">
        <f t="shared" si="30"/>
        <v>1000</v>
      </c>
      <c r="O138" s="498" t="s">
        <v>1797</v>
      </c>
      <c r="P138" s="111">
        <v>7</v>
      </c>
      <c r="Q138" s="464"/>
      <c r="R138" s="562"/>
      <c r="S138" s="23">
        <f t="shared" si="31"/>
        <v>95420.85</v>
      </c>
      <c r="T138" s="23">
        <f t="shared" si="32"/>
        <v>-94420.85</v>
      </c>
      <c r="U138" s="23">
        <f t="shared" si="24"/>
        <v>0</v>
      </c>
      <c r="V138" s="10">
        <f t="shared" si="33"/>
        <v>381683.4</v>
      </c>
      <c r="W138" s="10">
        <f t="shared" si="34"/>
        <v>0</v>
      </c>
      <c r="X138" s="10">
        <f t="shared" si="35"/>
        <v>0</v>
      </c>
    </row>
    <row r="139" spans="1:24" s="9" customFormat="1" ht="13.5" customHeight="1" x14ac:dyDescent="0.2">
      <c r="A139" s="64">
        <f t="shared" si="36"/>
        <v>135</v>
      </c>
      <c r="B139" s="109" t="s">
        <v>1240</v>
      </c>
      <c r="C139" s="163">
        <v>38908</v>
      </c>
      <c r="D139" s="175">
        <v>629290</v>
      </c>
      <c r="E139" s="462"/>
      <c r="F139" s="67">
        <f t="shared" si="25"/>
        <v>629290</v>
      </c>
      <c r="G139" s="67">
        <v>628290</v>
      </c>
      <c r="H139" s="67">
        <f t="shared" si="27"/>
        <v>1000</v>
      </c>
      <c r="I139" s="68">
        <v>5</v>
      </c>
      <c r="J139" s="68">
        <v>0.2</v>
      </c>
      <c r="K139" s="68">
        <v>0</v>
      </c>
      <c r="L139" s="67">
        <f t="shared" si="28"/>
        <v>0</v>
      </c>
      <c r="M139" s="67">
        <f t="shared" si="29"/>
        <v>628290</v>
      </c>
      <c r="N139" s="67">
        <f t="shared" si="30"/>
        <v>1000</v>
      </c>
      <c r="O139" s="498" t="s">
        <v>1797</v>
      </c>
      <c r="P139" s="111">
        <v>1</v>
      </c>
      <c r="Q139" s="464"/>
      <c r="R139" s="23"/>
      <c r="S139" s="23">
        <f t="shared" si="31"/>
        <v>31464.5</v>
      </c>
      <c r="T139" s="23">
        <f t="shared" si="32"/>
        <v>-30464.5</v>
      </c>
      <c r="U139" s="23">
        <f t="shared" si="24"/>
        <v>0</v>
      </c>
      <c r="V139" s="10">
        <f t="shared" si="33"/>
        <v>125858</v>
      </c>
      <c r="W139" s="10">
        <f t="shared" si="34"/>
        <v>0</v>
      </c>
      <c r="X139" s="10">
        <f t="shared" si="35"/>
        <v>0</v>
      </c>
    </row>
    <row r="140" spans="1:24" s="9" customFormat="1" ht="13.5" customHeight="1" x14ac:dyDescent="0.2">
      <c r="A140" s="64">
        <f t="shared" si="36"/>
        <v>136</v>
      </c>
      <c r="B140" s="109" t="s">
        <v>1802</v>
      </c>
      <c r="C140" s="163">
        <v>38909</v>
      </c>
      <c r="D140" s="175">
        <v>750000</v>
      </c>
      <c r="E140" s="462"/>
      <c r="F140" s="67">
        <f t="shared" si="25"/>
        <v>750000</v>
      </c>
      <c r="G140" s="67">
        <v>749000</v>
      </c>
      <c r="H140" s="67">
        <f t="shared" si="27"/>
        <v>1000</v>
      </c>
      <c r="I140" s="68">
        <v>5</v>
      </c>
      <c r="J140" s="68">
        <v>0.2</v>
      </c>
      <c r="K140" s="68">
        <v>0</v>
      </c>
      <c r="L140" s="67">
        <f t="shared" si="28"/>
        <v>0</v>
      </c>
      <c r="M140" s="67">
        <f t="shared" si="29"/>
        <v>749000</v>
      </c>
      <c r="N140" s="67">
        <f t="shared" si="30"/>
        <v>1000</v>
      </c>
      <c r="O140" s="180" t="s">
        <v>1803</v>
      </c>
      <c r="P140" s="111">
        <v>3</v>
      </c>
      <c r="Q140" s="464"/>
      <c r="R140" s="23"/>
      <c r="S140" s="23">
        <f t="shared" si="31"/>
        <v>37500</v>
      </c>
      <c r="T140" s="23">
        <f t="shared" si="32"/>
        <v>-36500</v>
      </c>
      <c r="U140" s="23">
        <f t="shared" si="24"/>
        <v>0</v>
      </c>
      <c r="V140" s="10">
        <f t="shared" si="33"/>
        <v>150000</v>
      </c>
      <c r="W140" s="10">
        <f t="shared" si="34"/>
        <v>0</v>
      </c>
      <c r="X140" s="10">
        <f t="shared" si="35"/>
        <v>0</v>
      </c>
    </row>
    <row r="141" spans="1:24" s="9" customFormat="1" ht="13.5" customHeight="1" x14ac:dyDescent="0.2">
      <c r="A141" s="64">
        <f t="shared" si="36"/>
        <v>137</v>
      </c>
      <c r="B141" s="109" t="s">
        <v>1804</v>
      </c>
      <c r="C141" s="163">
        <v>38912</v>
      </c>
      <c r="D141" s="175">
        <v>2400000</v>
      </c>
      <c r="E141" s="462"/>
      <c r="F141" s="67">
        <f t="shared" si="25"/>
        <v>2400000</v>
      </c>
      <c r="G141" s="67">
        <v>2399000</v>
      </c>
      <c r="H141" s="67">
        <f t="shared" si="27"/>
        <v>1000</v>
      </c>
      <c r="I141" s="68">
        <v>5</v>
      </c>
      <c r="J141" s="68">
        <v>0.2</v>
      </c>
      <c r="K141" s="68">
        <v>0</v>
      </c>
      <c r="L141" s="67">
        <f t="shared" si="28"/>
        <v>0</v>
      </c>
      <c r="M141" s="67">
        <f t="shared" si="29"/>
        <v>2399000</v>
      </c>
      <c r="N141" s="67">
        <f t="shared" si="30"/>
        <v>1000</v>
      </c>
      <c r="O141" s="180" t="s">
        <v>1801</v>
      </c>
      <c r="P141" s="111">
        <v>2</v>
      </c>
      <c r="Q141" s="464"/>
      <c r="R141" s="23"/>
      <c r="S141" s="23">
        <f t="shared" si="31"/>
        <v>120000</v>
      </c>
      <c r="T141" s="23">
        <f t="shared" si="32"/>
        <v>-119000</v>
      </c>
      <c r="U141" s="23">
        <f t="shared" si="24"/>
        <v>0</v>
      </c>
      <c r="V141" s="10">
        <f t="shared" si="33"/>
        <v>480000</v>
      </c>
      <c r="W141" s="10">
        <f t="shared" si="34"/>
        <v>0</v>
      </c>
      <c r="X141" s="10">
        <f t="shared" si="35"/>
        <v>0</v>
      </c>
    </row>
    <row r="142" spans="1:24" s="9" customFormat="1" ht="13.5" customHeight="1" x14ac:dyDescent="0.2">
      <c r="A142" s="64">
        <f t="shared" si="36"/>
        <v>138</v>
      </c>
      <c r="B142" s="109" t="s">
        <v>1240</v>
      </c>
      <c r="C142" s="163">
        <v>38933</v>
      </c>
      <c r="D142" s="175">
        <v>642590</v>
      </c>
      <c r="E142" s="249"/>
      <c r="F142" s="67">
        <f t="shared" si="25"/>
        <v>642590</v>
      </c>
      <c r="G142" s="67">
        <v>641590</v>
      </c>
      <c r="H142" s="67">
        <f t="shared" si="27"/>
        <v>1000</v>
      </c>
      <c r="I142" s="68">
        <v>5</v>
      </c>
      <c r="J142" s="68">
        <v>0.2</v>
      </c>
      <c r="K142" s="68">
        <v>0</v>
      </c>
      <c r="L142" s="67">
        <f t="shared" si="28"/>
        <v>0</v>
      </c>
      <c r="M142" s="67">
        <f t="shared" si="29"/>
        <v>641590</v>
      </c>
      <c r="N142" s="67">
        <f t="shared" si="30"/>
        <v>1000</v>
      </c>
      <c r="O142" s="498" t="s">
        <v>1797</v>
      </c>
      <c r="P142" s="111">
        <v>1</v>
      </c>
      <c r="Q142" s="464"/>
      <c r="R142" s="23"/>
      <c r="S142" s="23">
        <f t="shared" si="31"/>
        <v>32129.5</v>
      </c>
      <c r="T142" s="23">
        <f t="shared" si="32"/>
        <v>-31129.5</v>
      </c>
      <c r="U142" s="23">
        <f t="shared" si="24"/>
        <v>0</v>
      </c>
      <c r="V142" s="10">
        <f t="shared" si="33"/>
        <v>128518</v>
      </c>
      <c r="W142" s="10">
        <f t="shared" si="34"/>
        <v>0</v>
      </c>
      <c r="X142" s="10">
        <f t="shared" si="35"/>
        <v>0</v>
      </c>
    </row>
    <row r="143" spans="1:24" s="9" customFormat="1" ht="13.5" customHeight="1" x14ac:dyDescent="0.2">
      <c r="A143" s="64">
        <f t="shared" si="36"/>
        <v>139</v>
      </c>
      <c r="B143" s="109" t="s">
        <v>1240</v>
      </c>
      <c r="C143" s="163">
        <v>38989</v>
      </c>
      <c r="D143" s="175">
        <v>628558</v>
      </c>
      <c r="E143" s="249"/>
      <c r="F143" s="67">
        <f t="shared" si="25"/>
        <v>628558</v>
      </c>
      <c r="G143" s="67">
        <v>627558</v>
      </c>
      <c r="H143" s="67">
        <f t="shared" si="27"/>
        <v>1000</v>
      </c>
      <c r="I143" s="68">
        <v>5</v>
      </c>
      <c r="J143" s="68">
        <v>0.2</v>
      </c>
      <c r="K143" s="68">
        <v>0</v>
      </c>
      <c r="L143" s="67">
        <f t="shared" si="28"/>
        <v>0</v>
      </c>
      <c r="M143" s="67">
        <f t="shared" si="29"/>
        <v>627558</v>
      </c>
      <c r="N143" s="67">
        <f t="shared" si="30"/>
        <v>1000</v>
      </c>
      <c r="O143" s="498" t="s">
        <v>1797</v>
      </c>
      <c r="P143" s="111">
        <v>1</v>
      </c>
      <c r="Q143" s="464"/>
      <c r="R143" s="23"/>
      <c r="S143" s="23">
        <f t="shared" si="31"/>
        <v>31427.9</v>
      </c>
      <c r="T143" s="23">
        <f t="shared" si="32"/>
        <v>-30427.9</v>
      </c>
      <c r="U143" s="23">
        <f t="shared" si="24"/>
        <v>0</v>
      </c>
      <c r="V143" s="10">
        <f t="shared" si="33"/>
        <v>125711.6</v>
      </c>
      <c r="W143" s="10">
        <f t="shared" si="34"/>
        <v>0</v>
      </c>
      <c r="X143" s="10">
        <f t="shared" si="35"/>
        <v>0</v>
      </c>
    </row>
    <row r="144" spans="1:24" s="9" customFormat="1" ht="13.5" customHeight="1" x14ac:dyDescent="0.2">
      <c r="A144" s="64">
        <f t="shared" si="36"/>
        <v>140</v>
      </c>
      <c r="B144" s="109" t="s">
        <v>1240</v>
      </c>
      <c r="C144" s="163">
        <v>39000</v>
      </c>
      <c r="D144" s="175">
        <v>1912806</v>
      </c>
      <c r="E144" s="249"/>
      <c r="F144" s="67">
        <f t="shared" si="25"/>
        <v>1912806</v>
      </c>
      <c r="G144" s="67">
        <v>1911806</v>
      </c>
      <c r="H144" s="67">
        <f t="shared" si="27"/>
        <v>1000</v>
      </c>
      <c r="I144" s="68">
        <v>5</v>
      </c>
      <c r="J144" s="68">
        <v>0.2</v>
      </c>
      <c r="K144" s="68">
        <v>0</v>
      </c>
      <c r="L144" s="67">
        <f t="shared" si="28"/>
        <v>0</v>
      </c>
      <c r="M144" s="67">
        <f t="shared" si="29"/>
        <v>1911806</v>
      </c>
      <c r="N144" s="67">
        <f t="shared" si="30"/>
        <v>1000</v>
      </c>
      <c r="O144" s="498" t="s">
        <v>1797</v>
      </c>
      <c r="P144" s="111">
        <v>3</v>
      </c>
      <c r="Q144" s="464"/>
      <c r="R144" s="23"/>
      <c r="S144" s="23">
        <f t="shared" si="31"/>
        <v>95640.3</v>
      </c>
      <c r="T144" s="23">
        <f t="shared" si="32"/>
        <v>-94640.3</v>
      </c>
      <c r="U144" s="23">
        <f t="shared" si="24"/>
        <v>0</v>
      </c>
      <c r="V144" s="10">
        <f t="shared" si="33"/>
        <v>382561.2</v>
      </c>
      <c r="W144" s="10">
        <f t="shared" si="34"/>
        <v>0</v>
      </c>
      <c r="X144" s="10">
        <f t="shared" si="35"/>
        <v>0</v>
      </c>
    </row>
    <row r="145" spans="1:24" s="9" customFormat="1" ht="13.5" customHeight="1" x14ac:dyDescent="0.2">
      <c r="A145" s="64">
        <f t="shared" si="36"/>
        <v>141</v>
      </c>
      <c r="B145" s="109" t="s">
        <v>1240</v>
      </c>
      <c r="C145" s="163">
        <v>39008</v>
      </c>
      <c r="D145" s="175">
        <v>1269486</v>
      </c>
      <c r="E145" s="249"/>
      <c r="F145" s="67">
        <f t="shared" si="25"/>
        <v>1269486</v>
      </c>
      <c r="G145" s="67">
        <v>1268486</v>
      </c>
      <c r="H145" s="67">
        <f t="shared" si="27"/>
        <v>1000</v>
      </c>
      <c r="I145" s="68">
        <v>5</v>
      </c>
      <c r="J145" s="68">
        <v>0.2</v>
      </c>
      <c r="K145" s="68">
        <v>0</v>
      </c>
      <c r="L145" s="67">
        <f t="shared" si="28"/>
        <v>0</v>
      </c>
      <c r="M145" s="67">
        <f t="shared" si="29"/>
        <v>1268486</v>
      </c>
      <c r="N145" s="67">
        <f t="shared" si="30"/>
        <v>1000</v>
      </c>
      <c r="O145" s="498" t="s">
        <v>1797</v>
      </c>
      <c r="P145" s="111">
        <v>2</v>
      </c>
      <c r="Q145" s="464"/>
      <c r="R145" s="23"/>
      <c r="S145" s="23">
        <f t="shared" si="31"/>
        <v>63474.3</v>
      </c>
      <c r="T145" s="23">
        <f t="shared" si="32"/>
        <v>-62474.3</v>
      </c>
      <c r="U145" s="23">
        <f t="shared" si="24"/>
        <v>0</v>
      </c>
      <c r="V145" s="10">
        <f t="shared" si="33"/>
        <v>253897.2</v>
      </c>
      <c r="W145" s="10">
        <f t="shared" si="34"/>
        <v>0</v>
      </c>
      <c r="X145" s="10">
        <f t="shared" si="35"/>
        <v>0</v>
      </c>
    </row>
    <row r="146" spans="1:24" s="9" customFormat="1" ht="13.5" customHeight="1" x14ac:dyDescent="0.2">
      <c r="A146" s="64">
        <f t="shared" si="36"/>
        <v>142</v>
      </c>
      <c r="B146" s="109" t="s">
        <v>1240</v>
      </c>
      <c r="C146" s="163">
        <v>39104</v>
      </c>
      <c r="D146" s="175">
        <v>3741024</v>
      </c>
      <c r="E146" s="249"/>
      <c r="F146" s="67">
        <f t="shared" si="25"/>
        <v>3741024</v>
      </c>
      <c r="G146" s="67">
        <v>3740024</v>
      </c>
      <c r="H146" s="67">
        <f t="shared" si="27"/>
        <v>1000</v>
      </c>
      <c r="I146" s="68">
        <v>5</v>
      </c>
      <c r="J146" s="68">
        <v>0.2</v>
      </c>
      <c r="K146" s="68">
        <v>0</v>
      </c>
      <c r="L146" s="67">
        <f t="shared" si="28"/>
        <v>0</v>
      </c>
      <c r="M146" s="67">
        <f t="shared" si="29"/>
        <v>3740024</v>
      </c>
      <c r="N146" s="67">
        <f t="shared" si="30"/>
        <v>1000</v>
      </c>
      <c r="O146" s="498" t="s">
        <v>1797</v>
      </c>
      <c r="P146" s="111">
        <v>6</v>
      </c>
      <c r="Q146" s="464"/>
      <c r="R146" s="23"/>
      <c r="S146" s="23">
        <f t="shared" si="31"/>
        <v>187051.2</v>
      </c>
      <c r="T146" s="23">
        <f t="shared" si="32"/>
        <v>-186051.20000000001</v>
      </c>
      <c r="U146" s="23">
        <f t="shared" si="24"/>
        <v>0</v>
      </c>
      <c r="V146" s="10">
        <f t="shared" si="33"/>
        <v>748204.8</v>
      </c>
      <c r="W146" s="10">
        <f t="shared" si="34"/>
        <v>0</v>
      </c>
      <c r="X146" s="10">
        <f t="shared" si="35"/>
        <v>0</v>
      </c>
    </row>
    <row r="147" spans="1:24" s="9" customFormat="1" ht="13.5" customHeight="1" x14ac:dyDescent="0.2">
      <c r="A147" s="64">
        <f t="shared" si="36"/>
        <v>143</v>
      </c>
      <c r="B147" s="109" t="s">
        <v>1240</v>
      </c>
      <c r="C147" s="163">
        <v>39115</v>
      </c>
      <c r="D147" s="175">
        <v>4366855</v>
      </c>
      <c r="E147" s="249"/>
      <c r="F147" s="67">
        <f t="shared" si="25"/>
        <v>4366855</v>
      </c>
      <c r="G147" s="67">
        <v>4365855</v>
      </c>
      <c r="H147" s="67">
        <f t="shared" si="27"/>
        <v>1000</v>
      </c>
      <c r="I147" s="68">
        <v>5</v>
      </c>
      <c r="J147" s="68">
        <v>0.2</v>
      </c>
      <c r="K147" s="68">
        <v>0</v>
      </c>
      <c r="L147" s="67">
        <f t="shared" si="28"/>
        <v>0</v>
      </c>
      <c r="M147" s="67">
        <f t="shared" si="29"/>
        <v>4365855</v>
      </c>
      <c r="N147" s="67">
        <f t="shared" si="30"/>
        <v>1000</v>
      </c>
      <c r="O147" s="498" t="s">
        <v>1797</v>
      </c>
      <c r="P147" s="111">
        <v>7</v>
      </c>
      <c r="Q147" s="464"/>
      <c r="R147" s="23"/>
      <c r="S147" s="23">
        <f t="shared" si="31"/>
        <v>218342.75</v>
      </c>
      <c r="T147" s="23">
        <f t="shared" si="32"/>
        <v>-217342.75</v>
      </c>
      <c r="U147" s="23">
        <f t="shared" si="24"/>
        <v>0</v>
      </c>
      <c r="V147" s="10">
        <f t="shared" si="33"/>
        <v>873371</v>
      </c>
      <c r="W147" s="10">
        <f t="shared" si="34"/>
        <v>0</v>
      </c>
      <c r="X147" s="10">
        <f t="shared" si="35"/>
        <v>0</v>
      </c>
    </row>
    <row r="148" spans="1:24" s="9" customFormat="1" ht="13.5" customHeight="1" x14ac:dyDescent="0.2">
      <c r="A148" s="64">
        <f t="shared" si="36"/>
        <v>144</v>
      </c>
      <c r="B148" s="109" t="s">
        <v>1240</v>
      </c>
      <c r="C148" s="163">
        <v>39126</v>
      </c>
      <c r="D148" s="175">
        <v>1868517</v>
      </c>
      <c r="E148" s="249"/>
      <c r="F148" s="67">
        <f t="shared" si="25"/>
        <v>1868517</v>
      </c>
      <c r="G148" s="67">
        <v>1867517</v>
      </c>
      <c r="H148" s="67">
        <f t="shared" si="27"/>
        <v>1000</v>
      </c>
      <c r="I148" s="68">
        <v>5</v>
      </c>
      <c r="J148" s="68">
        <v>0.2</v>
      </c>
      <c r="K148" s="68">
        <v>0</v>
      </c>
      <c r="L148" s="67">
        <f t="shared" si="28"/>
        <v>0</v>
      </c>
      <c r="M148" s="67">
        <f t="shared" si="29"/>
        <v>1867517</v>
      </c>
      <c r="N148" s="67">
        <f t="shared" si="30"/>
        <v>1000</v>
      </c>
      <c r="O148" s="498" t="s">
        <v>1797</v>
      </c>
      <c r="P148" s="111">
        <v>3</v>
      </c>
      <c r="Q148" s="464"/>
      <c r="R148" s="23"/>
      <c r="S148" s="23">
        <f t="shared" si="31"/>
        <v>93425.85</v>
      </c>
      <c r="T148" s="23">
        <f t="shared" si="32"/>
        <v>-92425.85</v>
      </c>
      <c r="U148" s="23">
        <f t="shared" si="24"/>
        <v>0</v>
      </c>
      <c r="V148" s="10">
        <f t="shared" si="33"/>
        <v>373703.4</v>
      </c>
      <c r="W148" s="10">
        <f t="shared" si="34"/>
        <v>0</v>
      </c>
      <c r="X148" s="10">
        <f t="shared" si="35"/>
        <v>0</v>
      </c>
    </row>
    <row r="149" spans="1:24" s="9" customFormat="1" ht="13.5" customHeight="1" x14ac:dyDescent="0.2">
      <c r="A149" s="64">
        <f t="shared" si="36"/>
        <v>145</v>
      </c>
      <c r="B149" s="109" t="s">
        <v>1240</v>
      </c>
      <c r="C149" s="163">
        <v>39141</v>
      </c>
      <c r="D149" s="175">
        <v>2495878</v>
      </c>
      <c r="E149" s="249"/>
      <c r="F149" s="67">
        <f t="shared" si="25"/>
        <v>2495878</v>
      </c>
      <c r="G149" s="67">
        <v>2494878</v>
      </c>
      <c r="H149" s="67">
        <f t="shared" si="27"/>
        <v>1000</v>
      </c>
      <c r="I149" s="68">
        <v>5</v>
      </c>
      <c r="J149" s="68">
        <v>0.2</v>
      </c>
      <c r="K149" s="68">
        <v>0</v>
      </c>
      <c r="L149" s="67">
        <f t="shared" si="28"/>
        <v>0</v>
      </c>
      <c r="M149" s="67">
        <f t="shared" si="29"/>
        <v>2494878</v>
      </c>
      <c r="N149" s="67">
        <f t="shared" si="30"/>
        <v>1000</v>
      </c>
      <c r="O149" s="498" t="s">
        <v>1797</v>
      </c>
      <c r="P149" s="111">
        <v>4</v>
      </c>
      <c r="Q149" s="464"/>
      <c r="R149" s="23"/>
      <c r="S149" s="23">
        <f t="shared" si="31"/>
        <v>124793.90000000001</v>
      </c>
      <c r="T149" s="23">
        <f t="shared" si="32"/>
        <v>-123793.90000000001</v>
      </c>
      <c r="U149" s="23">
        <f t="shared" si="24"/>
        <v>0</v>
      </c>
      <c r="V149" s="10">
        <f t="shared" si="33"/>
        <v>499175.6</v>
      </c>
      <c r="W149" s="10">
        <f t="shared" si="34"/>
        <v>0</v>
      </c>
      <c r="X149" s="10">
        <f t="shared" si="35"/>
        <v>0</v>
      </c>
    </row>
    <row r="150" spans="1:24" s="9" customFormat="1" ht="13.5" customHeight="1" x14ac:dyDescent="0.2">
      <c r="A150" s="64">
        <f t="shared" si="36"/>
        <v>146</v>
      </c>
      <c r="B150" s="109" t="s">
        <v>1805</v>
      </c>
      <c r="C150" s="163">
        <v>39188</v>
      </c>
      <c r="D150" s="175">
        <v>190000</v>
      </c>
      <c r="E150" s="249"/>
      <c r="F150" s="67">
        <f t="shared" si="25"/>
        <v>190000</v>
      </c>
      <c r="G150" s="67">
        <v>189000</v>
      </c>
      <c r="H150" s="67">
        <f t="shared" si="27"/>
        <v>1000</v>
      </c>
      <c r="I150" s="68">
        <v>5</v>
      </c>
      <c r="J150" s="68">
        <v>0.2</v>
      </c>
      <c r="K150" s="68">
        <v>0</v>
      </c>
      <c r="L150" s="67">
        <f t="shared" si="28"/>
        <v>0</v>
      </c>
      <c r="M150" s="67">
        <f t="shared" si="29"/>
        <v>189000</v>
      </c>
      <c r="N150" s="67">
        <f t="shared" si="30"/>
        <v>1000</v>
      </c>
      <c r="O150" s="498" t="s">
        <v>1806</v>
      </c>
      <c r="P150" s="111">
        <v>1</v>
      </c>
      <c r="Q150" s="464"/>
      <c r="R150" s="23"/>
      <c r="S150" s="23">
        <f t="shared" si="31"/>
        <v>9500</v>
      </c>
      <c r="T150" s="23">
        <f t="shared" si="32"/>
        <v>-8500</v>
      </c>
      <c r="U150" s="23">
        <f t="shared" si="24"/>
        <v>0</v>
      </c>
      <c r="V150" s="10">
        <f t="shared" si="33"/>
        <v>38000</v>
      </c>
      <c r="W150" s="10">
        <f t="shared" si="34"/>
        <v>0</v>
      </c>
      <c r="X150" s="10">
        <f t="shared" si="35"/>
        <v>0</v>
      </c>
    </row>
    <row r="151" spans="1:24" s="9" customFormat="1" ht="13.5" customHeight="1" x14ac:dyDescent="0.2">
      <c r="A151" s="64">
        <f t="shared" si="36"/>
        <v>147</v>
      </c>
      <c r="B151" s="109" t="s">
        <v>1240</v>
      </c>
      <c r="C151" s="163">
        <v>39223</v>
      </c>
      <c r="D151" s="175">
        <v>2480716</v>
      </c>
      <c r="E151" s="462"/>
      <c r="F151" s="67">
        <f t="shared" si="25"/>
        <v>2480716</v>
      </c>
      <c r="G151" s="67">
        <v>2479716</v>
      </c>
      <c r="H151" s="67">
        <f t="shared" si="27"/>
        <v>1000</v>
      </c>
      <c r="I151" s="68">
        <v>5</v>
      </c>
      <c r="J151" s="68">
        <v>0.2</v>
      </c>
      <c r="K151" s="68">
        <v>0</v>
      </c>
      <c r="L151" s="67">
        <f t="shared" si="28"/>
        <v>0</v>
      </c>
      <c r="M151" s="67">
        <f t="shared" si="29"/>
        <v>2479716</v>
      </c>
      <c r="N151" s="67">
        <f t="shared" si="30"/>
        <v>1000</v>
      </c>
      <c r="O151" s="498" t="s">
        <v>1797</v>
      </c>
      <c r="P151" s="111">
        <v>4</v>
      </c>
      <c r="Q151" s="464"/>
      <c r="R151" s="23"/>
      <c r="S151" s="23">
        <f t="shared" si="31"/>
        <v>124035.8</v>
      </c>
      <c r="T151" s="23">
        <f t="shared" si="32"/>
        <v>-123035.8</v>
      </c>
      <c r="U151" s="23">
        <f t="shared" si="24"/>
        <v>0</v>
      </c>
      <c r="V151" s="10">
        <f t="shared" si="33"/>
        <v>496143.2</v>
      </c>
      <c r="W151" s="10">
        <f t="shared" si="34"/>
        <v>0</v>
      </c>
      <c r="X151" s="10">
        <f t="shared" si="35"/>
        <v>0</v>
      </c>
    </row>
    <row r="152" spans="1:24" s="9" customFormat="1" ht="13.5" customHeight="1" x14ac:dyDescent="0.2">
      <c r="A152" s="64">
        <f t="shared" si="36"/>
        <v>148</v>
      </c>
      <c r="B152" s="109" t="s">
        <v>1807</v>
      </c>
      <c r="C152" s="163">
        <v>39262</v>
      </c>
      <c r="D152" s="175">
        <v>650000</v>
      </c>
      <c r="E152" s="462"/>
      <c r="F152" s="67">
        <f t="shared" si="25"/>
        <v>650000</v>
      </c>
      <c r="G152" s="67">
        <v>649000</v>
      </c>
      <c r="H152" s="67">
        <f t="shared" si="27"/>
        <v>1000</v>
      </c>
      <c r="I152" s="68">
        <v>5</v>
      </c>
      <c r="J152" s="68">
        <v>0.2</v>
      </c>
      <c r="K152" s="68">
        <v>0</v>
      </c>
      <c r="L152" s="67">
        <f t="shared" si="28"/>
        <v>0</v>
      </c>
      <c r="M152" s="67">
        <f t="shared" si="29"/>
        <v>649000</v>
      </c>
      <c r="N152" s="67">
        <f t="shared" si="30"/>
        <v>1000</v>
      </c>
      <c r="O152" s="111" t="s">
        <v>1808</v>
      </c>
      <c r="P152" s="111">
        <v>1</v>
      </c>
      <c r="Q152" s="464"/>
      <c r="R152" s="23">
        <f>+N152*J152</f>
        <v>200</v>
      </c>
      <c r="S152" s="23">
        <f t="shared" si="31"/>
        <v>32500</v>
      </c>
      <c r="T152" s="23">
        <f t="shared" si="32"/>
        <v>-31500</v>
      </c>
      <c r="U152" s="23">
        <f t="shared" si="24"/>
        <v>0</v>
      </c>
      <c r="V152" s="10">
        <f t="shared" si="33"/>
        <v>130000</v>
      </c>
      <c r="W152" s="10">
        <f t="shared" si="34"/>
        <v>0</v>
      </c>
      <c r="X152" s="10">
        <f t="shared" si="35"/>
        <v>0</v>
      </c>
    </row>
    <row r="153" spans="1:24" s="9" customFormat="1" ht="13.5" customHeight="1" x14ac:dyDescent="0.2">
      <c r="A153" s="64">
        <f t="shared" si="36"/>
        <v>149</v>
      </c>
      <c r="B153" s="109" t="s">
        <v>1240</v>
      </c>
      <c r="C153" s="208">
        <v>39269</v>
      </c>
      <c r="D153" s="383">
        <v>1225063</v>
      </c>
      <c r="E153" s="512"/>
      <c r="F153" s="91">
        <f t="shared" si="25"/>
        <v>1225063</v>
      </c>
      <c r="G153" s="91">
        <v>1224063</v>
      </c>
      <c r="H153" s="91">
        <f t="shared" si="27"/>
        <v>1000</v>
      </c>
      <c r="I153" s="68">
        <v>5</v>
      </c>
      <c r="J153" s="68">
        <v>0.2</v>
      </c>
      <c r="K153" s="68">
        <v>0</v>
      </c>
      <c r="L153" s="67">
        <f t="shared" si="28"/>
        <v>0</v>
      </c>
      <c r="M153" s="73">
        <f t="shared" si="29"/>
        <v>1224063</v>
      </c>
      <c r="N153" s="73">
        <f t="shared" si="30"/>
        <v>1000</v>
      </c>
      <c r="O153" s="498" t="s">
        <v>1797</v>
      </c>
      <c r="P153" s="209">
        <v>2</v>
      </c>
      <c r="Q153" s="487"/>
      <c r="R153" s="23"/>
      <c r="S153" s="23">
        <f t="shared" si="31"/>
        <v>61253.15</v>
      </c>
      <c r="T153" s="23">
        <f t="shared" si="32"/>
        <v>-60253.15</v>
      </c>
      <c r="U153" s="23">
        <f t="shared" si="24"/>
        <v>0</v>
      </c>
      <c r="V153" s="10">
        <f t="shared" si="33"/>
        <v>245012.6</v>
      </c>
      <c r="W153" s="10">
        <f t="shared" si="34"/>
        <v>0</v>
      </c>
      <c r="X153" s="10">
        <f t="shared" si="35"/>
        <v>0</v>
      </c>
    </row>
    <row r="154" spans="1:24" s="9" customFormat="1" ht="13.5" customHeight="1" x14ac:dyDescent="0.2">
      <c r="A154" s="64">
        <f t="shared" si="36"/>
        <v>150</v>
      </c>
      <c r="B154" s="109" t="s">
        <v>1240</v>
      </c>
      <c r="C154" s="163">
        <v>39288</v>
      </c>
      <c r="D154" s="175">
        <v>3040380</v>
      </c>
      <c r="E154" s="462"/>
      <c r="F154" s="67">
        <f t="shared" si="25"/>
        <v>3040380</v>
      </c>
      <c r="G154" s="67">
        <v>3039380</v>
      </c>
      <c r="H154" s="67">
        <f t="shared" si="27"/>
        <v>1000</v>
      </c>
      <c r="I154" s="68">
        <v>5</v>
      </c>
      <c r="J154" s="68">
        <v>0.2</v>
      </c>
      <c r="K154" s="68">
        <v>0</v>
      </c>
      <c r="L154" s="67">
        <f t="shared" si="28"/>
        <v>0</v>
      </c>
      <c r="M154" s="67">
        <f t="shared" si="29"/>
        <v>3039380</v>
      </c>
      <c r="N154" s="67">
        <f t="shared" si="30"/>
        <v>1000</v>
      </c>
      <c r="O154" s="498" t="s">
        <v>1797</v>
      </c>
      <c r="P154" s="230">
        <v>5</v>
      </c>
      <c r="Q154" s="464"/>
      <c r="R154" s="23"/>
      <c r="S154" s="23">
        <f t="shared" si="31"/>
        <v>152019</v>
      </c>
      <c r="T154" s="23">
        <f t="shared" si="32"/>
        <v>-151019</v>
      </c>
      <c r="U154" s="23">
        <f t="shared" si="24"/>
        <v>0</v>
      </c>
      <c r="V154" s="10">
        <f t="shared" si="33"/>
        <v>608076</v>
      </c>
      <c r="W154" s="10">
        <f t="shared" si="34"/>
        <v>0</v>
      </c>
      <c r="X154" s="10">
        <f t="shared" si="35"/>
        <v>0</v>
      </c>
    </row>
    <row r="155" spans="1:24" s="9" customFormat="1" ht="13.5" customHeight="1" x14ac:dyDescent="0.2">
      <c r="A155" s="64">
        <f t="shared" si="36"/>
        <v>151</v>
      </c>
      <c r="B155" s="109" t="s">
        <v>1240</v>
      </c>
      <c r="C155" s="163">
        <v>39309</v>
      </c>
      <c r="D155" s="175">
        <v>1853554</v>
      </c>
      <c r="E155" s="462"/>
      <c r="F155" s="67">
        <f t="shared" si="25"/>
        <v>1853554</v>
      </c>
      <c r="G155" s="67">
        <v>1852554</v>
      </c>
      <c r="H155" s="67">
        <f t="shared" si="27"/>
        <v>1000</v>
      </c>
      <c r="I155" s="68">
        <v>5</v>
      </c>
      <c r="J155" s="68">
        <v>0.2</v>
      </c>
      <c r="K155" s="68">
        <v>0</v>
      </c>
      <c r="L155" s="67">
        <f t="shared" si="28"/>
        <v>0</v>
      </c>
      <c r="M155" s="67">
        <f t="shared" si="29"/>
        <v>1852554</v>
      </c>
      <c r="N155" s="67">
        <f t="shared" si="30"/>
        <v>1000</v>
      </c>
      <c r="O155" s="498" t="s">
        <v>1797</v>
      </c>
      <c r="P155" s="230">
        <v>3</v>
      </c>
      <c r="Q155" s="464"/>
      <c r="R155" s="23"/>
      <c r="S155" s="23">
        <f t="shared" si="31"/>
        <v>92677.700000000012</v>
      </c>
      <c r="T155" s="23">
        <f t="shared" si="32"/>
        <v>-91677.700000000012</v>
      </c>
      <c r="U155" s="23">
        <f t="shared" si="24"/>
        <v>0</v>
      </c>
      <c r="V155" s="10">
        <f t="shared" si="33"/>
        <v>370710.8</v>
      </c>
      <c r="W155" s="10">
        <f t="shared" si="34"/>
        <v>0</v>
      </c>
      <c r="X155" s="10">
        <f t="shared" si="35"/>
        <v>0</v>
      </c>
    </row>
    <row r="156" spans="1:24" s="9" customFormat="1" ht="13.5" customHeight="1" x14ac:dyDescent="0.2">
      <c r="A156" s="64">
        <f t="shared" si="36"/>
        <v>152</v>
      </c>
      <c r="B156" s="109" t="s">
        <v>1240</v>
      </c>
      <c r="C156" s="163">
        <v>39323</v>
      </c>
      <c r="D156" s="175">
        <v>3126497</v>
      </c>
      <c r="E156" s="462"/>
      <c r="F156" s="67">
        <f t="shared" si="25"/>
        <v>3126497</v>
      </c>
      <c r="G156" s="67">
        <v>3125497</v>
      </c>
      <c r="H156" s="67">
        <f t="shared" si="27"/>
        <v>1000</v>
      </c>
      <c r="I156" s="68">
        <v>5</v>
      </c>
      <c r="J156" s="68">
        <v>0.2</v>
      </c>
      <c r="K156" s="68">
        <v>0</v>
      </c>
      <c r="L156" s="67">
        <f t="shared" si="28"/>
        <v>0</v>
      </c>
      <c r="M156" s="67">
        <f t="shared" si="29"/>
        <v>3125497</v>
      </c>
      <c r="N156" s="67">
        <f t="shared" si="30"/>
        <v>1000</v>
      </c>
      <c r="O156" s="498" t="s">
        <v>1797</v>
      </c>
      <c r="P156" s="230">
        <v>5</v>
      </c>
      <c r="Q156" s="464"/>
      <c r="R156" s="23"/>
      <c r="S156" s="23">
        <f t="shared" si="31"/>
        <v>156324.85</v>
      </c>
      <c r="T156" s="23">
        <f t="shared" si="32"/>
        <v>-155324.85</v>
      </c>
      <c r="U156" s="23">
        <f t="shared" si="24"/>
        <v>0</v>
      </c>
      <c r="V156" s="10">
        <f t="shared" si="33"/>
        <v>625299.4</v>
      </c>
      <c r="W156" s="10">
        <f t="shared" si="34"/>
        <v>0</v>
      </c>
      <c r="X156" s="10">
        <f t="shared" si="35"/>
        <v>0</v>
      </c>
    </row>
    <row r="157" spans="1:24" s="9" customFormat="1" ht="13.5" customHeight="1" x14ac:dyDescent="0.2">
      <c r="A157" s="64">
        <f t="shared" si="36"/>
        <v>153</v>
      </c>
      <c r="B157" s="109" t="s">
        <v>1240</v>
      </c>
      <c r="C157" s="163">
        <v>39338</v>
      </c>
      <c r="D157" s="175">
        <v>4331012</v>
      </c>
      <c r="E157" s="462"/>
      <c r="F157" s="67">
        <f t="shared" si="25"/>
        <v>4331012</v>
      </c>
      <c r="G157" s="67">
        <v>4330012</v>
      </c>
      <c r="H157" s="67">
        <f t="shared" si="27"/>
        <v>1000</v>
      </c>
      <c r="I157" s="68">
        <v>5</v>
      </c>
      <c r="J157" s="68">
        <v>0.2</v>
      </c>
      <c r="K157" s="68">
        <v>0</v>
      </c>
      <c r="L157" s="67">
        <f t="shared" si="28"/>
        <v>0</v>
      </c>
      <c r="M157" s="67">
        <f t="shared" si="29"/>
        <v>4330012</v>
      </c>
      <c r="N157" s="67">
        <f t="shared" si="30"/>
        <v>1000</v>
      </c>
      <c r="O157" s="498" t="s">
        <v>1797</v>
      </c>
      <c r="P157" s="230">
        <v>7</v>
      </c>
      <c r="Q157" s="464"/>
      <c r="R157" s="23"/>
      <c r="S157" s="23">
        <f t="shared" si="31"/>
        <v>216550.6</v>
      </c>
      <c r="T157" s="23">
        <f t="shared" si="32"/>
        <v>-215550.6</v>
      </c>
      <c r="U157" s="23">
        <f t="shared" ref="U157:U199" si="37">N157-1000</f>
        <v>0</v>
      </c>
      <c r="V157" s="10">
        <f t="shared" si="33"/>
        <v>866202.4</v>
      </c>
      <c r="W157" s="10">
        <f t="shared" si="34"/>
        <v>0</v>
      </c>
      <c r="X157" s="10">
        <f t="shared" si="35"/>
        <v>0</v>
      </c>
    </row>
    <row r="158" spans="1:24" s="9" customFormat="1" ht="13.5" customHeight="1" x14ac:dyDescent="0.2">
      <c r="A158" s="64">
        <f t="shared" si="36"/>
        <v>154</v>
      </c>
      <c r="B158" s="109" t="s">
        <v>1240</v>
      </c>
      <c r="C158" s="163">
        <v>39342</v>
      </c>
      <c r="D158" s="175">
        <v>6207110</v>
      </c>
      <c r="E158" s="462"/>
      <c r="F158" s="67">
        <f t="shared" si="25"/>
        <v>6207110</v>
      </c>
      <c r="G158" s="67">
        <v>6206110</v>
      </c>
      <c r="H158" s="67">
        <f t="shared" si="27"/>
        <v>1000</v>
      </c>
      <c r="I158" s="68">
        <v>5</v>
      </c>
      <c r="J158" s="68">
        <v>0.2</v>
      </c>
      <c r="K158" s="68">
        <v>0</v>
      </c>
      <c r="L158" s="67">
        <f t="shared" si="28"/>
        <v>0</v>
      </c>
      <c r="M158" s="67">
        <f t="shared" si="29"/>
        <v>6206110</v>
      </c>
      <c r="N158" s="67">
        <f t="shared" si="30"/>
        <v>1000</v>
      </c>
      <c r="O158" s="498" t="s">
        <v>1797</v>
      </c>
      <c r="P158" s="230">
        <v>10</v>
      </c>
      <c r="Q158" s="464"/>
      <c r="R158" s="23"/>
      <c r="S158" s="23">
        <f t="shared" si="31"/>
        <v>310355.5</v>
      </c>
      <c r="T158" s="23">
        <f t="shared" si="32"/>
        <v>-309355.5</v>
      </c>
      <c r="U158" s="23">
        <f t="shared" si="37"/>
        <v>0</v>
      </c>
      <c r="V158" s="10">
        <f t="shared" si="33"/>
        <v>1241422</v>
      </c>
      <c r="W158" s="10">
        <f t="shared" si="34"/>
        <v>0</v>
      </c>
      <c r="X158" s="10">
        <f t="shared" si="35"/>
        <v>0</v>
      </c>
    </row>
    <row r="159" spans="1:24" s="9" customFormat="1" ht="13.5" customHeight="1" x14ac:dyDescent="0.2">
      <c r="A159" s="64">
        <f t="shared" si="36"/>
        <v>155</v>
      </c>
      <c r="B159" s="108" t="s">
        <v>1802</v>
      </c>
      <c r="C159" s="148">
        <v>39344</v>
      </c>
      <c r="D159" s="372">
        <v>500000</v>
      </c>
      <c r="E159" s="484"/>
      <c r="F159" s="73">
        <f t="shared" si="25"/>
        <v>500000</v>
      </c>
      <c r="G159" s="73">
        <v>499000</v>
      </c>
      <c r="H159" s="73">
        <f t="shared" si="27"/>
        <v>1000</v>
      </c>
      <c r="I159" s="74">
        <v>5</v>
      </c>
      <c r="J159" s="74">
        <v>0.2</v>
      </c>
      <c r="K159" s="68">
        <v>0</v>
      </c>
      <c r="L159" s="67">
        <f t="shared" si="28"/>
        <v>0</v>
      </c>
      <c r="M159" s="73">
        <f t="shared" si="29"/>
        <v>499000</v>
      </c>
      <c r="N159" s="73">
        <f t="shared" si="30"/>
        <v>1000</v>
      </c>
      <c r="O159" s="233" t="s">
        <v>1809</v>
      </c>
      <c r="P159" s="233">
        <v>2</v>
      </c>
      <c r="Q159" s="487"/>
      <c r="R159" s="23"/>
      <c r="S159" s="23">
        <f t="shared" si="31"/>
        <v>25000</v>
      </c>
      <c r="T159" s="23">
        <f t="shared" si="32"/>
        <v>-24000</v>
      </c>
      <c r="U159" s="23">
        <f t="shared" si="37"/>
        <v>0</v>
      </c>
      <c r="V159" s="10">
        <f t="shared" si="33"/>
        <v>100000</v>
      </c>
      <c r="W159" s="10">
        <f t="shared" si="34"/>
        <v>0</v>
      </c>
      <c r="X159" s="10">
        <f t="shared" si="35"/>
        <v>0</v>
      </c>
    </row>
    <row r="160" spans="1:24" s="9" customFormat="1" ht="13.5" customHeight="1" x14ac:dyDescent="0.2">
      <c r="A160" s="64">
        <f t="shared" si="36"/>
        <v>156</v>
      </c>
      <c r="B160" s="109" t="s">
        <v>1810</v>
      </c>
      <c r="C160" s="163">
        <v>39356</v>
      </c>
      <c r="D160" s="175">
        <v>520118</v>
      </c>
      <c r="E160" s="462"/>
      <c r="F160" s="67">
        <f t="shared" si="25"/>
        <v>520118</v>
      </c>
      <c r="G160" s="67">
        <v>519118</v>
      </c>
      <c r="H160" s="67">
        <f t="shared" si="27"/>
        <v>1000</v>
      </c>
      <c r="I160" s="74">
        <v>5</v>
      </c>
      <c r="J160" s="74">
        <v>0.2</v>
      </c>
      <c r="K160" s="68">
        <v>0</v>
      </c>
      <c r="L160" s="67">
        <f t="shared" si="28"/>
        <v>0</v>
      </c>
      <c r="M160" s="73">
        <f t="shared" si="29"/>
        <v>519118</v>
      </c>
      <c r="N160" s="73">
        <f t="shared" si="30"/>
        <v>1000</v>
      </c>
      <c r="O160" s="111" t="s">
        <v>1811</v>
      </c>
      <c r="P160" s="111">
        <v>1</v>
      </c>
      <c r="Q160" s="464"/>
      <c r="R160" s="23"/>
      <c r="S160" s="23">
        <f t="shared" si="31"/>
        <v>26005.9</v>
      </c>
      <c r="T160" s="23">
        <f t="shared" si="32"/>
        <v>-25005.9</v>
      </c>
      <c r="U160" s="23">
        <f t="shared" si="37"/>
        <v>0</v>
      </c>
      <c r="V160" s="10">
        <f t="shared" si="33"/>
        <v>104023.6</v>
      </c>
      <c r="W160" s="10">
        <f>ROUND(IF(H160&lt;=1000,0,V160/12*3),0)</f>
        <v>0</v>
      </c>
      <c r="X160" s="10">
        <f t="shared" si="35"/>
        <v>0</v>
      </c>
    </row>
    <row r="161" spans="1:24" s="9" customFormat="1" ht="13.5" customHeight="1" x14ac:dyDescent="0.2">
      <c r="A161" s="64">
        <f t="shared" si="36"/>
        <v>157</v>
      </c>
      <c r="B161" s="109" t="s">
        <v>1240</v>
      </c>
      <c r="C161" s="163">
        <v>39363</v>
      </c>
      <c r="D161" s="175">
        <v>1827420</v>
      </c>
      <c r="E161" s="462"/>
      <c r="F161" s="67">
        <f t="shared" ref="F161:F199" si="38">+D161+E161</f>
        <v>1827420</v>
      </c>
      <c r="G161" s="67">
        <v>1826420</v>
      </c>
      <c r="H161" s="67">
        <f t="shared" si="27"/>
        <v>1000</v>
      </c>
      <c r="I161" s="74">
        <v>5</v>
      </c>
      <c r="J161" s="74">
        <v>0.2</v>
      </c>
      <c r="K161" s="68">
        <v>0</v>
      </c>
      <c r="L161" s="67">
        <f t="shared" si="28"/>
        <v>0</v>
      </c>
      <c r="M161" s="73">
        <f t="shared" si="29"/>
        <v>1826420</v>
      </c>
      <c r="N161" s="73">
        <f t="shared" si="30"/>
        <v>1000</v>
      </c>
      <c r="O161" s="111" t="s">
        <v>1812</v>
      </c>
      <c r="P161" s="111">
        <v>3</v>
      </c>
      <c r="Q161" s="464"/>
      <c r="R161" s="23"/>
      <c r="S161" s="23">
        <f t="shared" si="31"/>
        <v>91371</v>
      </c>
      <c r="T161" s="23">
        <f t="shared" si="32"/>
        <v>-90371</v>
      </c>
      <c r="U161" s="23">
        <f t="shared" si="37"/>
        <v>0</v>
      </c>
      <c r="V161" s="10">
        <f t="shared" si="33"/>
        <v>365484</v>
      </c>
      <c r="W161" s="10">
        <f t="shared" ref="W161:W181" si="39">ROUND(IF(H161&lt;=1000,0,V161/12*0),0)</f>
        <v>0</v>
      </c>
      <c r="X161" s="10">
        <f t="shared" si="35"/>
        <v>0</v>
      </c>
    </row>
    <row r="162" spans="1:24" s="9" customFormat="1" ht="13.5" customHeight="1" x14ac:dyDescent="0.2">
      <c r="A162" s="64">
        <f t="shared" si="36"/>
        <v>158</v>
      </c>
      <c r="B162" s="109" t="s">
        <v>1810</v>
      </c>
      <c r="C162" s="163">
        <v>39370</v>
      </c>
      <c r="D162" s="175">
        <v>425893</v>
      </c>
      <c r="E162" s="462"/>
      <c r="F162" s="67">
        <f t="shared" si="38"/>
        <v>425893</v>
      </c>
      <c r="G162" s="67">
        <v>424893</v>
      </c>
      <c r="H162" s="67">
        <f t="shared" si="27"/>
        <v>1000</v>
      </c>
      <c r="I162" s="74">
        <v>5</v>
      </c>
      <c r="J162" s="74">
        <v>0.2</v>
      </c>
      <c r="K162" s="68">
        <v>0</v>
      </c>
      <c r="L162" s="67">
        <f t="shared" si="28"/>
        <v>0</v>
      </c>
      <c r="M162" s="73">
        <f t="shared" si="29"/>
        <v>424893</v>
      </c>
      <c r="N162" s="73">
        <f t="shared" si="30"/>
        <v>1000</v>
      </c>
      <c r="O162" s="111" t="s">
        <v>1811</v>
      </c>
      <c r="P162" s="111">
        <v>1</v>
      </c>
      <c r="Q162" s="464"/>
      <c r="R162" s="23"/>
      <c r="S162" s="23">
        <f t="shared" si="31"/>
        <v>21294.65</v>
      </c>
      <c r="T162" s="23">
        <f t="shared" si="32"/>
        <v>-20294.650000000001</v>
      </c>
      <c r="U162" s="23">
        <f t="shared" si="37"/>
        <v>0</v>
      </c>
      <c r="V162" s="10">
        <f t="shared" si="33"/>
        <v>85178.6</v>
      </c>
      <c r="W162" s="10">
        <f t="shared" si="39"/>
        <v>0</v>
      </c>
      <c r="X162" s="10">
        <f t="shared" si="35"/>
        <v>0</v>
      </c>
    </row>
    <row r="163" spans="1:24" s="9" customFormat="1" ht="13.5" customHeight="1" x14ac:dyDescent="0.2">
      <c r="A163" s="64">
        <f t="shared" si="36"/>
        <v>159</v>
      </c>
      <c r="B163" s="139" t="s">
        <v>1240</v>
      </c>
      <c r="C163" s="208">
        <v>39479</v>
      </c>
      <c r="D163" s="383">
        <v>628757</v>
      </c>
      <c r="E163" s="512"/>
      <c r="F163" s="67">
        <f t="shared" si="38"/>
        <v>628757</v>
      </c>
      <c r="G163" s="91">
        <v>627757</v>
      </c>
      <c r="H163" s="67">
        <f t="shared" si="27"/>
        <v>1000</v>
      </c>
      <c r="I163" s="74">
        <v>5</v>
      </c>
      <c r="J163" s="74">
        <v>0.2</v>
      </c>
      <c r="K163" s="68">
        <v>0</v>
      </c>
      <c r="L163" s="67">
        <f t="shared" si="28"/>
        <v>0</v>
      </c>
      <c r="M163" s="73">
        <f t="shared" si="29"/>
        <v>627757</v>
      </c>
      <c r="N163" s="73">
        <f t="shared" si="30"/>
        <v>1000</v>
      </c>
      <c r="O163" s="498" t="s">
        <v>1797</v>
      </c>
      <c r="P163" s="122">
        <v>1</v>
      </c>
      <c r="Q163" s="522"/>
      <c r="R163" s="23"/>
      <c r="S163" s="23">
        <f t="shared" si="31"/>
        <v>31437.850000000002</v>
      </c>
      <c r="T163" s="23">
        <f t="shared" si="32"/>
        <v>-30437.850000000002</v>
      </c>
      <c r="U163" s="23">
        <f t="shared" si="37"/>
        <v>0</v>
      </c>
      <c r="V163" s="10">
        <f t="shared" si="33"/>
        <v>125751.4</v>
      </c>
      <c r="W163" s="10">
        <f t="shared" si="39"/>
        <v>0</v>
      </c>
      <c r="X163" s="10">
        <f t="shared" si="35"/>
        <v>0</v>
      </c>
    </row>
    <row r="164" spans="1:24" s="9" customFormat="1" ht="13.5" customHeight="1" x14ac:dyDescent="0.2">
      <c r="A164" s="64">
        <f t="shared" si="36"/>
        <v>160</v>
      </c>
      <c r="B164" s="109" t="s">
        <v>1240</v>
      </c>
      <c r="C164" s="163">
        <v>39517</v>
      </c>
      <c r="D164" s="175">
        <v>2546418</v>
      </c>
      <c r="E164" s="462"/>
      <c r="F164" s="67">
        <f t="shared" si="38"/>
        <v>2546418</v>
      </c>
      <c r="G164" s="67">
        <v>2545418</v>
      </c>
      <c r="H164" s="67">
        <f t="shared" si="27"/>
        <v>1000</v>
      </c>
      <c r="I164" s="74">
        <v>5</v>
      </c>
      <c r="J164" s="74">
        <v>0.2</v>
      </c>
      <c r="K164" s="68">
        <v>0</v>
      </c>
      <c r="L164" s="67">
        <f t="shared" si="28"/>
        <v>0</v>
      </c>
      <c r="M164" s="73">
        <f t="shared" si="29"/>
        <v>2545418</v>
      </c>
      <c r="N164" s="73">
        <f t="shared" si="30"/>
        <v>1000</v>
      </c>
      <c r="O164" s="498" t="s">
        <v>1797</v>
      </c>
      <c r="P164" s="111">
        <v>4</v>
      </c>
      <c r="Q164" s="464"/>
      <c r="R164" s="23"/>
      <c r="S164" s="23">
        <f t="shared" si="31"/>
        <v>127320.90000000001</v>
      </c>
      <c r="T164" s="23">
        <f t="shared" si="32"/>
        <v>-126320.90000000001</v>
      </c>
      <c r="U164" s="23">
        <f t="shared" si="37"/>
        <v>0</v>
      </c>
      <c r="V164" s="10">
        <f t="shared" si="33"/>
        <v>509283.6</v>
      </c>
      <c r="W164" s="10">
        <f t="shared" si="39"/>
        <v>0</v>
      </c>
      <c r="X164" s="10">
        <f t="shared" si="35"/>
        <v>0</v>
      </c>
    </row>
    <row r="165" spans="1:24" s="9" customFormat="1" ht="13.5" customHeight="1" x14ac:dyDescent="0.2">
      <c r="A165" s="64">
        <f t="shared" si="36"/>
        <v>161</v>
      </c>
      <c r="B165" s="109" t="s">
        <v>1240</v>
      </c>
      <c r="C165" s="163">
        <v>39531</v>
      </c>
      <c r="D165" s="175">
        <v>1336517</v>
      </c>
      <c r="E165" s="462"/>
      <c r="F165" s="67">
        <f t="shared" si="38"/>
        <v>1336517</v>
      </c>
      <c r="G165" s="67">
        <v>1335517</v>
      </c>
      <c r="H165" s="67">
        <f t="shared" si="27"/>
        <v>1000</v>
      </c>
      <c r="I165" s="74">
        <v>5</v>
      </c>
      <c r="J165" s="74">
        <v>0.2</v>
      </c>
      <c r="K165" s="68">
        <v>0</v>
      </c>
      <c r="L165" s="67">
        <f t="shared" si="28"/>
        <v>0</v>
      </c>
      <c r="M165" s="73">
        <f t="shared" si="29"/>
        <v>1335517</v>
      </c>
      <c r="N165" s="73">
        <f t="shared" si="30"/>
        <v>1000</v>
      </c>
      <c r="O165" s="498" t="s">
        <v>1797</v>
      </c>
      <c r="P165" s="111">
        <v>2</v>
      </c>
      <c r="Q165" s="464"/>
      <c r="R165" s="23"/>
      <c r="S165" s="23">
        <f t="shared" si="31"/>
        <v>66825.850000000006</v>
      </c>
      <c r="T165" s="23">
        <f t="shared" si="32"/>
        <v>-65825.850000000006</v>
      </c>
      <c r="U165" s="23">
        <f t="shared" si="37"/>
        <v>0</v>
      </c>
      <c r="V165" s="10">
        <f t="shared" si="33"/>
        <v>267303.40000000002</v>
      </c>
      <c r="W165" s="10">
        <f t="shared" si="39"/>
        <v>0</v>
      </c>
      <c r="X165" s="10">
        <f t="shared" si="35"/>
        <v>0</v>
      </c>
    </row>
    <row r="166" spans="1:24" s="9" customFormat="1" ht="13.5" customHeight="1" x14ac:dyDescent="0.2">
      <c r="A166" s="64">
        <f t="shared" si="36"/>
        <v>162</v>
      </c>
      <c r="B166" s="139" t="s">
        <v>1813</v>
      </c>
      <c r="C166" s="208">
        <v>39538</v>
      </c>
      <c r="D166" s="383">
        <v>101153</v>
      </c>
      <c r="E166" s="512"/>
      <c r="F166" s="73">
        <f t="shared" si="38"/>
        <v>101153</v>
      </c>
      <c r="G166" s="91">
        <v>100153</v>
      </c>
      <c r="H166" s="73">
        <f t="shared" si="27"/>
        <v>1000</v>
      </c>
      <c r="I166" s="74">
        <v>5</v>
      </c>
      <c r="J166" s="74">
        <v>0.2</v>
      </c>
      <c r="K166" s="68">
        <v>0</v>
      </c>
      <c r="L166" s="67">
        <f t="shared" si="28"/>
        <v>0</v>
      </c>
      <c r="M166" s="73">
        <f t="shared" si="29"/>
        <v>100153</v>
      </c>
      <c r="N166" s="73">
        <f t="shared" si="30"/>
        <v>1000</v>
      </c>
      <c r="O166" s="122" t="s">
        <v>1814</v>
      </c>
      <c r="P166" s="122">
        <v>1</v>
      </c>
      <c r="Q166" s="522"/>
      <c r="R166" s="23"/>
      <c r="S166" s="23">
        <f t="shared" si="31"/>
        <v>5057.6500000000005</v>
      </c>
      <c r="T166" s="23">
        <f t="shared" si="32"/>
        <v>-4057.6500000000005</v>
      </c>
      <c r="U166" s="23">
        <f t="shared" si="37"/>
        <v>0</v>
      </c>
      <c r="V166" s="10">
        <f t="shared" si="33"/>
        <v>20230.599999999999</v>
      </c>
      <c r="W166" s="10">
        <f t="shared" si="39"/>
        <v>0</v>
      </c>
      <c r="X166" s="10">
        <f t="shared" si="35"/>
        <v>0</v>
      </c>
    </row>
    <row r="167" spans="1:24" s="9" customFormat="1" ht="13.5" customHeight="1" x14ac:dyDescent="0.2">
      <c r="A167" s="64">
        <f t="shared" si="36"/>
        <v>163</v>
      </c>
      <c r="B167" s="109" t="s">
        <v>1240</v>
      </c>
      <c r="C167" s="163">
        <v>39545</v>
      </c>
      <c r="D167" s="175">
        <v>649040</v>
      </c>
      <c r="E167" s="462"/>
      <c r="F167" s="67">
        <f t="shared" si="38"/>
        <v>649040</v>
      </c>
      <c r="G167" s="67">
        <v>648040</v>
      </c>
      <c r="H167" s="67">
        <f t="shared" si="27"/>
        <v>1000</v>
      </c>
      <c r="I167" s="74">
        <v>5</v>
      </c>
      <c r="J167" s="74">
        <v>0.2</v>
      </c>
      <c r="K167" s="68">
        <v>0</v>
      </c>
      <c r="L167" s="67">
        <f t="shared" si="28"/>
        <v>0</v>
      </c>
      <c r="M167" s="67">
        <f t="shared" si="29"/>
        <v>648040</v>
      </c>
      <c r="N167" s="67">
        <f t="shared" si="30"/>
        <v>1000</v>
      </c>
      <c r="O167" s="498" t="s">
        <v>1797</v>
      </c>
      <c r="P167" s="230">
        <v>1</v>
      </c>
      <c r="Q167" s="464"/>
      <c r="R167" s="23"/>
      <c r="S167" s="23">
        <f t="shared" si="31"/>
        <v>32452</v>
      </c>
      <c r="T167" s="23">
        <f t="shared" si="32"/>
        <v>-31452</v>
      </c>
      <c r="U167" s="23">
        <f t="shared" si="37"/>
        <v>0</v>
      </c>
      <c r="V167" s="10">
        <f t="shared" si="33"/>
        <v>129808</v>
      </c>
      <c r="W167" s="10">
        <f t="shared" si="39"/>
        <v>0</v>
      </c>
      <c r="X167" s="10">
        <f t="shared" si="35"/>
        <v>0</v>
      </c>
    </row>
    <row r="168" spans="1:24" s="9" customFormat="1" ht="13.5" customHeight="1" x14ac:dyDescent="0.2">
      <c r="A168" s="64">
        <f t="shared" si="36"/>
        <v>164</v>
      </c>
      <c r="B168" s="109" t="s">
        <v>1240</v>
      </c>
      <c r="C168" s="163">
        <v>39556</v>
      </c>
      <c r="D168" s="175">
        <v>1972656</v>
      </c>
      <c r="E168" s="462"/>
      <c r="F168" s="67">
        <f t="shared" si="38"/>
        <v>1972656</v>
      </c>
      <c r="G168" s="67">
        <v>1971656</v>
      </c>
      <c r="H168" s="67">
        <f t="shared" si="27"/>
        <v>1000</v>
      </c>
      <c r="I168" s="74">
        <v>5</v>
      </c>
      <c r="J168" s="74">
        <v>0.2</v>
      </c>
      <c r="K168" s="68">
        <v>0</v>
      </c>
      <c r="L168" s="67">
        <f t="shared" si="28"/>
        <v>0</v>
      </c>
      <c r="M168" s="67">
        <f t="shared" si="29"/>
        <v>1971656</v>
      </c>
      <c r="N168" s="67">
        <f t="shared" si="30"/>
        <v>1000</v>
      </c>
      <c r="O168" s="498" t="s">
        <v>1797</v>
      </c>
      <c r="P168" s="111">
        <v>3</v>
      </c>
      <c r="Q168" s="464"/>
      <c r="R168" s="23"/>
      <c r="S168" s="23">
        <f t="shared" si="31"/>
        <v>98632.8</v>
      </c>
      <c r="T168" s="23">
        <f t="shared" si="32"/>
        <v>-97632.8</v>
      </c>
      <c r="U168" s="23">
        <f t="shared" si="37"/>
        <v>0</v>
      </c>
      <c r="V168" s="10">
        <f t="shared" si="33"/>
        <v>394531.2</v>
      </c>
      <c r="W168" s="10">
        <f t="shared" si="39"/>
        <v>0</v>
      </c>
      <c r="X168" s="10">
        <f t="shared" si="35"/>
        <v>0</v>
      </c>
    </row>
    <row r="169" spans="1:24" s="9" customFormat="1" ht="13.5" customHeight="1" x14ac:dyDescent="0.2">
      <c r="A169" s="64">
        <f t="shared" si="36"/>
        <v>165</v>
      </c>
      <c r="B169" s="109" t="s">
        <v>1240</v>
      </c>
      <c r="C169" s="208">
        <v>39559</v>
      </c>
      <c r="D169" s="383">
        <v>2660798</v>
      </c>
      <c r="E169" s="512"/>
      <c r="F169" s="91">
        <f t="shared" si="38"/>
        <v>2660798</v>
      </c>
      <c r="G169" s="91">
        <v>2659798</v>
      </c>
      <c r="H169" s="91">
        <f t="shared" si="27"/>
        <v>1000</v>
      </c>
      <c r="I169" s="74">
        <v>5</v>
      </c>
      <c r="J169" s="74">
        <v>0.2</v>
      </c>
      <c r="K169" s="68">
        <v>0</v>
      </c>
      <c r="L169" s="67">
        <f t="shared" si="28"/>
        <v>0</v>
      </c>
      <c r="M169" s="91">
        <f t="shared" si="29"/>
        <v>2659798</v>
      </c>
      <c r="N169" s="91">
        <f t="shared" si="30"/>
        <v>1000</v>
      </c>
      <c r="O169" s="498" t="s">
        <v>1797</v>
      </c>
      <c r="P169" s="122">
        <v>4</v>
      </c>
      <c r="Q169" s="522"/>
      <c r="R169" s="23"/>
      <c r="S169" s="23">
        <f t="shared" si="31"/>
        <v>133039.9</v>
      </c>
      <c r="T169" s="23">
        <f t="shared" si="32"/>
        <v>-132039.9</v>
      </c>
      <c r="U169" s="23">
        <f t="shared" si="37"/>
        <v>0</v>
      </c>
      <c r="V169" s="10">
        <f t="shared" si="33"/>
        <v>532159.6</v>
      </c>
      <c r="W169" s="10">
        <f t="shared" si="39"/>
        <v>0</v>
      </c>
      <c r="X169" s="10">
        <f t="shared" si="35"/>
        <v>0</v>
      </c>
    </row>
    <row r="170" spans="1:24" s="9" customFormat="1" ht="13.5" customHeight="1" x14ac:dyDescent="0.2">
      <c r="A170" s="64">
        <f t="shared" si="36"/>
        <v>166</v>
      </c>
      <c r="B170" s="108" t="s">
        <v>1240</v>
      </c>
      <c r="C170" s="163">
        <v>39587</v>
      </c>
      <c r="D170" s="175">
        <v>693063</v>
      </c>
      <c r="E170" s="462"/>
      <c r="F170" s="67">
        <f t="shared" si="38"/>
        <v>693063</v>
      </c>
      <c r="G170" s="67">
        <v>692063</v>
      </c>
      <c r="H170" s="67">
        <f t="shared" si="27"/>
        <v>1000</v>
      </c>
      <c r="I170" s="74">
        <v>5</v>
      </c>
      <c r="J170" s="74">
        <v>0.2</v>
      </c>
      <c r="K170" s="68">
        <v>0</v>
      </c>
      <c r="L170" s="67">
        <f t="shared" si="28"/>
        <v>0</v>
      </c>
      <c r="M170" s="67">
        <f t="shared" si="29"/>
        <v>692063</v>
      </c>
      <c r="N170" s="67">
        <f t="shared" si="30"/>
        <v>1000</v>
      </c>
      <c r="O170" s="498" t="s">
        <v>1797</v>
      </c>
      <c r="P170" s="111">
        <v>1</v>
      </c>
      <c r="Q170" s="464"/>
      <c r="R170" s="23"/>
      <c r="S170" s="23">
        <f t="shared" si="31"/>
        <v>34653.15</v>
      </c>
      <c r="T170" s="23">
        <f t="shared" si="32"/>
        <v>-33653.15</v>
      </c>
      <c r="U170" s="23">
        <f t="shared" si="37"/>
        <v>0</v>
      </c>
      <c r="V170" s="10">
        <f t="shared" si="33"/>
        <v>138612.6</v>
      </c>
      <c r="W170" s="10">
        <f t="shared" si="39"/>
        <v>0</v>
      </c>
      <c r="X170" s="10">
        <f t="shared" si="35"/>
        <v>0</v>
      </c>
    </row>
    <row r="171" spans="1:24" s="9" customFormat="1" ht="13.5" customHeight="1" x14ac:dyDescent="0.2">
      <c r="A171" s="64">
        <f t="shared" si="36"/>
        <v>167</v>
      </c>
      <c r="B171" s="109" t="s">
        <v>1240</v>
      </c>
      <c r="C171" s="208">
        <v>39615</v>
      </c>
      <c r="D171" s="383">
        <v>3440045</v>
      </c>
      <c r="E171" s="512"/>
      <c r="F171" s="67">
        <f t="shared" si="38"/>
        <v>3440045</v>
      </c>
      <c r="G171" s="91">
        <v>3439045</v>
      </c>
      <c r="H171" s="67">
        <f t="shared" si="27"/>
        <v>1000</v>
      </c>
      <c r="I171" s="74">
        <v>5</v>
      </c>
      <c r="J171" s="74">
        <v>0.2</v>
      </c>
      <c r="K171" s="68">
        <v>0</v>
      </c>
      <c r="L171" s="67">
        <f t="shared" si="28"/>
        <v>0</v>
      </c>
      <c r="M171" s="91">
        <f t="shared" si="29"/>
        <v>3439045</v>
      </c>
      <c r="N171" s="91">
        <f t="shared" si="30"/>
        <v>1000</v>
      </c>
      <c r="O171" s="564" t="s">
        <v>1797</v>
      </c>
      <c r="P171" s="122">
        <v>5</v>
      </c>
      <c r="Q171" s="522"/>
      <c r="R171" s="23"/>
      <c r="S171" s="23">
        <f t="shared" si="31"/>
        <v>172002.25</v>
      </c>
      <c r="T171" s="23">
        <f t="shared" si="32"/>
        <v>-171002.25</v>
      </c>
      <c r="U171" s="23">
        <f t="shared" si="37"/>
        <v>0</v>
      </c>
      <c r="V171" s="10">
        <f t="shared" si="33"/>
        <v>688009</v>
      </c>
      <c r="W171" s="10">
        <f t="shared" si="39"/>
        <v>0</v>
      </c>
      <c r="X171" s="10">
        <f t="shared" si="35"/>
        <v>0</v>
      </c>
    </row>
    <row r="172" spans="1:24" s="9" customFormat="1" ht="13.5" customHeight="1" x14ac:dyDescent="0.2">
      <c r="A172" s="64">
        <f t="shared" si="36"/>
        <v>168</v>
      </c>
      <c r="B172" s="109" t="s">
        <v>1240</v>
      </c>
      <c r="C172" s="163">
        <v>39930</v>
      </c>
      <c r="D172" s="175">
        <v>4854270</v>
      </c>
      <c r="E172" s="462"/>
      <c r="F172" s="67">
        <f t="shared" si="38"/>
        <v>4854270</v>
      </c>
      <c r="G172" s="67">
        <v>4853270</v>
      </c>
      <c r="H172" s="67">
        <f t="shared" si="27"/>
        <v>1000</v>
      </c>
      <c r="I172" s="74">
        <v>5</v>
      </c>
      <c r="J172" s="74">
        <v>0.2</v>
      </c>
      <c r="K172" s="68">
        <v>0</v>
      </c>
      <c r="L172" s="67">
        <f t="shared" si="28"/>
        <v>0</v>
      </c>
      <c r="M172" s="67">
        <f t="shared" si="29"/>
        <v>4853270</v>
      </c>
      <c r="N172" s="67">
        <f t="shared" si="30"/>
        <v>1000</v>
      </c>
      <c r="O172" s="564" t="s">
        <v>1797</v>
      </c>
      <c r="P172" s="230">
        <v>6</v>
      </c>
      <c r="Q172" s="464"/>
      <c r="R172" s="23"/>
      <c r="S172" s="23">
        <f t="shared" si="31"/>
        <v>242713.5</v>
      </c>
      <c r="T172" s="23">
        <f t="shared" si="32"/>
        <v>-241713.5</v>
      </c>
      <c r="U172" s="23">
        <f t="shared" si="37"/>
        <v>0</v>
      </c>
      <c r="V172" s="10">
        <f t="shared" si="33"/>
        <v>970854</v>
      </c>
      <c r="W172" s="10">
        <f t="shared" si="39"/>
        <v>0</v>
      </c>
      <c r="X172" s="10">
        <f t="shared" si="35"/>
        <v>0</v>
      </c>
    </row>
    <row r="173" spans="1:24" s="9" customFormat="1" ht="13.5" customHeight="1" x14ac:dyDescent="0.2">
      <c r="A173" s="64">
        <f t="shared" si="36"/>
        <v>169</v>
      </c>
      <c r="B173" s="109" t="s">
        <v>1815</v>
      </c>
      <c r="C173" s="163">
        <v>39933</v>
      </c>
      <c r="D173" s="175">
        <v>3400000</v>
      </c>
      <c r="E173" s="462"/>
      <c r="F173" s="67">
        <f t="shared" si="38"/>
        <v>3400000</v>
      </c>
      <c r="G173" s="67">
        <v>3399000</v>
      </c>
      <c r="H173" s="67">
        <f t="shared" si="27"/>
        <v>1000</v>
      </c>
      <c r="I173" s="74">
        <v>5</v>
      </c>
      <c r="J173" s="74">
        <v>0.2</v>
      </c>
      <c r="K173" s="68">
        <v>0</v>
      </c>
      <c r="L173" s="67">
        <f t="shared" si="28"/>
        <v>0</v>
      </c>
      <c r="M173" s="67">
        <f t="shared" si="29"/>
        <v>3399000</v>
      </c>
      <c r="N173" s="67">
        <f t="shared" si="30"/>
        <v>1000</v>
      </c>
      <c r="O173" s="565" t="s">
        <v>819</v>
      </c>
      <c r="P173" s="230">
        <v>3</v>
      </c>
      <c r="Q173" s="464"/>
      <c r="R173" s="23"/>
      <c r="S173" s="23">
        <f t="shared" si="31"/>
        <v>170000</v>
      </c>
      <c r="T173" s="23">
        <f t="shared" si="32"/>
        <v>-169000</v>
      </c>
      <c r="U173" s="23">
        <f t="shared" si="37"/>
        <v>0</v>
      </c>
      <c r="V173" s="10">
        <f t="shared" si="33"/>
        <v>680000</v>
      </c>
      <c r="W173" s="10">
        <f t="shared" si="39"/>
        <v>0</v>
      </c>
      <c r="X173" s="10">
        <f t="shared" si="35"/>
        <v>0</v>
      </c>
    </row>
    <row r="174" spans="1:24" s="9" customFormat="1" ht="13.5" customHeight="1" x14ac:dyDescent="0.2">
      <c r="A174" s="64">
        <f t="shared" si="36"/>
        <v>170</v>
      </c>
      <c r="B174" s="109" t="s">
        <v>1816</v>
      </c>
      <c r="C174" s="163">
        <v>39933</v>
      </c>
      <c r="D174" s="175">
        <v>4000000</v>
      </c>
      <c r="E174" s="462"/>
      <c r="F174" s="67">
        <f t="shared" si="38"/>
        <v>4000000</v>
      </c>
      <c r="G174" s="67">
        <v>3999000</v>
      </c>
      <c r="H174" s="67">
        <f t="shared" si="27"/>
        <v>1000</v>
      </c>
      <c r="I174" s="74">
        <v>5</v>
      </c>
      <c r="J174" s="74">
        <v>0.2</v>
      </c>
      <c r="K174" s="68">
        <v>0</v>
      </c>
      <c r="L174" s="67">
        <f t="shared" si="28"/>
        <v>0</v>
      </c>
      <c r="M174" s="67">
        <f t="shared" si="29"/>
        <v>3999000</v>
      </c>
      <c r="N174" s="67">
        <f t="shared" si="30"/>
        <v>1000</v>
      </c>
      <c r="O174" s="565" t="s">
        <v>221</v>
      </c>
      <c r="P174" s="230">
        <v>1</v>
      </c>
      <c r="Q174" s="464"/>
      <c r="R174" s="23"/>
      <c r="S174" s="23">
        <f t="shared" si="31"/>
        <v>200000</v>
      </c>
      <c r="T174" s="23">
        <f t="shared" si="32"/>
        <v>-199000</v>
      </c>
      <c r="U174" s="23">
        <f t="shared" si="37"/>
        <v>0</v>
      </c>
      <c r="V174" s="10">
        <f t="shared" si="33"/>
        <v>800000</v>
      </c>
      <c r="W174" s="10">
        <f t="shared" si="39"/>
        <v>0</v>
      </c>
      <c r="X174" s="10">
        <f t="shared" si="35"/>
        <v>0</v>
      </c>
    </row>
    <row r="175" spans="1:24" s="9" customFormat="1" ht="13.5" customHeight="1" x14ac:dyDescent="0.2">
      <c r="A175" s="64">
        <f t="shared" si="36"/>
        <v>171</v>
      </c>
      <c r="B175" s="109" t="s">
        <v>1240</v>
      </c>
      <c r="C175" s="163">
        <v>39951</v>
      </c>
      <c r="D175" s="175">
        <v>760805</v>
      </c>
      <c r="E175" s="462"/>
      <c r="F175" s="67">
        <f t="shared" si="38"/>
        <v>760805</v>
      </c>
      <c r="G175" s="67">
        <v>759805</v>
      </c>
      <c r="H175" s="67">
        <f t="shared" si="27"/>
        <v>1000</v>
      </c>
      <c r="I175" s="74">
        <v>5</v>
      </c>
      <c r="J175" s="74">
        <v>0.2</v>
      </c>
      <c r="K175" s="68">
        <v>0</v>
      </c>
      <c r="L175" s="67">
        <f t="shared" si="28"/>
        <v>0</v>
      </c>
      <c r="M175" s="67">
        <f t="shared" si="29"/>
        <v>759805</v>
      </c>
      <c r="N175" s="67">
        <f t="shared" si="30"/>
        <v>1000</v>
      </c>
      <c r="O175" s="564" t="s">
        <v>1797</v>
      </c>
      <c r="P175" s="230">
        <v>1</v>
      </c>
      <c r="Q175" s="464"/>
      <c r="R175" s="23"/>
      <c r="S175" s="23">
        <f t="shared" si="31"/>
        <v>38040.25</v>
      </c>
      <c r="T175" s="23">
        <f t="shared" si="32"/>
        <v>-37040.25</v>
      </c>
      <c r="U175" s="23">
        <f t="shared" si="37"/>
        <v>0</v>
      </c>
      <c r="V175" s="10">
        <f t="shared" si="33"/>
        <v>152161</v>
      </c>
      <c r="W175" s="10">
        <f t="shared" si="39"/>
        <v>0</v>
      </c>
      <c r="X175" s="10">
        <f t="shared" si="35"/>
        <v>0</v>
      </c>
    </row>
    <row r="176" spans="1:24" s="9" customFormat="1" ht="13.5" customHeight="1" x14ac:dyDescent="0.2">
      <c r="A176" s="64">
        <f t="shared" si="36"/>
        <v>172</v>
      </c>
      <c r="B176" s="108" t="s">
        <v>1240</v>
      </c>
      <c r="C176" s="208">
        <v>39972</v>
      </c>
      <c r="D176" s="383">
        <v>2252928</v>
      </c>
      <c r="E176" s="512"/>
      <c r="F176" s="73">
        <f t="shared" si="38"/>
        <v>2252928</v>
      </c>
      <c r="G176" s="91">
        <v>2251928</v>
      </c>
      <c r="H176" s="73">
        <f t="shared" si="27"/>
        <v>1000</v>
      </c>
      <c r="I176" s="74">
        <v>5</v>
      </c>
      <c r="J176" s="74">
        <v>0.2</v>
      </c>
      <c r="K176" s="68">
        <v>0</v>
      </c>
      <c r="L176" s="67">
        <f t="shared" si="28"/>
        <v>0</v>
      </c>
      <c r="M176" s="73">
        <f t="shared" si="29"/>
        <v>2251928</v>
      </c>
      <c r="N176" s="73">
        <f t="shared" si="30"/>
        <v>1000</v>
      </c>
      <c r="O176" s="564" t="s">
        <v>1797</v>
      </c>
      <c r="P176" s="122">
        <v>3</v>
      </c>
      <c r="Q176" s="522"/>
      <c r="R176" s="23"/>
      <c r="S176" s="23">
        <f t="shared" si="31"/>
        <v>112646.40000000001</v>
      </c>
      <c r="T176" s="23">
        <f t="shared" si="32"/>
        <v>-111646.40000000001</v>
      </c>
      <c r="U176" s="23">
        <f t="shared" si="37"/>
        <v>0</v>
      </c>
      <c r="V176" s="10">
        <f t="shared" si="33"/>
        <v>450585.59999999998</v>
      </c>
      <c r="W176" s="10">
        <f t="shared" si="39"/>
        <v>0</v>
      </c>
      <c r="X176" s="10">
        <f t="shared" si="35"/>
        <v>0</v>
      </c>
    </row>
    <row r="177" spans="1:24" s="9" customFormat="1" ht="13.5" customHeight="1" x14ac:dyDescent="0.2">
      <c r="A177" s="64">
        <f t="shared" si="36"/>
        <v>173</v>
      </c>
      <c r="B177" s="108" t="s">
        <v>1240</v>
      </c>
      <c r="C177" s="163">
        <v>40021</v>
      </c>
      <c r="D177" s="175">
        <v>1504485</v>
      </c>
      <c r="E177" s="462"/>
      <c r="F177" s="67">
        <f t="shared" si="38"/>
        <v>1504485</v>
      </c>
      <c r="G177" s="67">
        <v>1503485</v>
      </c>
      <c r="H177" s="67">
        <f t="shared" si="27"/>
        <v>1000</v>
      </c>
      <c r="I177" s="74">
        <v>5</v>
      </c>
      <c r="J177" s="74">
        <v>0.2</v>
      </c>
      <c r="K177" s="68">
        <v>0</v>
      </c>
      <c r="L177" s="67">
        <f t="shared" si="28"/>
        <v>0</v>
      </c>
      <c r="M177" s="67">
        <f t="shared" si="29"/>
        <v>1503485</v>
      </c>
      <c r="N177" s="67">
        <f t="shared" si="30"/>
        <v>1000</v>
      </c>
      <c r="O177" s="564" t="s">
        <v>1797</v>
      </c>
      <c r="P177" s="111">
        <v>2</v>
      </c>
      <c r="Q177" s="464"/>
      <c r="R177" s="23"/>
      <c r="S177" s="23">
        <f t="shared" si="31"/>
        <v>75224.25</v>
      </c>
      <c r="T177" s="23">
        <f t="shared" si="32"/>
        <v>-74224.25</v>
      </c>
      <c r="U177" s="23">
        <f t="shared" si="37"/>
        <v>0</v>
      </c>
      <c r="V177" s="10">
        <f t="shared" si="33"/>
        <v>300897</v>
      </c>
      <c r="W177" s="10">
        <f t="shared" si="39"/>
        <v>0</v>
      </c>
      <c r="X177" s="10">
        <f t="shared" si="35"/>
        <v>0</v>
      </c>
    </row>
    <row r="178" spans="1:24" s="9" customFormat="1" ht="13.5" customHeight="1" x14ac:dyDescent="0.2">
      <c r="A178" s="64">
        <f t="shared" si="36"/>
        <v>174</v>
      </c>
      <c r="B178" s="109" t="s">
        <v>1815</v>
      </c>
      <c r="C178" s="163">
        <v>40025</v>
      </c>
      <c r="D178" s="175">
        <v>7950000</v>
      </c>
      <c r="E178" s="462"/>
      <c r="F178" s="67">
        <f t="shared" si="38"/>
        <v>7950000</v>
      </c>
      <c r="G178" s="67">
        <v>7949000</v>
      </c>
      <c r="H178" s="67">
        <f t="shared" si="27"/>
        <v>1000</v>
      </c>
      <c r="I178" s="68">
        <v>5</v>
      </c>
      <c r="J178" s="68">
        <v>0.2</v>
      </c>
      <c r="K178" s="68">
        <v>0</v>
      </c>
      <c r="L178" s="67">
        <f t="shared" si="28"/>
        <v>0</v>
      </c>
      <c r="M178" s="67">
        <f t="shared" si="29"/>
        <v>7949000</v>
      </c>
      <c r="N178" s="67">
        <f t="shared" si="30"/>
        <v>1000</v>
      </c>
      <c r="O178" s="498" t="s">
        <v>819</v>
      </c>
      <c r="P178" s="111">
        <v>6</v>
      </c>
      <c r="Q178" s="464"/>
      <c r="R178" s="23"/>
      <c r="S178" s="23">
        <f t="shared" si="31"/>
        <v>397500</v>
      </c>
      <c r="T178" s="23">
        <f t="shared" si="32"/>
        <v>-396500</v>
      </c>
      <c r="U178" s="23">
        <f t="shared" si="37"/>
        <v>0</v>
      </c>
      <c r="V178" s="10">
        <f t="shared" si="33"/>
        <v>1590000</v>
      </c>
      <c r="W178" s="10">
        <f t="shared" si="39"/>
        <v>0</v>
      </c>
      <c r="X178" s="10">
        <f t="shared" si="35"/>
        <v>0</v>
      </c>
    </row>
    <row r="179" spans="1:24" s="9" customFormat="1" ht="13.5" customHeight="1" x14ac:dyDescent="0.2">
      <c r="A179" s="64">
        <f t="shared" si="36"/>
        <v>175</v>
      </c>
      <c r="B179" s="109" t="s">
        <v>1240</v>
      </c>
      <c r="C179" s="163">
        <v>40036</v>
      </c>
      <c r="D179" s="175">
        <v>737831</v>
      </c>
      <c r="E179" s="462"/>
      <c r="F179" s="67">
        <f t="shared" si="38"/>
        <v>737831</v>
      </c>
      <c r="G179" s="67">
        <v>736831</v>
      </c>
      <c r="H179" s="67">
        <f t="shared" si="27"/>
        <v>1000</v>
      </c>
      <c r="I179" s="68">
        <v>5</v>
      </c>
      <c r="J179" s="68">
        <v>0.2</v>
      </c>
      <c r="K179" s="68">
        <v>0</v>
      </c>
      <c r="L179" s="67">
        <f t="shared" si="28"/>
        <v>0</v>
      </c>
      <c r="M179" s="67">
        <f t="shared" si="29"/>
        <v>736831</v>
      </c>
      <c r="N179" s="67">
        <f t="shared" si="30"/>
        <v>1000</v>
      </c>
      <c r="O179" s="498" t="s">
        <v>1797</v>
      </c>
      <c r="P179" s="111">
        <v>1</v>
      </c>
      <c r="Q179" s="464"/>
      <c r="R179" s="23"/>
      <c r="S179" s="23">
        <f t="shared" si="31"/>
        <v>36891.550000000003</v>
      </c>
      <c r="T179" s="23">
        <f t="shared" si="32"/>
        <v>-35891.550000000003</v>
      </c>
      <c r="U179" s="23">
        <f t="shared" si="37"/>
        <v>0</v>
      </c>
      <c r="V179" s="10">
        <f t="shared" si="33"/>
        <v>147566.20000000001</v>
      </c>
      <c r="W179" s="10">
        <f t="shared" si="39"/>
        <v>0</v>
      </c>
      <c r="X179" s="10">
        <f t="shared" si="35"/>
        <v>0</v>
      </c>
    </row>
    <row r="180" spans="1:24" s="9" customFormat="1" ht="13.5" customHeight="1" x14ac:dyDescent="0.2">
      <c r="A180" s="64">
        <f t="shared" si="36"/>
        <v>176</v>
      </c>
      <c r="B180" s="566" t="s">
        <v>1817</v>
      </c>
      <c r="C180" s="163">
        <v>40112</v>
      </c>
      <c r="D180" s="175">
        <v>4000000</v>
      </c>
      <c r="E180" s="462"/>
      <c r="F180" s="67">
        <f t="shared" si="38"/>
        <v>4000000</v>
      </c>
      <c r="G180" s="67">
        <v>3999000</v>
      </c>
      <c r="H180" s="67">
        <f t="shared" si="27"/>
        <v>1000</v>
      </c>
      <c r="I180" s="68">
        <v>5</v>
      </c>
      <c r="J180" s="68">
        <v>0.2</v>
      </c>
      <c r="K180" s="68">
        <v>0</v>
      </c>
      <c r="L180" s="67">
        <f t="shared" si="28"/>
        <v>0</v>
      </c>
      <c r="M180" s="67">
        <f t="shared" si="29"/>
        <v>3999000</v>
      </c>
      <c r="N180" s="67">
        <f t="shared" si="30"/>
        <v>1000</v>
      </c>
      <c r="O180" s="498" t="s">
        <v>1818</v>
      </c>
      <c r="P180" s="111">
        <v>1</v>
      </c>
      <c r="Q180" s="464"/>
      <c r="R180" s="23"/>
      <c r="S180" s="23">
        <f t="shared" si="31"/>
        <v>200000</v>
      </c>
      <c r="T180" s="23">
        <f t="shared" si="32"/>
        <v>-199000</v>
      </c>
      <c r="U180" s="23">
        <f t="shared" si="37"/>
        <v>0</v>
      </c>
      <c r="V180" s="10">
        <f t="shared" si="33"/>
        <v>800000</v>
      </c>
      <c r="W180" s="10">
        <f t="shared" si="39"/>
        <v>0</v>
      </c>
      <c r="X180" s="10">
        <f t="shared" si="35"/>
        <v>0</v>
      </c>
    </row>
    <row r="181" spans="1:24" s="9" customFormat="1" ht="13.5" customHeight="1" x14ac:dyDescent="0.2">
      <c r="A181" s="64">
        <f t="shared" si="36"/>
        <v>177</v>
      </c>
      <c r="B181" s="108" t="s">
        <v>1240</v>
      </c>
      <c r="C181" s="163">
        <v>40185</v>
      </c>
      <c r="D181" s="175">
        <v>682920</v>
      </c>
      <c r="E181" s="462"/>
      <c r="F181" s="67">
        <f t="shared" si="38"/>
        <v>682920</v>
      </c>
      <c r="G181" s="67">
        <v>681920</v>
      </c>
      <c r="H181" s="67">
        <f t="shared" si="27"/>
        <v>1000</v>
      </c>
      <c r="I181" s="68">
        <v>5</v>
      </c>
      <c r="J181" s="68">
        <v>0.2</v>
      </c>
      <c r="K181" s="68">
        <v>0</v>
      </c>
      <c r="L181" s="67">
        <f t="shared" si="28"/>
        <v>0</v>
      </c>
      <c r="M181" s="67">
        <f t="shared" si="29"/>
        <v>681920</v>
      </c>
      <c r="N181" s="67">
        <f t="shared" si="30"/>
        <v>1000</v>
      </c>
      <c r="O181" s="498" t="s">
        <v>1797</v>
      </c>
      <c r="P181" s="111">
        <v>1</v>
      </c>
      <c r="Q181" s="464"/>
      <c r="R181" s="23"/>
      <c r="S181" s="23">
        <f t="shared" si="31"/>
        <v>34146</v>
      </c>
      <c r="T181" s="23">
        <f t="shared" si="32"/>
        <v>-33146</v>
      </c>
      <c r="U181" s="23">
        <f t="shared" si="37"/>
        <v>0</v>
      </c>
      <c r="V181" s="10">
        <f t="shared" si="33"/>
        <v>136584</v>
      </c>
      <c r="W181" s="10">
        <f t="shared" si="39"/>
        <v>0</v>
      </c>
      <c r="X181" s="10">
        <f t="shared" si="35"/>
        <v>0</v>
      </c>
    </row>
    <row r="182" spans="1:24" s="9" customFormat="1" ht="13.5" customHeight="1" x14ac:dyDescent="0.2">
      <c r="A182" s="64">
        <f t="shared" si="36"/>
        <v>178</v>
      </c>
      <c r="B182" s="108" t="s">
        <v>1240</v>
      </c>
      <c r="C182" s="163">
        <v>40228</v>
      </c>
      <c r="D182" s="175">
        <v>1294380</v>
      </c>
      <c r="E182" s="462"/>
      <c r="F182" s="67">
        <f t="shared" si="38"/>
        <v>1294380</v>
      </c>
      <c r="G182" s="67">
        <v>1293380</v>
      </c>
      <c r="H182" s="67">
        <f t="shared" si="27"/>
        <v>1000</v>
      </c>
      <c r="I182" s="68">
        <v>5</v>
      </c>
      <c r="J182" s="68">
        <v>0.2</v>
      </c>
      <c r="K182" s="68">
        <v>0</v>
      </c>
      <c r="L182" s="67">
        <f t="shared" si="28"/>
        <v>0</v>
      </c>
      <c r="M182" s="67">
        <f t="shared" si="29"/>
        <v>1293380</v>
      </c>
      <c r="N182" s="67">
        <f t="shared" si="30"/>
        <v>1000</v>
      </c>
      <c r="O182" s="498" t="s">
        <v>1797</v>
      </c>
      <c r="P182" s="111">
        <v>2</v>
      </c>
      <c r="Q182" s="464"/>
      <c r="R182" s="23"/>
      <c r="S182" s="23">
        <f t="shared" si="31"/>
        <v>64719</v>
      </c>
      <c r="T182" s="23">
        <f t="shared" si="32"/>
        <v>-63719</v>
      </c>
      <c r="U182" s="23">
        <f t="shared" si="37"/>
        <v>0</v>
      </c>
      <c r="V182" s="10">
        <f t="shared" si="33"/>
        <v>258876</v>
      </c>
      <c r="W182" s="10">
        <f t="shared" ref="W182:W194" si="40">ROUND(IF(H182&lt;=1000,0,V182/12*3),0)</f>
        <v>0</v>
      </c>
      <c r="X182" s="10">
        <f t="shared" si="35"/>
        <v>0</v>
      </c>
    </row>
    <row r="183" spans="1:24" s="9" customFormat="1" ht="13.5" customHeight="1" x14ac:dyDescent="0.2">
      <c r="A183" s="64">
        <f t="shared" si="36"/>
        <v>179</v>
      </c>
      <c r="B183" s="108" t="s">
        <v>1240</v>
      </c>
      <c r="C183" s="163">
        <v>40262</v>
      </c>
      <c r="D183" s="175">
        <v>640422</v>
      </c>
      <c r="E183" s="462"/>
      <c r="F183" s="67">
        <f t="shared" si="38"/>
        <v>640422</v>
      </c>
      <c r="G183" s="67">
        <v>639422</v>
      </c>
      <c r="H183" s="67">
        <f t="shared" si="27"/>
        <v>1000</v>
      </c>
      <c r="I183" s="68">
        <v>5</v>
      </c>
      <c r="J183" s="68">
        <v>0.2</v>
      </c>
      <c r="K183" s="68">
        <v>0</v>
      </c>
      <c r="L183" s="67">
        <f t="shared" si="28"/>
        <v>0</v>
      </c>
      <c r="M183" s="67">
        <f t="shared" si="29"/>
        <v>639422</v>
      </c>
      <c r="N183" s="67">
        <f t="shared" si="30"/>
        <v>1000</v>
      </c>
      <c r="O183" s="498" t="s">
        <v>1797</v>
      </c>
      <c r="P183" s="111">
        <v>1</v>
      </c>
      <c r="Q183" s="464"/>
      <c r="R183" s="23"/>
      <c r="S183" s="23">
        <f t="shared" si="31"/>
        <v>32021.100000000002</v>
      </c>
      <c r="T183" s="23">
        <f t="shared" si="32"/>
        <v>-31021.100000000002</v>
      </c>
      <c r="U183" s="23">
        <f t="shared" si="37"/>
        <v>0</v>
      </c>
      <c r="V183" s="10">
        <f t="shared" si="33"/>
        <v>128084.4</v>
      </c>
      <c r="W183" s="10">
        <f t="shared" si="40"/>
        <v>0</v>
      </c>
      <c r="X183" s="10">
        <f t="shared" si="35"/>
        <v>0</v>
      </c>
    </row>
    <row r="184" spans="1:24" s="9" customFormat="1" ht="13.5" customHeight="1" x14ac:dyDescent="0.2">
      <c r="A184" s="64">
        <f t="shared" si="36"/>
        <v>180</v>
      </c>
      <c r="B184" s="108" t="s">
        <v>1240</v>
      </c>
      <c r="C184" s="163">
        <v>40267</v>
      </c>
      <c r="D184" s="175">
        <v>3853022</v>
      </c>
      <c r="E184" s="462"/>
      <c r="F184" s="67">
        <f t="shared" si="38"/>
        <v>3853022</v>
      </c>
      <c r="G184" s="67">
        <v>3852022</v>
      </c>
      <c r="H184" s="67">
        <f t="shared" si="27"/>
        <v>1000</v>
      </c>
      <c r="I184" s="68">
        <v>5</v>
      </c>
      <c r="J184" s="68">
        <v>0.2</v>
      </c>
      <c r="K184" s="68">
        <v>0</v>
      </c>
      <c r="L184" s="67">
        <f t="shared" si="28"/>
        <v>0</v>
      </c>
      <c r="M184" s="67">
        <f t="shared" si="29"/>
        <v>3852022</v>
      </c>
      <c r="N184" s="67">
        <f t="shared" si="30"/>
        <v>1000</v>
      </c>
      <c r="O184" s="498" t="s">
        <v>1797</v>
      </c>
      <c r="P184" s="111">
        <v>6</v>
      </c>
      <c r="Q184" s="464"/>
      <c r="R184" s="23"/>
      <c r="S184" s="23">
        <f t="shared" si="31"/>
        <v>192651.1</v>
      </c>
      <c r="T184" s="23">
        <f t="shared" si="32"/>
        <v>-191651.1</v>
      </c>
      <c r="U184" s="23">
        <f t="shared" si="37"/>
        <v>0</v>
      </c>
      <c r="V184" s="10">
        <f t="shared" si="33"/>
        <v>770604.4</v>
      </c>
      <c r="W184" s="10">
        <f t="shared" si="40"/>
        <v>0</v>
      </c>
      <c r="X184" s="10">
        <f t="shared" si="35"/>
        <v>0</v>
      </c>
    </row>
    <row r="185" spans="1:24" s="9" customFormat="1" ht="13.5" customHeight="1" x14ac:dyDescent="0.2">
      <c r="A185" s="64">
        <f t="shared" si="36"/>
        <v>181</v>
      </c>
      <c r="B185" s="108" t="s">
        <v>1240</v>
      </c>
      <c r="C185" s="163">
        <v>40268</v>
      </c>
      <c r="D185" s="175">
        <v>637771</v>
      </c>
      <c r="E185" s="462"/>
      <c r="F185" s="67">
        <f t="shared" si="38"/>
        <v>637771</v>
      </c>
      <c r="G185" s="67">
        <v>636771</v>
      </c>
      <c r="H185" s="67">
        <f t="shared" si="27"/>
        <v>1000</v>
      </c>
      <c r="I185" s="68">
        <v>5</v>
      </c>
      <c r="J185" s="68">
        <v>0.2</v>
      </c>
      <c r="K185" s="68">
        <v>0</v>
      </c>
      <c r="L185" s="67">
        <f t="shared" si="28"/>
        <v>0</v>
      </c>
      <c r="M185" s="67">
        <f t="shared" si="29"/>
        <v>636771</v>
      </c>
      <c r="N185" s="67">
        <f t="shared" si="30"/>
        <v>1000</v>
      </c>
      <c r="O185" s="498" t="s">
        <v>1797</v>
      </c>
      <c r="P185" s="111">
        <v>1</v>
      </c>
      <c r="Q185" s="464"/>
      <c r="R185" s="23"/>
      <c r="S185" s="23">
        <f t="shared" si="31"/>
        <v>31888.550000000003</v>
      </c>
      <c r="T185" s="23">
        <f t="shared" si="32"/>
        <v>-30888.550000000003</v>
      </c>
      <c r="U185" s="23">
        <f t="shared" si="37"/>
        <v>0</v>
      </c>
      <c r="V185" s="10">
        <f t="shared" si="33"/>
        <v>127554.2</v>
      </c>
      <c r="W185" s="10">
        <f t="shared" si="40"/>
        <v>0</v>
      </c>
      <c r="X185" s="10">
        <f t="shared" si="35"/>
        <v>0</v>
      </c>
    </row>
    <row r="186" spans="1:24" s="9" customFormat="1" ht="13.5" customHeight="1" x14ac:dyDescent="0.2">
      <c r="A186" s="64">
        <f t="shared" si="36"/>
        <v>182</v>
      </c>
      <c r="B186" s="109" t="s">
        <v>1240</v>
      </c>
      <c r="C186" s="163">
        <v>40358</v>
      </c>
      <c r="D186" s="175">
        <v>1600000</v>
      </c>
      <c r="E186" s="462"/>
      <c r="F186" s="67">
        <f t="shared" si="38"/>
        <v>1600000</v>
      </c>
      <c r="G186" s="67">
        <v>1599000</v>
      </c>
      <c r="H186" s="67">
        <f t="shared" si="27"/>
        <v>1000</v>
      </c>
      <c r="I186" s="68">
        <v>5</v>
      </c>
      <c r="J186" s="68">
        <v>0.2</v>
      </c>
      <c r="K186" s="68">
        <v>0</v>
      </c>
      <c r="L186" s="67">
        <f t="shared" si="28"/>
        <v>0</v>
      </c>
      <c r="M186" s="67">
        <f t="shared" si="29"/>
        <v>1599000</v>
      </c>
      <c r="N186" s="67">
        <f t="shared" si="30"/>
        <v>1000</v>
      </c>
      <c r="O186" s="498" t="s">
        <v>221</v>
      </c>
      <c r="P186" s="111">
        <v>1</v>
      </c>
      <c r="Q186" s="464"/>
      <c r="R186" s="23"/>
      <c r="S186" s="23">
        <f t="shared" si="31"/>
        <v>80000</v>
      </c>
      <c r="T186" s="23">
        <f t="shared" si="32"/>
        <v>-79000</v>
      </c>
      <c r="U186" s="23">
        <f t="shared" si="37"/>
        <v>0</v>
      </c>
      <c r="V186" s="10">
        <f t="shared" si="33"/>
        <v>320000</v>
      </c>
      <c r="W186" s="10">
        <f t="shared" si="40"/>
        <v>0</v>
      </c>
      <c r="X186" s="10">
        <f t="shared" si="35"/>
        <v>0</v>
      </c>
    </row>
    <row r="187" spans="1:24" s="9" customFormat="1" ht="13.5" customHeight="1" x14ac:dyDescent="0.2">
      <c r="A187" s="64">
        <f t="shared" si="36"/>
        <v>183</v>
      </c>
      <c r="B187" s="566" t="s">
        <v>1819</v>
      </c>
      <c r="C187" s="163">
        <v>40422</v>
      </c>
      <c r="D187" s="175">
        <v>5200000</v>
      </c>
      <c r="E187" s="27"/>
      <c r="F187" s="67">
        <f t="shared" si="38"/>
        <v>5200000</v>
      </c>
      <c r="G187" s="67">
        <v>5199000</v>
      </c>
      <c r="H187" s="67">
        <f t="shared" si="27"/>
        <v>1000</v>
      </c>
      <c r="I187" s="68">
        <v>5</v>
      </c>
      <c r="J187" s="68">
        <v>0.2</v>
      </c>
      <c r="K187" s="68">
        <v>0</v>
      </c>
      <c r="L187" s="67">
        <f t="shared" si="28"/>
        <v>0</v>
      </c>
      <c r="M187" s="67">
        <f t="shared" si="29"/>
        <v>5199000</v>
      </c>
      <c r="N187" s="67">
        <f t="shared" si="30"/>
        <v>1000</v>
      </c>
      <c r="O187" s="498" t="s">
        <v>221</v>
      </c>
      <c r="P187" s="111">
        <v>1</v>
      </c>
      <c r="Q187" s="464"/>
      <c r="R187" s="23"/>
      <c r="S187" s="23">
        <f t="shared" si="31"/>
        <v>260000</v>
      </c>
      <c r="T187" s="23">
        <f t="shared" si="32"/>
        <v>-259000</v>
      </c>
      <c r="U187" s="23">
        <f t="shared" si="37"/>
        <v>0</v>
      </c>
      <c r="V187" s="10">
        <f t="shared" si="33"/>
        <v>1040000</v>
      </c>
      <c r="W187" s="10">
        <f t="shared" si="40"/>
        <v>0</v>
      </c>
      <c r="X187" s="10">
        <f t="shared" si="35"/>
        <v>0</v>
      </c>
    </row>
    <row r="188" spans="1:24" s="9" customFormat="1" ht="13.5" customHeight="1" x14ac:dyDescent="0.2">
      <c r="A188" s="64">
        <f t="shared" si="36"/>
        <v>184</v>
      </c>
      <c r="B188" s="566" t="s">
        <v>1820</v>
      </c>
      <c r="C188" s="163">
        <v>40498</v>
      </c>
      <c r="D188" s="175">
        <v>12300000</v>
      </c>
      <c r="E188" s="27"/>
      <c r="F188" s="67">
        <f t="shared" si="38"/>
        <v>12300000</v>
      </c>
      <c r="G188" s="67">
        <v>12299000</v>
      </c>
      <c r="H188" s="67">
        <f t="shared" si="27"/>
        <v>1000</v>
      </c>
      <c r="I188" s="68">
        <v>5</v>
      </c>
      <c r="J188" s="68">
        <v>0.2</v>
      </c>
      <c r="K188" s="68">
        <v>0</v>
      </c>
      <c r="L188" s="67">
        <f t="shared" si="28"/>
        <v>0</v>
      </c>
      <c r="M188" s="67">
        <f t="shared" si="29"/>
        <v>12299000</v>
      </c>
      <c r="N188" s="67">
        <f t="shared" si="30"/>
        <v>1000</v>
      </c>
      <c r="O188" s="498" t="s">
        <v>1821</v>
      </c>
      <c r="P188" s="111">
        <v>3</v>
      </c>
      <c r="Q188" s="464"/>
      <c r="R188" s="23"/>
      <c r="S188" s="23">
        <f t="shared" si="31"/>
        <v>615000</v>
      </c>
      <c r="T188" s="23">
        <f t="shared" si="32"/>
        <v>-614000</v>
      </c>
      <c r="U188" s="23">
        <f t="shared" si="37"/>
        <v>0</v>
      </c>
      <c r="V188" s="10">
        <f t="shared" si="33"/>
        <v>2460000</v>
      </c>
      <c r="W188" s="10">
        <f t="shared" si="40"/>
        <v>0</v>
      </c>
      <c r="X188" s="10">
        <f t="shared" si="35"/>
        <v>0</v>
      </c>
    </row>
    <row r="189" spans="1:24" s="9" customFormat="1" ht="13.5" customHeight="1" x14ac:dyDescent="0.2">
      <c r="A189" s="64">
        <f t="shared" si="36"/>
        <v>185</v>
      </c>
      <c r="B189" s="566" t="s">
        <v>1822</v>
      </c>
      <c r="C189" s="163">
        <v>40508</v>
      </c>
      <c r="D189" s="175">
        <v>7200000</v>
      </c>
      <c r="E189" s="27"/>
      <c r="F189" s="67">
        <f t="shared" si="38"/>
        <v>7200000</v>
      </c>
      <c r="G189" s="67">
        <v>7199000</v>
      </c>
      <c r="H189" s="67">
        <f t="shared" si="27"/>
        <v>1000</v>
      </c>
      <c r="I189" s="68">
        <v>5</v>
      </c>
      <c r="J189" s="68">
        <v>0.2</v>
      </c>
      <c r="K189" s="68">
        <v>0</v>
      </c>
      <c r="L189" s="67">
        <f t="shared" si="28"/>
        <v>0</v>
      </c>
      <c r="M189" s="67">
        <f t="shared" si="29"/>
        <v>7199000</v>
      </c>
      <c r="N189" s="67">
        <f t="shared" si="30"/>
        <v>1000</v>
      </c>
      <c r="O189" s="498" t="s">
        <v>1498</v>
      </c>
      <c r="P189" s="111">
        <v>1</v>
      </c>
      <c r="Q189" s="464"/>
      <c r="R189" s="23"/>
      <c r="S189" s="23">
        <f t="shared" si="31"/>
        <v>360000</v>
      </c>
      <c r="T189" s="23">
        <f t="shared" si="32"/>
        <v>-359000</v>
      </c>
      <c r="U189" s="23">
        <f t="shared" si="37"/>
        <v>0</v>
      </c>
      <c r="V189" s="10">
        <f t="shared" si="33"/>
        <v>1440000</v>
      </c>
      <c r="W189" s="10">
        <f t="shared" si="40"/>
        <v>0</v>
      </c>
      <c r="X189" s="10">
        <f t="shared" si="35"/>
        <v>0</v>
      </c>
    </row>
    <row r="190" spans="1:24" s="9" customFormat="1" ht="13.5" customHeight="1" x14ac:dyDescent="0.2">
      <c r="A190" s="64">
        <f t="shared" si="36"/>
        <v>186</v>
      </c>
      <c r="B190" s="566" t="s">
        <v>1823</v>
      </c>
      <c r="C190" s="163">
        <v>40508</v>
      </c>
      <c r="D190" s="175">
        <v>3900000</v>
      </c>
      <c r="E190" s="27"/>
      <c r="F190" s="67">
        <f t="shared" si="38"/>
        <v>3900000</v>
      </c>
      <c r="G190" s="67">
        <v>3899000</v>
      </c>
      <c r="H190" s="67">
        <f t="shared" si="27"/>
        <v>1000</v>
      </c>
      <c r="I190" s="68">
        <v>5</v>
      </c>
      <c r="J190" s="68">
        <v>0.2</v>
      </c>
      <c r="K190" s="68">
        <v>0</v>
      </c>
      <c r="L190" s="67">
        <f t="shared" si="28"/>
        <v>0</v>
      </c>
      <c r="M190" s="67">
        <f t="shared" si="29"/>
        <v>3899000</v>
      </c>
      <c r="N190" s="67">
        <f t="shared" si="30"/>
        <v>1000</v>
      </c>
      <c r="O190" s="498" t="s">
        <v>1498</v>
      </c>
      <c r="P190" s="111">
        <v>6</v>
      </c>
      <c r="Q190" s="464"/>
      <c r="R190" s="23"/>
      <c r="S190" s="23">
        <f t="shared" si="31"/>
        <v>195000</v>
      </c>
      <c r="T190" s="23">
        <f t="shared" si="32"/>
        <v>-194000</v>
      </c>
      <c r="U190" s="23">
        <f t="shared" si="37"/>
        <v>0</v>
      </c>
      <c r="V190" s="10">
        <f t="shared" si="33"/>
        <v>780000</v>
      </c>
      <c r="W190" s="10">
        <f t="shared" si="40"/>
        <v>0</v>
      </c>
      <c r="X190" s="10">
        <f t="shared" si="35"/>
        <v>0</v>
      </c>
    </row>
    <row r="191" spans="1:24" s="9" customFormat="1" ht="13.5" customHeight="1" x14ac:dyDescent="0.2">
      <c r="A191" s="64">
        <f t="shared" si="36"/>
        <v>187</v>
      </c>
      <c r="B191" s="566" t="s">
        <v>1795</v>
      </c>
      <c r="C191" s="163">
        <v>40508</v>
      </c>
      <c r="D191" s="175">
        <v>4760000</v>
      </c>
      <c r="E191" s="27"/>
      <c r="F191" s="67">
        <f t="shared" si="38"/>
        <v>4760000</v>
      </c>
      <c r="G191" s="67">
        <v>4759000</v>
      </c>
      <c r="H191" s="67">
        <f t="shared" si="27"/>
        <v>1000</v>
      </c>
      <c r="I191" s="68">
        <v>5</v>
      </c>
      <c r="J191" s="68">
        <v>0.2</v>
      </c>
      <c r="K191" s="68">
        <v>0</v>
      </c>
      <c r="L191" s="67">
        <f t="shared" si="28"/>
        <v>0</v>
      </c>
      <c r="M191" s="67">
        <f t="shared" si="29"/>
        <v>4759000</v>
      </c>
      <c r="N191" s="67">
        <f t="shared" si="30"/>
        <v>1000</v>
      </c>
      <c r="O191" s="498" t="s">
        <v>1498</v>
      </c>
      <c r="P191" s="111">
        <v>7</v>
      </c>
      <c r="Q191" s="464"/>
      <c r="R191" s="23"/>
      <c r="S191" s="23">
        <f t="shared" si="31"/>
        <v>238000</v>
      </c>
      <c r="T191" s="23">
        <f t="shared" si="32"/>
        <v>-237000</v>
      </c>
      <c r="U191" s="23">
        <f t="shared" si="37"/>
        <v>0</v>
      </c>
      <c r="V191" s="10">
        <f t="shared" si="33"/>
        <v>952000</v>
      </c>
      <c r="W191" s="10">
        <f t="shared" si="40"/>
        <v>0</v>
      </c>
      <c r="X191" s="10">
        <f t="shared" si="35"/>
        <v>0</v>
      </c>
    </row>
    <row r="192" spans="1:24" s="9" customFormat="1" ht="13.5" customHeight="1" x14ac:dyDescent="0.2">
      <c r="A192" s="64">
        <f t="shared" si="36"/>
        <v>188</v>
      </c>
      <c r="B192" s="566" t="s">
        <v>1819</v>
      </c>
      <c r="C192" s="163">
        <v>40508</v>
      </c>
      <c r="D192" s="175">
        <v>15000000</v>
      </c>
      <c r="E192" s="27"/>
      <c r="F192" s="67">
        <f t="shared" si="38"/>
        <v>15000000</v>
      </c>
      <c r="G192" s="67">
        <v>14999000</v>
      </c>
      <c r="H192" s="67">
        <f t="shared" si="27"/>
        <v>1000</v>
      </c>
      <c r="I192" s="68">
        <v>5</v>
      </c>
      <c r="J192" s="68">
        <v>0.2</v>
      </c>
      <c r="K192" s="68">
        <v>0</v>
      </c>
      <c r="L192" s="67">
        <f t="shared" si="28"/>
        <v>0</v>
      </c>
      <c r="M192" s="67">
        <f t="shared" si="29"/>
        <v>14999000</v>
      </c>
      <c r="N192" s="67">
        <f t="shared" si="30"/>
        <v>1000</v>
      </c>
      <c r="O192" s="498" t="s">
        <v>221</v>
      </c>
      <c r="P192" s="111">
        <v>3</v>
      </c>
      <c r="Q192" s="464"/>
      <c r="R192" s="23"/>
      <c r="S192" s="23">
        <f t="shared" si="31"/>
        <v>750000</v>
      </c>
      <c r="T192" s="23">
        <f t="shared" si="32"/>
        <v>-749000</v>
      </c>
      <c r="U192" s="23">
        <f t="shared" si="37"/>
        <v>0</v>
      </c>
      <c r="V192" s="10">
        <f t="shared" si="33"/>
        <v>3000000</v>
      </c>
      <c r="W192" s="10">
        <f t="shared" si="40"/>
        <v>0</v>
      </c>
      <c r="X192" s="10">
        <f t="shared" si="35"/>
        <v>0</v>
      </c>
    </row>
    <row r="193" spans="1:24" s="9" customFormat="1" ht="13.5" customHeight="1" x14ac:dyDescent="0.2">
      <c r="A193" s="64">
        <f t="shared" si="36"/>
        <v>189</v>
      </c>
      <c r="B193" s="108" t="s">
        <v>304</v>
      </c>
      <c r="C193" s="148">
        <v>40508</v>
      </c>
      <c r="D193" s="372">
        <v>3000000</v>
      </c>
      <c r="E193" s="484"/>
      <c r="F193" s="73">
        <f t="shared" si="38"/>
        <v>3000000</v>
      </c>
      <c r="G193" s="73">
        <v>2999000</v>
      </c>
      <c r="H193" s="73">
        <f t="shared" si="27"/>
        <v>1000</v>
      </c>
      <c r="I193" s="74">
        <v>5</v>
      </c>
      <c r="J193" s="74">
        <v>0.2</v>
      </c>
      <c r="K193" s="68">
        <v>0</v>
      </c>
      <c r="L193" s="67">
        <f t="shared" si="28"/>
        <v>0</v>
      </c>
      <c r="M193" s="73">
        <f t="shared" si="29"/>
        <v>2999000</v>
      </c>
      <c r="N193" s="73">
        <f t="shared" si="30"/>
        <v>1000</v>
      </c>
      <c r="O193" s="564" t="s">
        <v>221</v>
      </c>
      <c r="P193" s="209">
        <v>2</v>
      </c>
      <c r="Q193" s="487"/>
      <c r="R193" s="23"/>
      <c r="S193" s="23">
        <f t="shared" si="31"/>
        <v>150000</v>
      </c>
      <c r="T193" s="23">
        <f t="shared" si="32"/>
        <v>-149000</v>
      </c>
      <c r="U193" s="23">
        <f t="shared" si="37"/>
        <v>0</v>
      </c>
      <c r="V193" s="10">
        <f t="shared" si="33"/>
        <v>600000</v>
      </c>
      <c r="W193" s="10">
        <f t="shared" si="40"/>
        <v>0</v>
      </c>
      <c r="X193" s="10">
        <f t="shared" si="35"/>
        <v>0</v>
      </c>
    </row>
    <row r="194" spans="1:24" s="9" customFormat="1" ht="13.5" customHeight="1" x14ac:dyDescent="0.2">
      <c r="A194" s="64">
        <f t="shared" si="36"/>
        <v>190</v>
      </c>
      <c r="B194" s="567" t="s">
        <v>1824</v>
      </c>
      <c r="C194" s="369">
        <v>40549</v>
      </c>
      <c r="D194" s="175">
        <v>1350000</v>
      </c>
      <c r="E194" s="462"/>
      <c r="F194" s="67">
        <f t="shared" si="38"/>
        <v>1350000</v>
      </c>
      <c r="G194" s="67">
        <v>1349000</v>
      </c>
      <c r="H194" s="67">
        <f t="shared" si="27"/>
        <v>1000</v>
      </c>
      <c r="I194" s="68">
        <v>5</v>
      </c>
      <c r="J194" s="68">
        <v>0.2</v>
      </c>
      <c r="K194" s="68">
        <v>0</v>
      </c>
      <c r="L194" s="67">
        <f t="shared" si="28"/>
        <v>0</v>
      </c>
      <c r="M194" s="67">
        <f t="shared" si="29"/>
        <v>1349000</v>
      </c>
      <c r="N194" s="67">
        <f t="shared" si="30"/>
        <v>1000</v>
      </c>
      <c r="O194" s="565" t="s">
        <v>1825</v>
      </c>
      <c r="P194" s="230">
        <v>2</v>
      </c>
      <c r="Q194" s="464"/>
      <c r="R194" s="23"/>
      <c r="S194" s="23">
        <f t="shared" si="31"/>
        <v>67500</v>
      </c>
      <c r="T194" s="23">
        <f t="shared" si="32"/>
        <v>-66500</v>
      </c>
      <c r="U194" s="23">
        <f t="shared" si="37"/>
        <v>0</v>
      </c>
      <c r="V194" s="10">
        <f t="shared" si="33"/>
        <v>270000</v>
      </c>
      <c r="W194" s="10">
        <f t="shared" si="40"/>
        <v>0</v>
      </c>
      <c r="X194" s="10">
        <f t="shared" si="35"/>
        <v>0</v>
      </c>
    </row>
    <row r="195" spans="1:24" s="9" customFormat="1" ht="13.5" customHeight="1" x14ac:dyDescent="0.2">
      <c r="A195" s="64">
        <f t="shared" si="36"/>
        <v>191</v>
      </c>
      <c r="B195" s="555" t="s">
        <v>1826</v>
      </c>
      <c r="C195" s="369">
        <v>42930</v>
      </c>
      <c r="D195" s="462">
        <v>90000000</v>
      </c>
      <c r="E195" s="462"/>
      <c r="F195" s="67">
        <f t="shared" si="38"/>
        <v>90000000</v>
      </c>
      <c r="G195" s="67">
        <v>63000000</v>
      </c>
      <c r="H195" s="67">
        <f t="shared" si="27"/>
        <v>27000000</v>
      </c>
      <c r="I195" s="68">
        <v>5</v>
      </c>
      <c r="J195" s="68">
        <v>0.2</v>
      </c>
      <c r="K195" s="68">
        <v>12</v>
      </c>
      <c r="L195" s="67">
        <f>ROUND(IF(F195*J195*K195/12&gt;=H195,H195-1000,F195*J195*K195/12),0)</f>
        <v>18000000</v>
      </c>
      <c r="M195" s="67">
        <f t="shared" si="29"/>
        <v>81000000</v>
      </c>
      <c r="N195" s="67">
        <f t="shared" si="30"/>
        <v>9000000</v>
      </c>
      <c r="O195" s="565" t="s">
        <v>1827</v>
      </c>
      <c r="P195" s="230">
        <v>1</v>
      </c>
      <c r="Q195" s="464"/>
      <c r="R195" s="23"/>
      <c r="S195" s="23">
        <f t="shared" si="31"/>
        <v>4500000</v>
      </c>
      <c r="T195" s="23">
        <f t="shared" si="32"/>
        <v>4500000</v>
      </c>
      <c r="U195" s="23">
        <f t="shared" si="37"/>
        <v>8999000</v>
      </c>
      <c r="V195" s="10">
        <f t="shared" si="33"/>
        <v>18000000</v>
      </c>
      <c r="W195" s="10">
        <f>ROUND(IF(H195&lt;=1000,0,V195/12*K195),0)</f>
        <v>18000000</v>
      </c>
      <c r="X195" s="10">
        <f t="shared" si="35"/>
        <v>0</v>
      </c>
    </row>
    <row r="196" spans="1:24" s="9" customFormat="1" ht="13.5" customHeight="1" x14ac:dyDescent="0.2">
      <c r="A196" s="64">
        <f t="shared" si="36"/>
        <v>192</v>
      </c>
      <c r="B196" s="108" t="s">
        <v>1828</v>
      </c>
      <c r="C196" s="148">
        <v>43062</v>
      </c>
      <c r="D196" s="484">
        <v>25909090</v>
      </c>
      <c r="E196" s="484"/>
      <c r="F196" s="67">
        <f t="shared" si="38"/>
        <v>25909090</v>
      </c>
      <c r="G196" s="73">
        <v>16409090</v>
      </c>
      <c r="H196" s="67">
        <f t="shared" si="27"/>
        <v>9500000</v>
      </c>
      <c r="I196" s="68">
        <v>5</v>
      </c>
      <c r="J196" s="68">
        <v>0.2</v>
      </c>
      <c r="K196" s="68">
        <v>12</v>
      </c>
      <c r="L196" s="67">
        <f t="shared" si="28"/>
        <v>5181818</v>
      </c>
      <c r="M196" s="67">
        <f t="shared" si="29"/>
        <v>21590908</v>
      </c>
      <c r="N196" s="67">
        <f t="shared" si="30"/>
        <v>4318182</v>
      </c>
      <c r="O196" s="564" t="s">
        <v>1829</v>
      </c>
      <c r="P196" s="230">
        <v>1</v>
      </c>
      <c r="Q196" s="487" t="s">
        <v>1079</v>
      </c>
      <c r="R196" s="23"/>
      <c r="S196" s="23">
        <f t="shared" si="31"/>
        <v>1295454.5</v>
      </c>
      <c r="T196" s="23">
        <f t="shared" si="32"/>
        <v>3022727.5</v>
      </c>
      <c r="U196" s="23">
        <f t="shared" si="37"/>
        <v>4317182</v>
      </c>
      <c r="V196" s="10">
        <f t="shared" si="33"/>
        <v>5181818</v>
      </c>
      <c r="W196" s="10">
        <f>ROUND(IF(H196&lt;=1000,0,V196/12*K196),0)</f>
        <v>5181818</v>
      </c>
      <c r="X196" s="10">
        <f t="shared" si="35"/>
        <v>0</v>
      </c>
    </row>
    <row r="197" spans="1:24" s="9" customFormat="1" ht="13.5" customHeight="1" x14ac:dyDescent="0.2">
      <c r="A197" s="64">
        <f t="shared" si="36"/>
        <v>193</v>
      </c>
      <c r="B197" s="108" t="s">
        <v>1830</v>
      </c>
      <c r="C197" s="148">
        <v>43062</v>
      </c>
      <c r="D197" s="484">
        <v>10090909</v>
      </c>
      <c r="E197" s="484"/>
      <c r="F197" s="67">
        <f t="shared" si="38"/>
        <v>10090909</v>
      </c>
      <c r="G197" s="73">
        <v>6390910</v>
      </c>
      <c r="H197" s="67">
        <f>+F197-G197</f>
        <v>3699999</v>
      </c>
      <c r="I197" s="68">
        <v>5</v>
      </c>
      <c r="J197" s="68">
        <v>0.2</v>
      </c>
      <c r="K197" s="68">
        <v>12</v>
      </c>
      <c r="L197" s="67">
        <f>ROUND(IF(F197*J197*K197/12&gt;=H197,H197-1000,F197*J197*K197/12),0)</f>
        <v>2018182</v>
      </c>
      <c r="M197" s="67">
        <f>+G197+L197</f>
        <v>8409092</v>
      </c>
      <c r="N197" s="67">
        <f>+F197-M197</f>
        <v>1681817</v>
      </c>
      <c r="O197" s="564" t="s">
        <v>1829</v>
      </c>
      <c r="P197" s="230">
        <v>1</v>
      </c>
      <c r="Q197" s="487" t="s">
        <v>1079</v>
      </c>
      <c r="R197" s="23"/>
      <c r="S197" s="23">
        <f>D197*0.05</f>
        <v>504545.45</v>
      </c>
      <c r="T197" s="23">
        <f>N197-S197</f>
        <v>1177271.55</v>
      </c>
      <c r="U197" s="23">
        <f t="shared" si="37"/>
        <v>1680817</v>
      </c>
      <c r="V197" s="10">
        <f>F197/I197</f>
        <v>2018181.8</v>
      </c>
      <c r="W197" s="10">
        <f>ROUND(IF(H197&lt;=1000,0,V197/12*K197),0)</f>
        <v>2018182</v>
      </c>
      <c r="X197" s="10">
        <f>L197-W197</f>
        <v>0</v>
      </c>
    </row>
    <row r="198" spans="1:24" s="9" customFormat="1" ht="13.5" customHeight="1" x14ac:dyDescent="0.2">
      <c r="A198" s="64">
        <f>+A197+1</f>
        <v>194</v>
      </c>
      <c r="B198" s="108" t="s">
        <v>1831</v>
      </c>
      <c r="C198" s="148">
        <v>43095</v>
      </c>
      <c r="D198" s="484">
        <v>29480000</v>
      </c>
      <c r="E198" s="484"/>
      <c r="F198" s="67">
        <f t="shared" si="38"/>
        <v>29480000</v>
      </c>
      <c r="G198" s="73">
        <v>17762667</v>
      </c>
      <c r="H198" s="67">
        <f>+F198-G198</f>
        <v>11717333</v>
      </c>
      <c r="I198" s="68">
        <v>5</v>
      </c>
      <c r="J198" s="68">
        <v>0.2</v>
      </c>
      <c r="K198" s="68">
        <v>12</v>
      </c>
      <c r="L198" s="67">
        <f>ROUND(IF(F198*J198*K198/12&gt;=H198,H198-1000,F198*J198*K198/12),0)</f>
        <v>5896000</v>
      </c>
      <c r="M198" s="67">
        <f>+G198+L198</f>
        <v>23658667</v>
      </c>
      <c r="N198" s="67">
        <f>+F198-M198</f>
        <v>5821333</v>
      </c>
      <c r="O198" s="564" t="s">
        <v>1078</v>
      </c>
      <c r="P198" s="230">
        <v>1</v>
      </c>
      <c r="Q198" s="487" t="s">
        <v>1832</v>
      </c>
      <c r="R198" s="23"/>
      <c r="S198" s="23">
        <f>D198*0.05</f>
        <v>1474000</v>
      </c>
      <c r="T198" s="23">
        <f>N198-S198</f>
        <v>4347333</v>
      </c>
      <c r="U198" s="23">
        <f t="shared" si="37"/>
        <v>5820333</v>
      </c>
      <c r="V198" s="10">
        <f>F198/I198</f>
        <v>5896000</v>
      </c>
      <c r="W198" s="10">
        <f>ROUND(IF(H198&lt;=1000,0,V198/12*K198),0)</f>
        <v>5896000</v>
      </c>
      <c r="X198" s="10">
        <f>L198-W198</f>
        <v>0</v>
      </c>
    </row>
    <row r="199" spans="1:24" s="9" customFormat="1" ht="13.5" customHeight="1" x14ac:dyDescent="0.2">
      <c r="A199" s="64">
        <f>+A198+1</f>
        <v>195</v>
      </c>
      <c r="B199" s="108" t="s">
        <v>1833</v>
      </c>
      <c r="C199" s="148">
        <v>43098</v>
      </c>
      <c r="D199" s="484">
        <v>16500000</v>
      </c>
      <c r="E199" s="484"/>
      <c r="F199" s="67">
        <f t="shared" si="38"/>
        <v>16500000</v>
      </c>
      <c r="G199" s="73">
        <v>10175000</v>
      </c>
      <c r="H199" s="67">
        <f>+F199-G199</f>
        <v>6325000</v>
      </c>
      <c r="I199" s="68">
        <v>5</v>
      </c>
      <c r="J199" s="68">
        <v>0.2</v>
      </c>
      <c r="K199" s="68">
        <v>12</v>
      </c>
      <c r="L199" s="67">
        <f>ROUND(IF(F199*J199*K199/12&gt;=H199,H199-1000,F199*J199*K199/12),0)</f>
        <v>3300000</v>
      </c>
      <c r="M199" s="67">
        <f>+G199+L199</f>
        <v>13475000</v>
      </c>
      <c r="N199" s="67">
        <f>+F199-M199</f>
        <v>3025000</v>
      </c>
      <c r="O199" s="564" t="s">
        <v>1834</v>
      </c>
      <c r="P199" s="230">
        <v>1</v>
      </c>
      <c r="Q199" s="487" t="s">
        <v>1079</v>
      </c>
      <c r="R199" s="23"/>
      <c r="S199" s="23">
        <f>D199*0.05</f>
        <v>825000</v>
      </c>
      <c r="T199" s="23">
        <f>N199-S199</f>
        <v>2200000</v>
      </c>
      <c r="U199" s="23">
        <f t="shared" si="37"/>
        <v>3024000</v>
      </c>
      <c r="V199" s="10">
        <f>F199/I199</f>
        <v>3300000</v>
      </c>
      <c r="W199" s="10">
        <f>ROUND(IF(H199&lt;=1000,0,V199/12*K199),0)</f>
        <v>3300000</v>
      </c>
      <c r="X199" s="10">
        <f>L199-W199</f>
        <v>0</v>
      </c>
    </row>
    <row r="200" spans="1:24" s="9" customFormat="1" ht="13.5" customHeight="1" thickBot="1" x14ac:dyDescent="0.25">
      <c r="A200" s="64"/>
      <c r="B200" s="108"/>
      <c r="C200" s="148"/>
      <c r="D200" s="372"/>
      <c r="E200" s="484"/>
      <c r="F200" s="73"/>
      <c r="G200" s="73"/>
      <c r="H200" s="73"/>
      <c r="I200" s="74"/>
      <c r="J200" s="74"/>
      <c r="K200" s="68"/>
      <c r="L200" s="67"/>
      <c r="M200" s="73"/>
      <c r="N200" s="73"/>
      <c r="O200" s="564"/>
      <c r="P200" s="209"/>
      <c r="Q200" s="487"/>
      <c r="R200" s="23"/>
      <c r="S200" s="23"/>
      <c r="T200" s="23"/>
      <c r="U200" s="23"/>
      <c r="W200" s="10">
        <f>ROUND(IF(H200&lt;=1000,0,V200/12*3),0)</f>
        <v>0</v>
      </c>
    </row>
    <row r="201" spans="1:24" s="9" customFormat="1" ht="13.5" customHeight="1" thickTop="1" thickBot="1" x14ac:dyDescent="0.25">
      <c r="A201" s="95"/>
      <c r="B201" s="96" t="s">
        <v>118</v>
      </c>
      <c r="C201" s="568"/>
      <c r="D201" s="453">
        <f>ROUND(SUM(D5:D200),0)</f>
        <v>801047649</v>
      </c>
      <c r="E201" s="454">
        <f>ROUND(SUM(E5:E200),0)</f>
        <v>0</v>
      </c>
      <c r="F201" s="453">
        <f>ROUND(SUM(F5:F200),0)</f>
        <v>801047649</v>
      </c>
      <c r="G201" s="453">
        <f>ROUND(SUM(G5:G200),0)</f>
        <v>742616317</v>
      </c>
      <c r="H201" s="453">
        <f>ROUND(SUM(H5:H200),0)</f>
        <v>58431332</v>
      </c>
      <c r="I201" s="453"/>
      <c r="J201" s="453"/>
      <c r="K201" s="453"/>
      <c r="L201" s="455">
        <f>ROUND(SUM(L5:L200),0)</f>
        <v>34396000</v>
      </c>
      <c r="M201" s="453">
        <f>ROUND(SUM(M5:M200),0)</f>
        <v>777012317</v>
      </c>
      <c r="N201" s="453">
        <f>ROUND(SUM(N5:N200),0)</f>
        <v>24035332</v>
      </c>
      <c r="O201" s="456"/>
      <c r="P201" s="456"/>
      <c r="Q201" s="489"/>
      <c r="R201" s="23">
        <f>SUM(R5:R152)</f>
        <v>21400</v>
      </c>
      <c r="S201" s="23"/>
      <c r="T201" s="23"/>
      <c r="U201" s="23"/>
      <c r="W201" s="189">
        <f>SUM(W5:W200)</f>
        <v>34396000</v>
      </c>
    </row>
  </sheetData>
  <autoFilter ref="A4:Q4"/>
  <mergeCells count="2">
    <mergeCell ref="B1:Q1"/>
    <mergeCell ref="S3:T3"/>
  </mergeCells>
  <phoneticPr fontId="4" type="noConversion"/>
  <pageMargins left="0.42" right="0.23999999999999996" top="0.36" bottom="0.56999999999999995" header="0.25" footer="0.5"/>
  <pageSetup paperSize="9" scale="64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1"/>
  <sheetViews>
    <sheetView zoomScaleNormal="100" workbookViewId="0">
      <pane xSplit="3" ySplit="4" topLeftCell="D511" activePane="bottomRight" state="frozenSplit"/>
      <selection activeCell="P535" sqref="P535"/>
      <selection pane="topRight" activeCell="P535" sqref="P535"/>
      <selection pane="bottomLeft" activeCell="P535" sqref="P535"/>
      <selection pane="bottomRight" activeCell="P535" sqref="P535"/>
    </sheetView>
  </sheetViews>
  <sheetFormatPr defaultRowHeight="16.5" x14ac:dyDescent="0.3"/>
  <cols>
    <col min="1" max="1" width="6.140625" style="48" customWidth="1"/>
    <col min="2" max="2" width="29.28515625" style="160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44" customWidth="1"/>
    <col min="8" max="8" width="15.140625" style="44" customWidth="1"/>
    <col min="9" max="9" width="5.7109375" style="44" customWidth="1"/>
    <col min="10" max="10" width="7.42578125" style="44" customWidth="1"/>
    <col min="11" max="11" width="5.5703125" style="44" customWidth="1"/>
    <col min="12" max="12" width="13.7109375" style="142" customWidth="1"/>
    <col min="13" max="13" width="16.42578125" style="44" customWidth="1"/>
    <col min="14" max="14" width="16.42578125" style="142" customWidth="1"/>
    <col min="15" max="15" width="16" style="9" customWidth="1"/>
    <col min="16" max="16" width="5.28515625" style="9" customWidth="1"/>
    <col min="17" max="17" width="13" style="44" customWidth="1"/>
    <col min="18" max="18" width="10.28515625" style="44" hidden="1" customWidth="1"/>
    <col min="19" max="20" width="11" style="142" hidden="1" customWidth="1"/>
    <col min="21" max="21" width="12.42578125" style="142" hidden="1" customWidth="1"/>
    <col min="22" max="24" width="11.42578125" style="142" hidden="1" customWidth="1"/>
    <col min="25" max="25" width="11.42578125" style="44" customWidth="1"/>
    <col min="26" max="16384" width="9.140625" style="44"/>
  </cols>
  <sheetData>
    <row r="1" spans="1:24" ht="31.5" x14ac:dyDescent="0.55000000000000004">
      <c r="B1" s="847" t="s">
        <v>3099</v>
      </c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</row>
    <row r="3" spans="1:24" s="9" customFormat="1" ht="13.5" customHeight="1" thickBot="1" x14ac:dyDescent="0.25">
      <c r="A3" s="9" t="s">
        <v>81</v>
      </c>
      <c r="B3" s="161"/>
      <c r="C3" s="45"/>
      <c r="D3" s="45"/>
      <c r="E3" s="45"/>
      <c r="F3" s="45"/>
      <c r="G3" s="45"/>
      <c r="H3" s="45"/>
      <c r="I3" s="45"/>
      <c r="J3" s="45"/>
      <c r="K3" s="45"/>
      <c r="L3" s="125"/>
      <c r="M3" s="45"/>
      <c r="N3" s="125"/>
      <c r="O3" s="45"/>
      <c r="P3" s="45"/>
      <c r="Q3" s="49" t="s">
        <v>82</v>
      </c>
      <c r="S3" s="849"/>
      <c r="T3" s="849"/>
      <c r="U3" s="10"/>
      <c r="V3" s="10"/>
      <c r="W3" s="10"/>
      <c r="X3" s="10"/>
    </row>
    <row r="4" spans="1:24" s="9" customFormat="1" ht="13.5" customHeight="1" thickBot="1" x14ac:dyDescent="0.25">
      <c r="A4" s="569" t="s">
        <v>44</v>
      </c>
      <c r="B4" s="51" t="s">
        <v>83</v>
      </c>
      <c r="C4" s="52" t="s">
        <v>84</v>
      </c>
      <c r="D4" s="53" t="s">
        <v>85</v>
      </c>
      <c r="E4" s="53" t="s">
        <v>86</v>
      </c>
      <c r="F4" s="53" t="s">
        <v>87</v>
      </c>
      <c r="G4" s="53" t="s">
        <v>28</v>
      </c>
      <c r="H4" s="53" t="s">
        <v>1683</v>
      </c>
      <c r="I4" s="53" t="s">
        <v>51</v>
      </c>
      <c r="J4" s="53" t="s">
        <v>89</v>
      </c>
      <c r="K4" s="53" t="s">
        <v>1835</v>
      </c>
      <c r="L4" s="135" t="s">
        <v>1684</v>
      </c>
      <c r="M4" s="53" t="s">
        <v>92</v>
      </c>
      <c r="N4" s="135" t="s">
        <v>93</v>
      </c>
      <c r="O4" s="54" t="s">
        <v>94</v>
      </c>
      <c r="P4" s="54" t="s">
        <v>1836</v>
      </c>
      <c r="Q4" s="55" t="s">
        <v>1097</v>
      </c>
      <c r="R4" s="9" t="s">
        <v>96</v>
      </c>
      <c r="S4" s="125" t="s">
        <v>199</v>
      </c>
      <c r="T4" s="125" t="s">
        <v>200</v>
      </c>
      <c r="U4" s="10" t="s">
        <v>99</v>
      </c>
      <c r="V4" s="10" t="s">
        <v>100</v>
      </c>
      <c r="W4" s="10" t="s">
        <v>180</v>
      </c>
      <c r="X4" s="10" t="s">
        <v>1837</v>
      </c>
    </row>
    <row r="5" spans="1:24" s="9" customFormat="1" ht="13.5" customHeight="1" thickTop="1" x14ac:dyDescent="0.2">
      <c r="A5" s="570" t="s">
        <v>60</v>
      </c>
      <c r="B5" s="571" t="s">
        <v>1838</v>
      </c>
      <c r="C5" s="572">
        <v>35833</v>
      </c>
      <c r="D5" s="424">
        <v>4126000</v>
      </c>
      <c r="E5" s="424"/>
      <c r="F5" s="59">
        <f t="shared" ref="F5:F40" si="0">+D5+E5</f>
        <v>4126000</v>
      </c>
      <c r="G5" s="59">
        <v>4125000</v>
      </c>
      <c r="H5" s="59">
        <f>+F5-G5</f>
        <v>1000</v>
      </c>
      <c r="I5" s="60">
        <v>5</v>
      </c>
      <c r="J5" s="60">
        <v>0.2</v>
      </c>
      <c r="K5" s="68">
        <v>0</v>
      </c>
      <c r="L5" s="110"/>
      <c r="M5" s="59">
        <f>+G5+L5</f>
        <v>4125000</v>
      </c>
      <c r="N5" s="136">
        <f>+F5-M5</f>
        <v>1000</v>
      </c>
      <c r="O5" s="69"/>
      <c r="P5" s="554"/>
      <c r="Q5" s="138"/>
      <c r="R5" s="23"/>
      <c r="S5" s="10">
        <f t="shared" ref="S5:S68" si="1">D5*0.05</f>
        <v>206300</v>
      </c>
      <c r="T5" s="10">
        <f t="shared" ref="T5:T68" si="2">N5-S5</f>
        <v>-205300</v>
      </c>
      <c r="U5" s="10">
        <f>N5-1000</f>
        <v>0</v>
      </c>
      <c r="V5" s="10">
        <f t="shared" ref="V5:V68" si="3">F5/I5</f>
        <v>825200</v>
      </c>
      <c r="W5" s="10">
        <f t="shared" ref="W5:W68" si="4">ROUND(IF(H5&lt;=1000,0,V5/12*0),0)</f>
        <v>0</v>
      </c>
      <c r="X5" s="10">
        <f t="shared" ref="X5:X68" si="5">L5-W5</f>
        <v>0</v>
      </c>
    </row>
    <row r="6" spans="1:24" s="9" customFormat="1" ht="13.5" customHeight="1" x14ac:dyDescent="0.2">
      <c r="A6" s="573">
        <f t="shared" ref="A6:A69" si="6">A5+1</f>
        <v>2</v>
      </c>
      <c r="B6" s="65" t="s">
        <v>1839</v>
      </c>
      <c r="C6" s="163">
        <v>35864</v>
      </c>
      <c r="D6" s="175">
        <v>270000</v>
      </c>
      <c r="E6" s="175"/>
      <c r="F6" s="67">
        <f t="shared" si="0"/>
        <v>270000</v>
      </c>
      <c r="G6" s="67">
        <v>269000</v>
      </c>
      <c r="H6" s="67">
        <f>+F6-G6</f>
        <v>1000</v>
      </c>
      <c r="I6" s="68">
        <v>5</v>
      </c>
      <c r="J6" s="68">
        <v>0.2</v>
      </c>
      <c r="K6" s="68">
        <v>0</v>
      </c>
      <c r="L6" s="110"/>
      <c r="M6" s="67">
        <f>+G6+L6</f>
        <v>269000</v>
      </c>
      <c r="N6" s="110">
        <f>+F6-M6</f>
        <v>1000</v>
      </c>
      <c r="O6" s="69"/>
      <c r="P6" s="69"/>
      <c r="Q6" s="464"/>
      <c r="R6" s="23"/>
      <c r="S6" s="10">
        <f t="shared" si="1"/>
        <v>13500</v>
      </c>
      <c r="T6" s="10">
        <f t="shared" si="2"/>
        <v>-12500</v>
      </c>
      <c r="U6" s="10">
        <f>N6-1000</f>
        <v>0</v>
      </c>
      <c r="V6" s="10">
        <f t="shared" si="3"/>
        <v>54000</v>
      </c>
      <c r="W6" s="10">
        <f t="shared" si="4"/>
        <v>0</v>
      </c>
      <c r="X6" s="10">
        <f t="shared" si="5"/>
        <v>0</v>
      </c>
    </row>
    <row r="7" spans="1:24" s="190" customFormat="1" ht="13.5" customHeight="1" x14ac:dyDescent="0.2">
      <c r="A7" s="574">
        <f t="shared" si="6"/>
        <v>3</v>
      </c>
      <c r="B7" s="575" t="s">
        <v>1840</v>
      </c>
      <c r="C7" s="194">
        <v>35865</v>
      </c>
      <c r="D7" s="576">
        <v>0</v>
      </c>
      <c r="E7" s="576"/>
      <c r="F7" s="195">
        <f t="shared" si="0"/>
        <v>0</v>
      </c>
      <c r="G7" s="195">
        <v>0</v>
      </c>
      <c r="H7" s="195">
        <v>0</v>
      </c>
      <c r="I7" s="197">
        <v>5</v>
      </c>
      <c r="J7" s="197">
        <v>0.2</v>
      </c>
      <c r="K7" s="197">
        <v>0</v>
      </c>
      <c r="L7" s="196"/>
      <c r="M7" s="195">
        <v>0</v>
      </c>
      <c r="N7" s="196">
        <v>0</v>
      </c>
      <c r="O7" s="577"/>
      <c r="P7" s="577"/>
      <c r="Q7" s="578"/>
      <c r="R7" s="200"/>
      <c r="S7" s="201">
        <f t="shared" si="1"/>
        <v>0</v>
      </c>
      <c r="T7" s="201">
        <f t="shared" si="2"/>
        <v>0</v>
      </c>
      <c r="U7" s="201">
        <v>0</v>
      </c>
      <c r="V7" s="201">
        <f t="shared" si="3"/>
        <v>0</v>
      </c>
      <c r="W7" s="201">
        <f t="shared" si="4"/>
        <v>0</v>
      </c>
      <c r="X7" s="201">
        <f t="shared" si="5"/>
        <v>0</v>
      </c>
    </row>
    <row r="8" spans="1:24" s="9" customFormat="1" ht="13.5" customHeight="1" x14ac:dyDescent="0.2">
      <c r="A8" s="573">
        <f t="shared" si="6"/>
        <v>4</v>
      </c>
      <c r="B8" s="65" t="s">
        <v>1841</v>
      </c>
      <c r="C8" s="163">
        <v>35866</v>
      </c>
      <c r="D8" s="175">
        <v>125000</v>
      </c>
      <c r="E8" s="175"/>
      <c r="F8" s="67">
        <f t="shared" si="0"/>
        <v>125000</v>
      </c>
      <c r="G8" s="67">
        <v>124000</v>
      </c>
      <c r="H8" s="67">
        <f t="shared" ref="H8:H19" si="7">+F8-G8</f>
        <v>1000</v>
      </c>
      <c r="I8" s="68">
        <v>5</v>
      </c>
      <c r="J8" s="68">
        <v>0.2</v>
      </c>
      <c r="K8" s="68">
        <v>0</v>
      </c>
      <c r="L8" s="110"/>
      <c r="M8" s="67">
        <f t="shared" ref="M8:M19" si="8">+G8+L8</f>
        <v>124000</v>
      </c>
      <c r="N8" s="110">
        <f t="shared" ref="N8:N19" si="9">+F8-M8</f>
        <v>1000</v>
      </c>
      <c r="O8" s="69"/>
      <c r="P8" s="69"/>
      <c r="Q8" s="464"/>
      <c r="R8" s="23"/>
      <c r="S8" s="10">
        <f t="shared" si="1"/>
        <v>6250</v>
      </c>
      <c r="T8" s="10">
        <f t="shared" si="2"/>
        <v>-5250</v>
      </c>
      <c r="U8" s="10">
        <f t="shared" ref="U8:U13" si="10">N8-1000</f>
        <v>0</v>
      </c>
      <c r="V8" s="10">
        <f t="shared" si="3"/>
        <v>25000</v>
      </c>
      <c r="W8" s="10">
        <f t="shared" si="4"/>
        <v>0</v>
      </c>
      <c r="X8" s="10">
        <f t="shared" si="5"/>
        <v>0</v>
      </c>
    </row>
    <row r="9" spans="1:24" s="9" customFormat="1" ht="13.5" customHeight="1" x14ac:dyDescent="0.2">
      <c r="A9" s="573">
        <f t="shared" si="6"/>
        <v>5</v>
      </c>
      <c r="B9" s="65" t="s">
        <v>1842</v>
      </c>
      <c r="C9" s="163">
        <v>35900</v>
      </c>
      <c r="D9" s="175">
        <v>40000</v>
      </c>
      <c r="E9" s="175"/>
      <c r="F9" s="67">
        <f t="shared" si="0"/>
        <v>40000</v>
      </c>
      <c r="G9" s="67">
        <v>39000</v>
      </c>
      <c r="H9" s="67">
        <f t="shared" si="7"/>
        <v>1000</v>
      </c>
      <c r="I9" s="68">
        <v>5</v>
      </c>
      <c r="J9" s="68">
        <v>0.2</v>
      </c>
      <c r="K9" s="68">
        <v>0</v>
      </c>
      <c r="L9" s="110"/>
      <c r="M9" s="67">
        <f t="shared" si="8"/>
        <v>39000</v>
      </c>
      <c r="N9" s="110">
        <f t="shared" si="9"/>
        <v>1000</v>
      </c>
      <c r="O9" s="69"/>
      <c r="P9" s="69"/>
      <c r="Q9" s="464"/>
      <c r="R9" s="23"/>
      <c r="S9" s="10">
        <f t="shared" si="1"/>
        <v>2000</v>
      </c>
      <c r="T9" s="10">
        <f t="shared" si="2"/>
        <v>-1000</v>
      </c>
      <c r="U9" s="10">
        <f t="shared" si="10"/>
        <v>0</v>
      </c>
      <c r="V9" s="10">
        <f t="shared" si="3"/>
        <v>8000</v>
      </c>
      <c r="W9" s="10">
        <f t="shared" si="4"/>
        <v>0</v>
      </c>
      <c r="X9" s="10">
        <f t="shared" si="5"/>
        <v>0</v>
      </c>
    </row>
    <row r="10" spans="1:24" s="9" customFormat="1" ht="13.5" customHeight="1" x14ac:dyDescent="0.2">
      <c r="A10" s="573">
        <f t="shared" si="6"/>
        <v>6</v>
      </c>
      <c r="B10" s="65" t="s">
        <v>1843</v>
      </c>
      <c r="C10" s="163">
        <v>35900</v>
      </c>
      <c r="D10" s="175">
        <v>1500000</v>
      </c>
      <c r="E10" s="175"/>
      <c r="F10" s="67">
        <f t="shared" si="0"/>
        <v>1500000</v>
      </c>
      <c r="G10" s="67">
        <v>1499000</v>
      </c>
      <c r="H10" s="67">
        <f t="shared" si="7"/>
        <v>1000</v>
      </c>
      <c r="I10" s="68">
        <v>5</v>
      </c>
      <c r="J10" s="68">
        <v>0.2</v>
      </c>
      <c r="K10" s="68">
        <v>0</v>
      </c>
      <c r="L10" s="110"/>
      <c r="M10" s="67">
        <f t="shared" si="8"/>
        <v>1499000</v>
      </c>
      <c r="N10" s="110">
        <f t="shared" si="9"/>
        <v>1000</v>
      </c>
      <c r="O10" s="69"/>
      <c r="P10" s="69"/>
      <c r="Q10" s="464"/>
      <c r="R10" s="23"/>
      <c r="S10" s="10">
        <f t="shared" si="1"/>
        <v>75000</v>
      </c>
      <c r="T10" s="10">
        <f t="shared" si="2"/>
        <v>-74000</v>
      </c>
      <c r="U10" s="10">
        <f t="shared" si="10"/>
        <v>0</v>
      </c>
      <c r="V10" s="10">
        <f t="shared" si="3"/>
        <v>300000</v>
      </c>
      <c r="W10" s="10">
        <f t="shared" si="4"/>
        <v>0</v>
      </c>
      <c r="X10" s="10">
        <f t="shared" si="5"/>
        <v>0</v>
      </c>
    </row>
    <row r="11" spans="1:24" s="9" customFormat="1" ht="13.5" customHeight="1" x14ac:dyDescent="0.2">
      <c r="A11" s="573">
        <f t="shared" si="6"/>
        <v>7</v>
      </c>
      <c r="B11" s="65" t="s">
        <v>1844</v>
      </c>
      <c r="C11" s="163">
        <v>36080</v>
      </c>
      <c r="D11" s="175">
        <v>300000</v>
      </c>
      <c r="E11" s="175"/>
      <c r="F11" s="67">
        <f t="shared" si="0"/>
        <v>300000</v>
      </c>
      <c r="G11" s="67">
        <v>299000</v>
      </c>
      <c r="H11" s="67">
        <f t="shared" si="7"/>
        <v>1000</v>
      </c>
      <c r="I11" s="68">
        <v>5</v>
      </c>
      <c r="J11" s="68">
        <v>0.2</v>
      </c>
      <c r="K11" s="68">
        <v>0</v>
      </c>
      <c r="L11" s="110"/>
      <c r="M11" s="67">
        <f t="shared" si="8"/>
        <v>299000</v>
      </c>
      <c r="N11" s="110">
        <f t="shared" si="9"/>
        <v>1000</v>
      </c>
      <c r="O11" s="69"/>
      <c r="P11" s="69"/>
      <c r="Q11" s="464"/>
      <c r="R11" s="23"/>
      <c r="S11" s="10">
        <f t="shared" si="1"/>
        <v>15000</v>
      </c>
      <c r="T11" s="10">
        <f t="shared" si="2"/>
        <v>-14000</v>
      </c>
      <c r="U11" s="10">
        <f t="shared" si="10"/>
        <v>0</v>
      </c>
      <c r="V11" s="10">
        <f t="shared" si="3"/>
        <v>60000</v>
      </c>
      <c r="W11" s="10">
        <f t="shared" si="4"/>
        <v>0</v>
      </c>
      <c r="X11" s="10">
        <f t="shared" si="5"/>
        <v>0</v>
      </c>
    </row>
    <row r="12" spans="1:24" s="9" customFormat="1" ht="13.5" customHeight="1" x14ac:dyDescent="0.2">
      <c r="A12" s="573">
        <f t="shared" si="6"/>
        <v>8</v>
      </c>
      <c r="B12" s="65" t="s">
        <v>1845</v>
      </c>
      <c r="C12" s="163">
        <v>36108</v>
      </c>
      <c r="D12" s="175">
        <v>150000</v>
      </c>
      <c r="E12" s="175"/>
      <c r="F12" s="67">
        <f t="shared" si="0"/>
        <v>150000</v>
      </c>
      <c r="G12" s="67">
        <v>149000</v>
      </c>
      <c r="H12" s="67">
        <f t="shared" si="7"/>
        <v>1000</v>
      </c>
      <c r="I12" s="68">
        <v>5</v>
      </c>
      <c r="J12" s="68">
        <v>0.2</v>
      </c>
      <c r="K12" s="68">
        <v>0</v>
      </c>
      <c r="L12" s="110"/>
      <c r="M12" s="67">
        <f t="shared" si="8"/>
        <v>149000</v>
      </c>
      <c r="N12" s="110">
        <f t="shared" si="9"/>
        <v>1000</v>
      </c>
      <c r="O12" s="69"/>
      <c r="P12" s="69"/>
      <c r="Q12" s="464"/>
      <c r="R12" s="23"/>
      <c r="S12" s="10">
        <f t="shared" si="1"/>
        <v>7500</v>
      </c>
      <c r="T12" s="10">
        <f t="shared" si="2"/>
        <v>-6500</v>
      </c>
      <c r="U12" s="10">
        <f t="shared" si="10"/>
        <v>0</v>
      </c>
      <c r="V12" s="10">
        <f t="shared" si="3"/>
        <v>30000</v>
      </c>
      <c r="W12" s="10">
        <f t="shared" si="4"/>
        <v>0</v>
      </c>
      <c r="X12" s="10">
        <f t="shared" si="5"/>
        <v>0</v>
      </c>
    </row>
    <row r="13" spans="1:24" s="9" customFormat="1" ht="13.5" customHeight="1" x14ac:dyDescent="0.2">
      <c r="A13" s="573">
        <f t="shared" si="6"/>
        <v>9</v>
      </c>
      <c r="B13" s="65" t="s">
        <v>1846</v>
      </c>
      <c r="C13" s="163">
        <v>36151</v>
      </c>
      <c r="D13" s="175">
        <v>2800000</v>
      </c>
      <c r="E13" s="175"/>
      <c r="F13" s="67">
        <f t="shared" si="0"/>
        <v>2800000</v>
      </c>
      <c r="G13" s="67">
        <v>2799000</v>
      </c>
      <c r="H13" s="67">
        <f t="shared" si="7"/>
        <v>1000</v>
      </c>
      <c r="I13" s="68">
        <v>5</v>
      </c>
      <c r="J13" s="68">
        <v>0.2</v>
      </c>
      <c r="K13" s="68">
        <v>0</v>
      </c>
      <c r="L13" s="110"/>
      <c r="M13" s="67">
        <f t="shared" si="8"/>
        <v>2799000</v>
      </c>
      <c r="N13" s="110">
        <f t="shared" si="9"/>
        <v>1000</v>
      </c>
      <c r="O13" s="69"/>
      <c r="P13" s="69"/>
      <c r="Q13" s="464"/>
      <c r="R13" s="23"/>
      <c r="S13" s="10">
        <f t="shared" si="1"/>
        <v>140000</v>
      </c>
      <c r="T13" s="10">
        <f t="shared" si="2"/>
        <v>-139000</v>
      </c>
      <c r="U13" s="10">
        <f t="shared" si="10"/>
        <v>0</v>
      </c>
      <c r="V13" s="10">
        <f t="shared" si="3"/>
        <v>560000</v>
      </c>
      <c r="W13" s="10">
        <f t="shared" si="4"/>
        <v>0</v>
      </c>
      <c r="X13" s="10">
        <f t="shared" si="5"/>
        <v>0</v>
      </c>
    </row>
    <row r="14" spans="1:24" s="585" customFormat="1" ht="13.5" customHeight="1" x14ac:dyDescent="0.2">
      <c r="A14" s="579">
        <f t="shared" si="6"/>
        <v>10</v>
      </c>
      <c r="B14" s="580" t="s">
        <v>1847</v>
      </c>
      <c r="C14" s="581">
        <v>36158</v>
      </c>
      <c r="D14" s="582">
        <v>0</v>
      </c>
      <c r="E14" s="582"/>
      <c r="F14" s="82">
        <f t="shared" si="0"/>
        <v>0</v>
      </c>
      <c r="G14" s="82">
        <v>0</v>
      </c>
      <c r="H14" s="82">
        <f t="shared" si="7"/>
        <v>0</v>
      </c>
      <c r="I14" s="86">
        <v>5</v>
      </c>
      <c r="J14" s="86">
        <v>0.2</v>
      </c>
      <c r="K14" s="86">
        <v>0</v>
      </c>
      <c r="L14" s="112"/>
      <c r="M14" s="82">
        <f t="shared" si="8"/>
        <v>0</v>
      </c>
      <c r="N14" s="112">
        <f t="shared" si="9"/>
        <v>0</v>
      </c>
      <c r="O14" s="87"/>
      <c r="P14" s="114" t="s">
        <v>1848</v>
      </c>
      <c r="Q14" s="583"/>
      <c r="R14" s="584"/>
      <c r="S14" s="10">
        <f t="shared" si="1"/>
        <v>0</v>
      </c>
      <c r="T14" s="10">
        <f t="shared" si="2"/>
        <v>0</v>
      </c>
      <c r="U14" s="10"/>
      <c r="V14" s="10">
        <f t="shared" si="3"/>
        <v>0</v>
      </c>
      <c r="W14" s="10">
        <f t="shared" si="4"/>
        <v>0</v>
      </c>
      <c r="X14" s="10">
        <f t="shared" si="5"/>
        <v>0</v>
      </c>
    </row>
    <row r="15" spans="1:24" s="9" customFormat="1" ht="13.5" customHeight="1" x14ac:dyDescent="0.2">
      <c r="A15" s="573">
        <f t="shared" si="6"/>
        <v>11</v>
      </c>
      <c r="B15" s="65" t="s">
        <v>1849</v>
      </c>
      <c r="C15" s="163">
        <v>36187</v>
      </c>
      <c r="D15" s="175">
        <v>240000</v>
      </c>
      <c r="E15" s="175"/>
      <c r="F15" s="67">
        <f t="shared" si="0"/>
        <v>240000</v>
      </c>
      <c r="G15" s="67">
        <v>239000</v>
      </c>
      <c r="H15" s="67">
        <f t="shared" si="7"/>
        <v>1000</v>
      </c>
      <c r="I15" s="68">
        <v>5</v>
      </c>
      <c r="J15" s="68">
        <v>0.2</v>
      </c>
      <c r="K15" s="68">
        <v>0</v>
      </c>
      <c r="L15" s="110"/>
      <c r="M15" s="67">
        <f t="shared" si="8"/>
        <v>239000</v>
      </c>
      <c r="N15" s="110">
        <f t="shared" si="9"/>
        <v>1000</v>
      </c>
      <c r="O15" s="69"/>
      <c r="P15" s="69"/>
      <c r="Q15" s="464"/>
      <c r="R15" s="23"/>
      <c r="S15" s="10">
        <f t="shared" si="1"/>
        <v>12000</v>
      </c>
      <c r="T15" s="10">
        <f t="shared" si="2"/>
        <v>-11000</v>
      </c>
      <c r="U15" s="10">
        <f>N15-1000</f>
        <v>0</v>
      </c>
      <c r="V15" s="10">
        <f t="shared" si="3"/>
        <v>48000</v>
      </c>
      <c r="W15" s="10">
        <f t="shared" si="4"/>
        <v>0</v>
      </c>
      <c r="X15" s="10">
        <f t="shared" si="5"/>
        <v>0</v>
      </c>
    </row>
    <row r="16" spans="1:24" s="9" customFormat="1" ht="13.5" customHeight="1" x14ac:dyDescent="0.2">
      <c r="A16" s="573">
        <f t="shared" si="6"/>
        <v>12</v>
      </c>
      <c r="B16" s="65" t="s">
        <v>1850</v>
      </c>
      <c r="C16" s="163">
        <v>36191</v>
      </c>
      <c r="D16" s="175">
        <v>1176000</v>
      </c>
      <c r="E16" s="175"/>
      <c r="F16" s="67">
        <f t="shared" si="0"/>
        <v>1176000</v>
      </c>
      <c r="G16" s="67">
        <v>1175000</v>
      </c>
      <c r="H16" s="67">
        <f t="shared" si="7"/>
        <v>1000</v>
      </c>
      <c r="I16" s="68">
        <v>5</v>
      </c>
      <c r="J16" s="68">
        <v>0.2</v>
      </c>
      <c r="K16" s="68">
        <v>0</v>
      </c>
      <c r="L16" s="110"/>
      <c r="M16" s="67">
        <f t="shared" si="8"/>
        <v>1175000</v>
      </c>
      <c r="N16" s="110">
        <f t="shared" si="9"/>
        <v>1000</v>
      </c>
      <c r="O16" s="69"/>
      <c r="P16" s="69"/>
      <c r="Q16" s="464"/>
      <c r="R16" s="23"/>
      <c r="S16" s="10">
        <f t="shared" si="1"/>
        <v>58800</v>
      </c>
      <c r="T16" s="10">
        <f t="shared" si="2"/>
        <v>-57800</v>
      </c>
      <c r="U16" s="10">
        <f>N16-1000</f>
        <v>0</v>
      </c>
      <c r="V16" s="10">
        <f t="shared" si="3"/>
        <v>235200</v>
      </c>
      <c r="W16" s="10">
        <f t="shared" si="4"/>
        <v>0</v>
      </c>
      <c r="X16" s="10">
        <f t="shared" si="5"/>
        <v>0</v>
      </c>
    </row>
    <row r="17" spans="1:24" s="9" customFormat="1" ht="13.5" customHeight="1" x14ac:dyDescent="0.2">
      <c r="A17" s="573">
        <f t="shared" si="6"/>
        <v>13</v>
      </c>
      <c r="B17" s="65" t="s">
        <v>1851</v>
      </c>
      <c r="C17" s="163">
        <v>36373</v>
      </c>
      <c r="D17" s="175">
        <v>1800000</v>
      </c>
      <c r="E17" s="175"/>
      <c r="F17" s="67">
        <f t="shared" si="0"/>
        <v>1800000</v>
      </c>
      <c r="G17" s="67">
        <v>1799000</v>
      </c>
      <c r="H17" s="67">
        <f t="shared" si="7"/>
        <v>1000</v>
      </c>
      <c r="I17" s="68">
        <v>5</v>
      </c>
      <c r="J17" s="68">
        <v>0.2</v>
      </c>
      <c r="K17" s="68">
        <v>0</v>
      </c>
      <c r="L17" s="110"/>
      <c r="M17" s="67">
        <f t="shared" si="8"/>
        <v>1799000</v>
      </c>
      <c r="N17" s="110">
        <f t="shared" si="9"/>
        <v>1000</v>
      </c>
      <c r="O17" s="69"/>
      <c r="P17" s="69"/>
      <c r="Q17" s="464"/>
      <c r="R17" s="23"/>
      <c r="S17" s="10">
        <f t="shared" si="1"/>
        <v>90000</v>
      </c>
      <c r="T17" s="10">
        <f t="shared" si="2"/>
        <v>-89000</v>
      </c>
      <c r="U17" s="10">
        <f>N17-1000</f>
        <v>0</v>
      </c>
      <c r="V17" s="10">
        <f t="shared" si="3"/>
        <v>360000</v>
      </c>
      <c r="W17" s="10">
        <f t="shared" si="4"/>
        <v>0</v>
      </c>
      <c r="X17" s="10">
        <f t="shared" si="5"/>
        <v>0</v>
      </c>
    </row>
    <row r="18" spans="1:24" s="9" customFormat="1" ht="13.5" customHeight="1" x14ac:dyDescent="0.2">
      <c r="A18" s="573">
        <f t="shared" si="6"/>
        <v>14</v>
      </c>
      <c r="B18" s="65" t="s">
        <v>1846</v>
      </c>
      <c r="C18" s="163">
        <v>36498</v>
      </c>
      <c r="D18" s="175">
        <v>4900000</v>
      </c>
      <c r="E18" s="175"/>
      <c r="F18" s="67">
        <f t="shared" si="0"/>
        <v>4900000</v>
      </c>
      <c r="G18" s="67">
        <v>4899000</v>
      </c>
      <c r="H18" s="67">
        <f t="shared" si="7"/>
        <v>1000</v>
      </c>
      <c r="I18" s="68">
        <v>5</v>
      </c>
      <c r="J18" s="68">
        <v>0.2</v>
      </c>
      <c r="K18" s="68">
        <v>0</v>
      </c>
      <c r="L18" s="110"/>
      <c r="M18" s="67">
        <f t="shared" si="8"/>
        <v>4899000</v>
      </c>
      <c r="N18" s="110">
        <f t="shared" si="9"/>
        <v>1000</v>
      </c>
      <c r="O18" s="69"/>
      <c r="P18" s="69"/>
      <c r="Q18" s="464"/>
      <c r="R18" s="23"/>
      <c r="S18" s="10">
        <f t="shared" si="1"/>
        <v>245000</v>
      </c>
      <c r="T18" s="10">
        <f t="shared" si="2"/>
        <v>-244000</v>
      </c>
      <c r="U18" s="10">
        <f>N18-1000</f>
        <v>0</v>
      </c>
      <c r="V18" s="10">
        <f t="shared" si="3"/>
        <v>980000</v>
      </c>
      <c r="W18" s="10">
        <f t="shared" si="4"/>
        <v>0</v>
      </c>
      <c r="X18" s="10">
        <f t="shared" si="5"/>
        <v>0</v>
      </c>
    </row>
    <row r="19" spans="1:24" s="9" customFormat="1" ht="13.5" customHeight="1" x14ac:dyDescent="0.2">
      <c r="A19" s="573">
        <f t="shared" si="6"/>
        <v>15</v>
      </c>
      <c r="B19" s="65" t="s">
        <v>1852</v>
      </c>
      <c r="C19" s="163">
        <v>36529</v>
      </c>
      <c r="D19" s="175">
        <v>1360000</v>
      </c>
      <c r="E19" s="175"/>
      <c r="F19" s="67">
        <f t="shared" si="0"/>
        <v>1360000</v>
      </c>
      <c r="G19" s="67">
        <v>1359000</v>
      </c>
      <c r="H19" s="67">
        <f t="shared" si="7"/>
        <v>1000</v>
      </c>
      <c r="I19" s="68">
        <v>5</v>
      </c>
      <c r="J19" s="68">
        <v>0.2</v>
      </c>
      <c r="K19" s="68">
        <v>0</v>
      </c>
      <c r="L19" s="110"/>
      <c r="M19" s="67">
        <f t="shared" si="8"/>
        <v>1359000</v>
      </c>
      <c r="N19" s="110">
        <f t="shared" si="9"/>
        <v>1000</v>
      </c>
      <c r="O19" s="69"/>
      <c r="P19" s="69"/>
      <c r="Q19" s="464"/>
      <c r="R19" s="23"/>
      <c r="S19" s="10">
        <f t="shared" si="1"/>
        <v>68000</v>
      </c>
      <c r="T19" s="10">
        <f t="shared" si="2"/>
        <v>-67000</v>
      </c>
      <c r="U19" s="10">
        <f>N19-1000</f>
        <v>0</v>
      </c>
      <c r="V19" s="10">
        <f t="shared" si="3"/>
        <v>272000</v>
      </c>
      <c r="W19" s="10">
        <f t="shared" si="4"/>
        <v>0</v>
      </c>
      <c r="X19" s="10">
        <f t="shared" si="5"/>
        <v>0</v>
      </c>
    </row>
    <row r="20" spans="1:24" s="190" customFormat="1" ht="13.5" customHeight="1" x14ac:dyDescent="0.2">
      <c r="A20" s="574">
        <f t="shared" si="6"/>
        <v>16</v>
      </c>
      <c r="B20" s="575" t="s">
        <v>1853</v>
      </c>
      <c r="C20" s="194">
        <v>36538</v>
      </c>
      <c r="D20" s="576">
        <v>0</v>
      </c>
      <c r="E20" s="576"/>
      <c r="F20" s="195">
        <f t="shared" si="0"/>
        <v>0</v>
      </c>
      <c r="G20" s="195">
        <v>0</v>
      </c>
      <c r="H20" s="195">
        <v>0</v>
      </c>
      <c r="I20" s="197">
        <v>5</v>
      </c>
      <c r="J20" s="197">
        <v>0.2</v>
      </c>
      <c r="K20" s="197">
        <v>0</v>
      </c>
      <c r="L20" s="196"/>
      <c r="M20" s="195">
        <v>0</v>
      </c>
      <c r="N20" s="196">
        <v>0</v>
      </c>
      <c r="O20" s="577"/>
      <c r="P20" s="577"/>
      <c r="Q20" s="578"/>
      <c r="R20" s="200"/>
      <c r="S20" s="201">
        <f t="shared" si="1"/>
        <v>0</v>
      </c>
      <c r="T20" s="201">
        <f t="shared" si="2"/>
        <v>0</v>
      </c>
      <c r="U20" s="201">
        <v>0</v>
      </c>
      <c r="V20" s="201">
        <f t="shared" si="3"/>
        <v>0</v>
      </c>
      <c r="W20" s="201">
        <f t="shared" si="4"/>
        <v>0</v>
      </c>
      <c r="X20" s="201">
        <f t="shared" si="5"/>
        <v>0</v>
      </c>
    </row>
    <row r="21" spans="1:24" s="9" customFormat="1" ht="13.5" customHeight="1" x14ac:dyDescent="0.2">
      <c r="A21" s="573">
        <f t="shared" si="6"/>
        <v>17</v>
      </c>
      <c r="B21" s="65" t="s">
        <v>1854</v>
      </c>
      <c r="C21" s="163">
        <v>36568</v>
      </c>
      <c r="D21" s="175">
        <v>1763639</v>
      </c>
      <c r="E21" s="175"/>
      <c r="F21" s="67">
        <f t="shared" si="0"/>
        <v>1763639</v>
      </c>
      <c r="G21" s="67">
        <v>1762639</v>
      </c>
      <c r="H21" s="67">
        <f t="shared" ref="H21:H39" si="11">+F21-G21</f>
        <v>1000</v>
      </c>
      <c r="I21" s="68">
        <v>5</v>
      </c>
      <c r="J21" s="68">
        <v>0.2</v>
      </c>
      <c r="K21" s="68">
        <v>0</v>
      </c>
      <c r="L21" s="110"/>
      <c r="M21" s="67">
        <f t="shared" ref="M21:M39" si="12">+G21+L21</f>
        <v>1762639</v>
      </c>
      <c r="N21" s="110">
        <f t="shared" ref="N21:N40" si="13">+F21-M21</f>
        <v>1000</v>
      </c>
      <c r="O21" s="69"/>
      <c r="P21" s="69"/>
      <c r="Q21" s="464"/>
      <c r="R21" s="23"/>
      <c r="S21" s="10">
        <f t="shared" si="1"/>
        <v>88181.950000000012</v>
      </c>
      <c r="T21" s="10">
        <f t="shared" si="2"/>
        <v>-87181.950000000012</v>
      </c>
      <c r="U21" s="10">
        <f t="shared" ref="U21:U39" si="14">N21-1000</f>
        <v>0</v>
      </c>
      <c r="V21" s="10">
        <f t="shared" si="3"/>
        <v>352727.8</v>
      </c>
      <c r="W21" s="10">
        <f t="shared" si="4"/>
        <v>0</v>
      </c>
      <c r="X21" s="10">
        <f t="shared" si="5"/>
        <v>0</v>
      </c>
    </row>
    <row r="22" spans="1:24" s="9" customFormat="1" ht="13.5" customHeight="1" x14ac:dyDescent="0.2">
      <c r="A22" s="573">
        <f t="shared" si="6"/>
        <v>18</v>
      </c>
      <c r="B22" s="65" t="s">
        <v>1855</v>
      </c>
      <c r="C22" s="163">
        <v>36640</v>
      </c>
      <c r="D22" s="175">
        <v>410000</v>
      </c>
      <c r="E22" s="175"/>
      <c r="F22" s="67">
        <f t="shared" si="0"/>
        <v>410000</v>
      </c>
      <c r="G22" s="67">
        <v>409000</v>
      </c>
      <c r="H22" s="67">
        <f t="shared" si="11"/>
        <v>1000</v>
      </c>
      <c r="I22" s="68">
        <v>5</v>
      </c>
      <c r="J22" s="68">
        <v>0.2</v>
      </c>
      <c r="K22" s="68">
        <v>0</v>
      </c>
      <c r="L22" s="110"/>
      <c r="M22" s="67">
        <f t="shared" si="12"/>
        <v>409000</v>
      </c>
      <c r="N22" s="110">
        <f t="shared" si="13"/>
        <v>1000</v>
      </c>
      <c r="O22" s="69"/>
      <c r="P22" s="69"/>
      <c r="Q22" s="464"/>
      <c r="R22" s="23"/>
      <c r="S22" s="10">
        <f t="shared" si="1"/>
        <v>20500</v>
      </c>
      <c r="T22" s="10">
        <f t="shared" si="2"/>
        <v>-19500</v>
      </c>
      <c r="U22" s="10">
        <f t="shared" si="14"/>
        <v>0</v>
      </c>
      <c r="V22" s="10">
        <f t="shared" si="3"/>
        <v>82000</v>
      </c>
      <c r="W22" s="10">
        <f t="shared" si="4"/>
        <v>0</v>
      </c>
      <c r="X22" s="10">
        <f t="shared" si="5"/>
        <v>0</v>
      </c>
    </row>
    <row r="23" spans="1:24" s="9" customFormat="1" ht="13.5" customHeight="1" x14ac:dyDescent="0.2">
      <c r="A23" s="573">
        <f t="shared" si="6"/>
        <v>19</v>
      </c>
      <c r="B23" s="65" t="s">
        <v>1856</v>
      </c>
      <c r="C23" s="163">
        <v>36641</v>
      </c>
      <c r="D23" s="175">
        <v>1536364</v>
      </c>
      <c r="E23" s="175"/>
      <c r="F23" s="67">
        <f t="shared" si="0"/>
        <v>1536364</v>
      </c>
      <c r="G23" s="67">
        <v>1535364</v>
      </c>
      <c r="H23" s="67">
        <f t="shared" si="11"/>
        <v>1000</v>
      </c>
      <c r="I23" s="68">
        <v>5</v>
      </c>
      <c r="J23" s="68">
        <v>0.2</v>
      </c>
      <c r="K23" s="68">
        <v>0</v>
      </c>
      <c r="L23" s="110"/>
      <c r="M23" s="67">
        <f t="shared" si="12"/>
        <v>1535364</v>
      </c>
      <c r="N23" s="110">
        <f t="shared" si="13"/>
        <v>1000</v>
      </c>
      <c r="O23" s="69"/>
      <c r="P23" s="69"/>
      <c r="Q23" s="464"/>
      <c r="R23" s="23"/>
      <c r="S23" s="10">
        <f t="shared" si="1"/>
        <v>76818.2</v>
      </c>
      <c r="T23" s="10">
        <f t="shared" si="2"/>
        <v>-75818.2</v>
      </c>
      <c r="U23" s="10">
        <f t="shared" si="14"/>
        <v>0</v>
      </c>
      <c r="V23" s="10">
        <f t="shared" si="3"/>
        <v>307272.8</v>
      </c>
      <c r="W23" s="10">
        <f t="shared" si="4"/>
        <v>0</v>
      </c>
      <c r="X23" s="10">
        <f t="shared" si="5"/>
        <v>0</v>
      </c>
    </row>
    <row r="24" spans="1:24" s="9" customFormat="1" ht="13.5" customHeight="1" x14ac:dyDescent="0.2">
      <c r="A24" s="573">
        <f t="shared" si="6"/>
        <v>20</v>
      </c>
      <c r="B24" s="65" t="s">
        <v>1857</v>
      </c>
      <c r="C24" s="163">
        <v>36704</v>
      </c>
      <c r="D24" s="175">
        <v>260000</v>
      </c>
      <c r="E24" s="175"/>
      <c r="F24" s="67">
        <f t="shared" si="0"/>
        <v>260000</v>
      </c>
      <c r="G24" s="67">
        <v>259000</v>
      </c>
      <c r="H24" s="67">
        <f t="shared" si="11"/>
        <v>1000</v>
      </c>
      <c r="I24" s="68">
        <v>5</v>
      </c>
      <c r="J24" s="68">
        <v>0.2</v>
      </c>
      <c r="K24" s="68">
        <v>0</v>
      </c>
      <c r="L24" s="110"/>
      <c r="M24" s="67">
        <f t="shared" si="12"/>
        <v>259000</v>
      </c>
      <c r="N24" s="110">
        <f t="shared" si="13"/>
        <v>1000</v>
      </c>
      <c r="O24" s="69"/>
      <c r="P24" s="69"/>
      <c r="Q24" s="464"/>
      <c r="R24" s="23"/>
      <c r="S24" s="10">
        <f t="shared" si="1"/>
        <v>13000</v>
      </c>
      <c r="T24" s="10">
        <f t="shared" si="2"/>
        <v>-12000</v>
      </c>
      <c r="U24" s="10">
        <f t="shared" si="14"/>
        <v>0</v>
      </c>
      <c r="V24" s="10">
        <f t="shared" si="3"/>
        <v>52000</v>
      </c>
      <c r="W24" s="10">
        <f t="shared" si="4"/>
        <v>0</v>
      </c>
      <c r="X24" s="10">
        <f t="shared" si="5"/>
        <v>0</v>
      </c>
    </row>
    <row r="25" spans="1:24" s="9" customFormat="1" ht="13.5" customHeight="1" x14ac:dyDescent="0.2">
      <c r="A25" s="573">
        <f t="shared" si="6"/>
        <v>21</v>
      </c>
      <c r="B25" s="65" t="s">
        <v>1858</v>
      </c>
      <c r="C25" s="163">
        <v>36750</v>
      </c>
      <c r="D25" s="175">
        <v>1000000</v>
      </c>
      <c r="E25" s="175"/>
      <c r="F25" s="67">
        <f t="shared" si="0"/>
        <v>1000000</v>
      </c>
      <c r="G25" s="67">
        <v>999000</v>
      </c>
      <c r="H25" s="67">
        <f t="shared" si="11"/>
        <v>1000</v>
      </c>
      <c r="I25" s="68">
        <v>5</v>
      </c>
      <c r="J25" s="68">
        <v>0.2</v>
      </c>
      <c r="K25" s="68">
        <v>0</v>
      </c>
      <c r="L25" s="110"/>
      <c r="M25" s="67">
        <f t="shared" si="12"/>
        <v>999000</v>
      </c>
      <c r="N25" s="110">
        <f t="shared" si="13"/>
        <v>1000</v>
      </c>
      <c r="O25" s="69"/>
      <c r="P25" s="69"/>
      <c r="Q25" s="464"/>
      <c r="R25" s="23">
        <f t="shared" ref="R25:R88" si="15">+N25*J25</f>
        <v>200</v>
      </c>
      <c r="S25" s="10">
        <f t="shared" si="1"/>
        <v>50000</v>
      </c>
      <c r="T25" s="10">
        <f t="shared" si="2"/>
        <v>-49000</v>
      </c>
      <c r="U25" s="10">
        <f t="shared" si="14"/>
        <v>0</v>
      </c>
      <c r="V25" s="10">
        <f t="shared" si="3"/>
        <v>200000</v>
      </c>
      <c r="W25" s="10">
        <f t="shared" si="4"/>
        <v>0</v>
      </c>
      <c r="X25" s="10">
        <f t="shared" si="5"/>
        <v>0</v>
      </c>
    </row>
    <row r="26" spans="1:24" s="9" customFormat="1" ht="13.5" customHeight="1" x14ac:dyDescent="0.2">
      <c r="A26" s="573">
        <f t="shared" si="6"/>
        <v>22</v>
      </c>
      <c r="B26" s="65" t="s">
        <v>1859</v>
      </c>
      <c r="C26" s="163">
        <v>36750</v>
      </c>
      <c r="D26" s="175">
        <v>4250000</v>
      </c>
      <c r="E26" s="175"/>
      <c r="F26" s="67">
        <f t="shared" si="0"/>
        <v>4250000</v>
      </c>
      <c r="G26" s="67">
        <v>4249000</v>
      </c>
      <c r="H26" s="67">
        <f t="shared" si="11"/>
        <v>1000</v>
      </c>
      <c r="I26" s="68">
        <v>5</v>
      </c>
      <c r="J26" s="68">
        <v>0.2</v>
      </c>
      <c r="K26" s="68">
        <v>0</v>
      </c>
      <c r="L26" s="110"/>
      <c r="M26" s="67">
        <f t="shared" si="12"/>
        <v>4249000</v>
      </c>
      <c r="N26" s="110">
        <f t="shared" si="13"/>
        <v>1000</v>
      </c>
      <c r="O26" s="69"/>
      <c r="P26" s="69"/>
      <c r="Q26" s="464"/>
      <c r="R26" s="23">
        <f t="shared" si="15"/>
        <v>200</v>
      </c>
      <c r="S26" s="10">
        <f t="shared" si="1"/>
        <v>212500</v>
      </c>
      <c r="T26" s="10">
        <f t="shared" si="2"/>
        <v>-211500</v>
      </c>
      <c r="U26" s="10">
        <f t="shared" si="14"/>
        <v>0</v>
      </c>
      <c r="V26" s="10">
        <f t="shared" si="3"/>
        <v>850000</v>
      </c>
      <c r="W26" s="10">
        <f t="shared" si="4"/>
        <v>0</v>
      </c>
      <c r="X26" s="10">
        <f t="shared" si="5"/>
        <v>0</v>
      </c>
    </row>
    <row r="27" spans="1:24" s="9" customFormat="1" ht="13.5" customHeight="1" x14ac:dyDescent="0.2">
      <c r="A27" s="573">
        <f t="shared" si="6"/>
        <v>23</v>
      </c>
      <c r="B27" s="65" t="s">
        <v>1860</v>
      </c>
      <c r="C27" s="163">
        <v>36757</v>
      </c>
      <c r="D27" s="175">
        <v>4160000</v>
      </c>
      <c r="E27" s="175"/>
      <c r="F27" s="67">
        <f t="shared" si="0"/>
        <v>4160000</v>
      </c>
      <c r="G27" s="67">
        <v>4159000</v>
      </c>
      <c r="H27" s="67">
        <f t="shared" si="11"/>
        <v>1000</v>
      </c>
      <c r="I27" s="68">
        <v>5</v>
      </c>
      <c r="J27" s="68">
        <v>0.2</v>
      </c>
      <c r="K27" s="68">
        <v>0</v>
      </c>
      <c r="L27" s="110"/>
      <c r="M27" s="67">
        <f t="shared" si="12"/>
        <v>4159000</v>
      </c>
      <c r="N27" s="110">
        <f t="shared" si="13"/>
        <v>1000</v>
      </c>
      <c r="O27" s="69"/>
      <c r="P27" s="69"/>
      <c r="Q27" s="464"/>
      <c r="R27" s="23">
        <f t="shared" si="15"/>
        <v>200</v>
      </c>
      <c r="S27" s="10">
        <f t="shared" si="1"/>
        <v>208000</v>
      </c>
      <c r="T27" s="10">
        <f t="shared" si="2"/>
        <v>-207000</v>
      </c>
      <c r="U27" s="10">
        <f t="shared" si="14"/>
        <v>0</v>
      </c>
      <c r="V27" s="10">
        <f t="shared" si="3"/>
        <v>832000</v>
      </c>
      <c r="W27" s="10">
        <f t="shared" si="4"/>
        <v>0</v>
      </c>
      <c r="X27" s="10">
        <f t="shared" si="5"/>
        <v>0</v>
      </c>
    </row>
    <row r="28" spans="1:24" s="9" customFormat="1" ht="13.5" customHeight="1" x14ac:dyDescent="0.2">
      <c r="A28" s="573">
        <f t="shared" si="6"/>
        <v>24</v>
      </c>
      <c r="B28" s="65" t="s">
        <v>1861</v>
      </c>
      <c r="C28" s="163">
        <v>36767</v>
      </c>
      <c r="D28" s="175">
        <v>2872730</v>
      </c>
      <c r="E28" s="175"/>
      <c r="F28" s="67">
        <f t="shared" si="0"/>
        <v>2872730</v>
      </c>
      <c r="G28" s="67">
        <v>2871730</v>
      </c>
      <c r="H28" s="67">
        <f t="shared" si="11"/>
        <v>1000</v>
      </c>
      <c r="I28" s="68">
        <v>5</v>
      </c>
      <c r="J28" s="68">
        <v>0.2</v>
      </c>
      <c r="K28" s="68">
        <v>0</v>
      </c>
      <c r="L28" s="110"/>
      <c r="M28" s="67">
        <f t="shared" si="12"/>
        <v>2871730</v>
      </c>
      <c r="N28" s="110">
        <f t="shared" si="13"/>
        <v>1000</v>
      </c>
      <c r="O28" s="69"/>
      <c r="P28" s="69"/>
      <c r="Q28" s="464"/>
      <c r="R28" s="23">
        <f t="shared" si="15"/>
        <v>200</v>
      </c>
      <c r="S28" s="10">
        <f t="shared" si="1"/>
        <v>143636.5</v>
      </c>
      <c r="T28" s="10">
        <f t="shared" si="2"/>
        <v>-142636.5</v>
      </c>
      <c r="U28" s="10">
        <f t="shared" si="14"/>
        <v>0</v>
      </c>
      <c r="V28" s="10">
        <f t="shared" si="3"/>
        <v>574546</v>
      </c>
      <c r="W28" s="10">
        <f t="shared" si="4"/>
        <v>0</v>
      </c>
      <c r="X28" s="10">
        <f t="shared" si="5"/>
        <v>0</v>
      </c>
    </row>
    <row r="29" spans="1:24" s="9" customFormat="1" ht="13.5" customHeight="1" x14ac:dyDescent="0.2">
      <c r="A29" s="573">
        <f t="shared" si="6"/>
        <v>25</v>
      </c>
      <c r="B29" s="65" t="s">
        <v>1862</v>
      </c>
      <c r="C29" s="163">
        <v>36776</v>
      </c>
      <c r="D29" s="175">
        <v>1636364</v>
      </c>
      <c r="E29" s="175"/>
      <c r="F29" s="67">
        <f t="shared" si="0"/>
        <v>1636364</v>
      </c>
      <c r="G29" s="67">
        <v>1635364</v>
      </c>
      <c r="H29" s="67">
        <f t="shared" si="11"/>
        <v>1000</v>
      </c>
      <c r="I29" s="68">
        <v>5</v>
      </c>
      <c r="J29" s="68">
        <v>0.2</v>
      </c>
      <c r="K29" s="68">
        <v>0</v>
      </c>
      <c r="L29" s="110"/>
      <c r="M29" s="67">
        <f t="shared" si="12"/>
        <v>1635364</v>
      </c>
      <c r="N29" s="110">
        <f t="shared" si="13"/>
        <v>1000</v>
      </c>
      <c r="O29" s="69"/>
      <c r="P29" s="69"/>
      <c r="Q29" s="464"/>
      <c r="R29" s="23">
        <f t="shared" si="15"/>
        <v>200</v>
      </c>
      <c r="S29" s="10">
        <f t="shared" si="1"/>
        <v>81818.200000000012</v>
      </c>
      <c r="T29" s="10">
        <f t="shared" si="2"/>
        <v>-80818.200000000012</v>
      </c>
      <c r="U29" s="10">
        <f t="shared" si="14"/>
        <v>0</v>
      </c>
      <c r="V29" s="10">
        <f t="shared" si="3"/>
        <v>327272.8</v>
      </c>
      <c r="W29" s="10">
        <f t="shared" si="4"/>
        <v>0</v>
      </c>
      <c r="X29" s="10">
        <f t="shared" si="5"/>
        <v>0</v>
      </c>
    </row>
    <row r="30" spans="1:24" s="9" customFormat="1" ht="13.5" customHeight="1" x14ac:dyDescent="0.2">
      <c r="A30" s="573">
        <f t="shared" si="6"/>
        <v>26</v>
      </c>
      <c r="B30" s="65" t="s">
        <v>1863</v>
      </c>
      <c r="C30" s="163">
        <v>36776</v>
      </c>
      <c r="D30" s="175">
        <v>1045454</v>
      </c>
      <c r="E30" s="175"/>
      <c r="F30" s="67">
        <f t="shared" si="0"/>
        <v>1045454</v>
      </c>
      <c r="G30" s="67">
        <v>1044454</v>
      </c>
      <c r="H30" s="67">
        <f t="shared" si="11"/>
        <v>1000</v>
      </c>
      <c r="I30" s="68">
        <v>5</v>
      </c>
      <c r="J30" s="68">
        <v>0.2</v>
      </c>
      <c r="K30" s="68">
        <v>0</v>
      </c>
      <c r="L30" s="110"/>
      <c r="M30" s="67">
        <f t="shared" si="12"/>
        <v>1044454</v>
      </c>
      <c r="N30" s="110">
        <f t="shared" si="13"/>
        <v>1000</v>
      </c>
      <c r="O30" s="69"/>
      <c r="P30" s="69"/>
      <c r="Q30" s="464"/>
      <c r="R30" s="23">
        <f t="shared" si="15"/>
        <v>200</v>
      </c>
      <c r="S30" s="10">
        <f t="shared" si="1"/>
        <v>52272.700000000004</v>
      </c>
      <c r="T30" s="10">
        <f t="shared" si="2"/>
        <v>-51272.700000000004</v>
      </c>
      <c r="U30" s="10">
        <f t="shared" si="14"/>
        <v>0</v>
      </c>
      <c r="V30" s="10">
        <f t="shared" si="3"/>
        <v>209090.8</v>
      </c>
      <c r="W30" s="10">
        <f t="shared" si="4"/>
        <v>0</v>
      </c>
      <c r="X30" s="10">
        <f t="shared" si="5"/>
        <v>0</v>
      </c>
    </row>
    <row r="31" spans="1:24" s="9" customFormat="1" ht="13.5" customHeight="1" x14ac:dyDescent="0.2">
      <c r="A31" s="723">
        <f t="shared" si="6"/>
        <v>27</v>
      </c>
      <c r="B31" s="724" t="s">
        <v>1864</v>
      </c>
      <c r="C31" s="725">
        <v>36777</v>
      </c>
      <c r="D31" s="726">
        <v>0</v>
      </c>
      <c r="E31" s="726"/>
      <c r="F31" s="727">
        <f t="shared" si="0"/>
        <v>0</v>
      </c>
      <c r="G31" s="727"/>
      <c r="H31" s="727"/>
      <c r="I31" s="728">
        <v>5</v>
      </c>
      <c r="J31" s="728">
        <v>0.2</v>
      </c>
      <c r="K31" s="728">
        <v>0</v>
      </c>
      <c r="L31" s="729"/>
      <c r="M31" s="727"/>
      <c r="N31" s="729"/>
      <c r="O31" s="732"/>
      <c r="P31" s="732"/>
      <c r="Q31" s="733" t="s">
        <v>2907</v>
      </c>
      <c r="R31" s="23">
        <f t="shared" si="15"/>
        <v>0</v>
      </c>
      <c r="S31" s="10">
        <f t="shared" si="1"/>
        <v>0</v>
      </c>
      <c r="T31" s="10">
        <f t="shared" si="2"/>
        <v>0</v>
      </c>
      <c r="U31" s="10">
        <f t="shared" si="14"/>
        <v>-1000</v>
      </c>
      <c r="V31" s="10">
        <f t="shared" si="3"/>
        <v>0</v>
      </c>
      <c r="W31" s="10">
        <f t="shared" si="4"/>
        <v>0</v>
      </c>
      <c r="X31" s="10">
        <f t="shared" si="5"/>
        <v>0</v>
      </c>
    </row>
    <row r="32" spans="1:24" s="9" customFormat="1" ht="13.5" customHeight="1" x14ac:dyDescent="0.2">
      <c r="A32" s="573">
        <f t="shared" si="6"/>
        <v>28</v>
      </c>
      <c r="B32" s="65" t="s">
        <v>1865</v>
      </c>
      <c r="C32" s="163">
        <v>36820</v>
      </c>
      <c r="D32" s="175">
        <v>280000</v>
      </c>
      <c r="E32" s="175"/>
      <c r="F32" s="67">
        <f t="shared" si="0"/>
        <v>280000</v>
      </c>
      <c r="G32" s="67">
        <v>279000</v>
      </c>
      <c r="H32" s="67">
        <f t="shared" si="11"/>
        <v>1000</v>
      </c>
      <c r="I32" s="68">
        <v>5</v>
      </c>
      <c r="J32" s="68">
        <v>0.2</v>
      </c>
      <c r="K32" s="68">
        <v>0</v>
      </c>
      <c r="L32" s="110"/>
      <c r="M32" s="67">
        <f t="shared" si="12"/>
        <v>279000</v>
      </c>
      <c r="N32" s="110">
        <f t="shared" si="13"/>
        <v>1000</v>
      </c>
      <c r="O32" s="69"/>
      <c r="P32" s="69"/>
      <c r="Q32" s="464"/>
      <c r="R32" s="23">
        <f t="shared" si="15"/>
        <v>200</v>
      </c>
      <c r="S32" s="10">
        <f t="shared" si="1"/>
        <v>14000</v>
      </c>
      <c r="T32" s="10">
        <f t="shared" si="2"/>
        <v>-13000</v>
      </c>
      <c r="U32" s="10">
        <f t="shared" si="14"/>
        <v>0</v>
      </c>
      <c r="V32" s="10">
        <f t="shared" si="3"/>
        <v>56000</v>
      </c>
      <c r="W32" s="10">
        <f t="shared" si="4"/>
        <v>0</v>
      </c>
      <c r="X32" s="10">
        <f t="shared" si="5"/>
        <v>0</v>
      </c>
    </row>
    <row r="33" spans="1:24" s="9" customFormat="1" ht="13.5" customHeight="1" x14ac:dyDescent="0.2">
      <c r="A33" s="573">
        <f t="shared" si="6"/>
        <v>29</v>
      </c>
      <c r="B33" s="65" t="s">
        <v>1866</v>
      </c>
      <c r="C33" s="163">
        <v>36822</v>
      </c>
      <c r="D33" s="175">
        <v>463637</v>
      </c>
      <c r="E33" s="175"/>
      <c r="F33" s="67">
        <f t="shared" si="0"/>
        <v>463637</v>
      </c>
      <c r="G33" s="67">
        <v>462637</v>
      </c>
      <c r="H33" s="67">
        <f t="shared" si="11"/>
        <v>1000</v>
      </c>
      <c r="I33" s="68">
        <v>5</v>
      </c>
      <c r="J33" s="68">
        <v>0.2</v>
      </c>
      <c r="K33" s="68">
        <v>0</v>
      </c>
      <c r="L33" s="110"/>
      <c r="M33" s="67">
        <f t="shared" si="12"/>
        <v>462637</v>
      </c>
      <c r="N33" s="110">
        <f t="shared" si="13"/>
        <v>1000</v>
      </c>
      <c r="O33" s="69"/>
      <c r="P33" s="69"/>
      <c r="Q33" s="464"/>
      <c r="R33" s="23">
        <f t="shared" si="15"/>
        <v>200</v>
      </c>
      <c r="S33" s="10">
        <f t="shared" si="1"/>
        <v>23181.850000000002</v>
      </c>
      <c r="T33" s="10">
        <f t="shared" si="2"/>
        <v>-22181.850000000002</v>
      </c>
      <c r="U33" s="10">
        <f t="shared" si="14"/>
        <v>0</v>
      </c>
      <c r="V33" s="10">
        <f t="shared" si="3"/>
        <v>92727.4</v>
      </c>
      <c r="W33" s="10">
        <f t="shared" si="4"/>
        <v>0</v>
      </c>
      <c r="X33" s="10">
        <f t="shared" si="5"/>
        <v>0</v>
      </c>
    </row>
    <row r="34" spans="1:24" s="9" customFormat="1" ht="13.5" customHeight="1" x14ac:dyDescent="0.2">
      <c r="A34" s="573">
        <f t="shared" si="6"/>
        <v>30</v>
      </c>
      <c r="B34" s="65" t="s">
        <v>1867</v>
      </c>
      <c r="C34" s="163">
        <v>36824</v>
      </c>
      <c r="D34" s="175">
        <v>1090909</v>
      </c>
      <c r="E34" s="175"/>
      <c r="F34" s="67">
        <f t="shared" si="0"/>
        <v>1090909</v>
      </c>
      <c r="G34" s="67">
        <v>1089909</v>
      </c>
      <c r="H34" s="67">
        <f t="shared" si="11"/>
        <v>1000</v>
      </c>
      <c r="I34" s="68">
        <v>5</v>
      </c>
      <c r="J34" s="68">
        <v>0.2</v>
      </c>
      <c r="K34" s="68">
        <v>0</v>
      </c>
      <c r="L34" s="110"/>
      <c r="M34" s="67">
        <f t="shared" si="12"/>
        <v>1089909</v>
      </c>
      <c r="N34" s="110">
        <f t="shared" si="13"/>
        <v>1000</v>
      </c>
      <c r="O34" s="69"/>
      <c r="P34" s="69"/>
      <c r="Q34" s="464"/>
      <c r="R34" s="23">
        <f t="shared" si="15"/>
        <v>200</v>
      </c>
      <c r="S34" s="10">
        <f t="shared" si="1"/>
        <v>54545.450000000004</v>
      </c>
      <c r="T34" s="10">
        <f t="shared" si="2"/>
        <v>-53545.450000000004</v>
      </c>
      <c r="U34" s="10">
        <f t="shared" si="14"/>
        <v>0</v>
      </c>
      <c r="V34" s="10">
        <f t="shared" si="3"/>
        <v>218181.8</v>
      </c>
      <c r="W34" s="10">
        <f t="shared" si="4"/>
        <v>0</v>
      </c>
      <c r="X34" s="10">
        <f t="shared" si="5"/>
        <v>0</v>
      </c>
    </row>
    <row r="35" spans="1:24" s="9" customFormat="1" ht="13.5" customHeight="1" x14ac:dyDescent="0.2">
      <c r="A35" s="573">
        <f t="shared" si="6"/>
        <v>31</v>
      </c>
      <c r="B35" s="65" t="s">
        <v>1868</v>
      </c>
      <c r="C35" s="163">
        <v>36865</v>
      </c>
      <c r="D35" s="175">
        <v>563636</v>
      </c>
      <c r="E35" s="175"/>
      <c r="F35" s="67">
        <f t="shared" si="0"/>
        <v>563636</v>
      </c>
      <c r="G35" s="67">
        <v>562636</v>
      </c>
      <c r="H35" s="67">
        <f t="shared" si="11"/>
        <v>1000</v>
      </c>
      <c r="I35" s="68">
        <v>5</v>
      </c>
      <c r="J35" s="68">
        <v>0.2</v>
      </c>
      <c r="K35" s="68">
        <v>0</v>
      </c>
      <c r="L35" s="110"/>
      <c r="M35" s="67">
        <f t="shared" si="12"/>
        <v>562636</v>
      </c>
      <c r="N35" s="110">
        <f t="shared" si="13"/>
        <v>1000</v>
      </c>
      <c r="O35" s="69"/>
      <c r="P35" s="69"/>
      <c r="Q35" s="464"/>
      <c r="R35" s="23">
        <f t="shared" si="15"/>
        <v>200</v>
      </c>
      <c r="S35" s="10">
        <f t="shared" si="1"/>
        <v>28181.800000000003</v>
      </c>
      <c r="T35" s="10">
        <f t="shared" si="2"/>
        <v>-27181.800000000003</v>
      </c>
      <c r="U35" s="10">
        <f t="shared" si="14"/>
        <v>0</v>
      </c>
      <c r="V35" s="10">
        <f t="shared" si="3"/>
        <v>112727.2</v>
      </c>
      <c r="W35" s="10">
        <f t="shared" si="4"/>
        <v>0</v>
      </c>
      <c r="X35" s="10">
        <f t="shared" si="5"/>
        <v>0</v>
      </c>
    </row>
    <row r="36" spans="1:24" s="9" customFormat="1" ht="13.5" customHeight="1" x14ac:dyDescent="0.2">
      <c r="A36" s="573">
        <f t="shared" si="6"/>
        <v>32</v>
      </c>
      <c r="B36" s="65" t="s">
        <v>1868</v>
      </c>
      <c r="C36" s="163">
        <v>36865</v>
      </c>
      <c r="D36" s="175">
        <v>40000</v>
      </c>
      <c r="E36" s="175"/>
      <c r="F36" s="67">
        <f t="shared" si="0"/>
        <v>40000</v>
      </c>
      <c r="G36" s="67">
        <v>39000</v>
      </c>
      <c r="H36" s="67">
        <f t="shared" si="11"/>
        <v>1000</v>
      </c>
      <c r="I36" s="68">
        <v>5</v>
      </c>
      <c r="J36" s="68">
        <v>0.2</v>
      </c>
      <c r="K36" s="68">
        <v>0</v>
      </c>
      <c r="L36" s="110"/>
      <c r="M36" s="67">
        <f t="shared" si="12"/>
        <v>39000</v>
      </c>
      <c r="N36" s="110">
        <f t="shared" si="13"/>
        <v>1000</v>
      </c>
      <c r="O36" s="69"/>
      <c r="P36" s="69"/>
      <c r="Q36" s="464"/>
      <c r="R36" s="23">
        <f t="shared" si="15"/>
        <v>200</v>
      </c>
      <c r="S36" s="10">
        <f t="shared" si="1"/>
        <v>2000</v>
      </c>
      <c r="T36" s="10">
        <f t="shared" si="2"/>
        <v>-1000</v>
      </c>
      <c r="U36" s="10">
        <f t="shared" si="14"/>
        <v>0</v>
      </c>
      <c r="V36" s="10">
        <f t="shared" si="3"/>
        <v>8000</v>
      </c>
      <c r="W36" s="10">
        <f t="shared" si="4"/>
        <v>0</v>
      </c>
      <c r="X36" s="10">
        <f t="shared" si="5"/>
        <v>0</v>
      </c>
    </row>
    <row r="37" spans="1:24" s="9" customFormat="1" ht="13.5" customHeight="1" x14ac:dyDescent="0.2">
      <c r="A37" s="573">
        <f t="shared" si="6"/>
        <v>33</v>
      </c>
      <c r="B37" s="65" t="s">
        <v>1869</v>
      </c>
      <c r="C37" s="163">
        <v>36867</v>
      </c>
      <c r="D37" s="175">
        <v>900000</v>
      </c>
      <c r="E37" s="175"/>
      <c r="F37" s="67">
        <f t="shared" si="0"/>
        <v>900000</v>
      </c>
      <c r="G37" s="67">
        <v>899000</v>
      </c>
      <c r="H37" s="67">
        <f t="shared" si="11"/>
        <v>1000</v>
      </c>
      <c r="I37" s="68">
        <v>5</v>
      </c>
      <c r="J37" s="68">
        <v>0.2</v>
      </c>
      <c r="K37" s="68">
        <v>0</v>
      </c>
      <c r="L37" s="110"/>
      <c r="M37" s="67">
        <f t="shared" si="12"/>
        <v>899000</v>
      </c>
      <c r="N37" s="110">
        <f t="shared" si="13"/>
        <v>1000</v>
      </c>
      <c r="O37" s="69"/>
      <c r="P37" s="69"/>
      <c r="Q37" s="464"/>
      <c r="R37" s="23">
        <f t="shared" si="15"/>
        <v>200</v>
      </c>
      <c r="S37" s="10">
        <f t="shared" si="1"/>
        <v>45000</v>
      </c>
      <c r="T37" s="10">
        <f t="shared" si="2"/>
        <v>-44000</v>
      </c>
      <c r="U37" s="10">
        <f t="shared" si="14"/>
        <v>0</v>
      </c>
      <c r="V37" s="10">
        <f t="shared" si="3"/>
        <v>180000</v>
      </c>
      <c r="W37" s="10">
        <f t="shared" si="4"/>
        <v>0</v>
      </c>
      <c r="X37" s="10">
        <f t="shared" si="5"/>
        <v>0</v>
      </c>
    </row>
    <row r="38" spans="1:24" s="9" customFormat="1" ht="13.5" customHeight="1" x14ac:dyDescent="0.2">
      <c r="A38" s="573">
        <f t="shared" si="6"/>
        <v>34</v>
      </c>
      <c r="B38" s="65" t="s">
        <v>1846</v>
      </c>
      <c r="C38" s="163">
        <v>36976</v>
      </c>
      <c r="D38" s="175">
        <v>900000</v>
      </c>
      <c r="E38" s="175"/>
      <c r="F38" s="67">
        <f t="shared" si="0"/>
        <v>900000</v>
      </c>
      <c r="G38" s="67">
        <v>899000</v>
      </c>
      <c r="H38" s="67">
        <f t="shared" si="11"/>
        <v>1000</v>
      </c>
      <c r="I38" s="68">
        <v>5</v>
      </c>
      <c r="J38" s="68">
        <v>0.2</v>
      </c>
      <c r="K38" s="68">
        <v>0</v>
      </c>
      <c r="L38" s="110"/>
      <c r="M38" s="67">
        <f t="shared" si="12"/>
        <v>899000</v>
      </c>
      <c r="N38" s="110">
        <f t="shared" si="13"/>
        <v>1000</v>
      </c>
      <c r="O38" s="69"/>
      <c r="P38" s="69"/>
      <c r="Q38" s="464"/>
      <c r="R38" s="23">
        <f t="shared" si="15"/>
        <v>200</v>
      </c>
      <c r="S38" s="10">
        <f t="shared" si="1"/>
        <v>45000</v>
      </c>
      <c r="T38" s="10">
        <f t="shared" si="2"/>
        <v>-44000</v>
      </c>
      <c r="U38" s="10">
        <f t="shared" si="14"/>
        <v>0</v>
      </c>
      <c r="V38" s="10">
        <f t="shared" si="3"/>
        <v>180000</v>
      </c>
      <c r="W38" s="10">
        <f t="shared" si="4"/>
        <v>0</v>
      </c>
      <c r="X38" s="10">
        <f t="shared" si="5"/>
        <v>0</v>
      </c>
    </row>
    <row r="39" spans="1:24" s="9" customFormat="1" ht="13.5" customHeight="1" x14ac:dyDescent="0.2">
      <c r="A39" s="573">
        <f t="shared" si="6"/>
        <v>35</v>
      </c>
      <c r="B39" s="65" t="s">
        <v>1870</v>
      </c>
      <c r="C39" s="163">
        <v>36994</v>
      </c>
      <c r="D39" s="175">
        <v>1083637</v>
      </c>
      <c r="E39" s="175"/>
      <c r="F39" s="67">
        <f t="shared" si="0"/>
        <v>1083637</v>
      </c>
      <c r="G39" s="67">
        <v>1082637</v>
      </c>
      <c r="H39" s="67">
        <f t="shared" si="11"/>
        <v>1000</v>
      </c>
      <c r="I39" s="68">
        <v>5</v>
      </c>
      <c r="J39" s="68">
        <v>0.2</v>
      </c>
      <c r="K39" s="68">
        <v>0</v>
      </c>
      <c r="L39" s="110"/>
      <c r="M39" s="67">
        <f t="shared" si="12"/>
        <v>1082637</v>
      </c>
      <c r="N39" s="110">
        <f t="shared" si="13"/>
        <v>1000</v>
      </c>
      <c r="O39" s="69"/>
      <c r="P39" s="69"/>
      <c r="Q39" s="464"/>
      <c r="R39" s="23">
        <f t="shared" si="15"/>
        <v>200</v>
      </c>
      <c r="S39" s="10">
        <f t="shared" si="1"/>
        <v>54181.850000000006</v>
      </c>
      <c r="T39" s="10">
        <f t="shared" si="2"/>
        <v>-53181.850000000006</v>
      </c>
      <c r="U39" s="10">
        <f t="shared" si="14"/>
        <v>0</v>
      </c>
      <c r="V39" s="10">
        <f t="shared" si="3"/>
        <v>216727.4</v>
      </c>
      <c r="W39" s="10">
        <f t="shared" si="4"/>
        <v>0</v>
      </c>
      <c r="X39" s="10">
        <f t="shared" si="5"/>
        <v>0</v>
      </c>
    </row>
    <row r="40" spans="1:24" s="190" customFormat="1" ht="13.5" customHeight="1" x14ac:dyDescent="0.2">
      <c r="A40" s="574">
        <f t="shared" si="6"/>
        <v>36</v>
      </c>
      <c r="B40" s="575" t="s">
        <v>1871</v>
      </c>
      <c r="C40" s="194">
        <v>37014</v>
      </c>
      <c r="D40" s="576">
        <v>0</v>
      </c>
      <c r="E40" s="576"/>
      <c r="F40" s="195">
        <f t="shared" si="0"/>
        <v>0</v>
      </c>
      <c r="G40" s="195">
        <v>0</v>
      </c>
      <c r="H40" s="195">
        <v>0</v>
      </c>
      <c r="I40" s="197">
        <v>5</v>
      </c>
      <c r="J40" s="197">
        <v>0.2</v>
      </c>
      <c r="K40" s="197">
        <v>0</v>
      </c>
      <c r="L40" s="196"/>
      <c r="M40" s="195">
        <v>0</v>
      </c>
      <c r="N40" s="196">
        <f t="shared" si="13"/>
        <v>0</v>
      </c>
      <c r="O40" s="577"/>
      <c r="P40" s="577"/>
      <c r="Q40" s="578"/>
      <c r="R40" s="200">
        <f t="shared" si="15"/>
        <v>0</v>
      </c>
      <c r="S40" s="201">
        <f t="shared" si="1"/>
        <v>0</v>
      </c>
      <c r="T40" s="201">
        <f t="shared" si="2"/>
        <v>0</v>
      </c>
      <c r="U40" s="201">
        <v>0</v>
      </c>
      <c r="V40" s="201">
        <f t="shared" si="3"/>
        <v>0</v>
      </c>
      <c r="W40" s="201">
        <f t="shared" si="4"/>
        <v>0</v>
      </c>
      <c r="X40" s="201">
        <f t="shared" si="5"/>
        <v>0</v>
      </c>
    </row>
    <row r="41" spans="1:24" s="9" customFormat="1" ht="13.5" customHeight="1" x14ac:dyDescent="0.2">
      <c r="A41" s="579">
        <f t="shared" si="6"/>
        <v>37</v>
      </c>
      <c r="B41" s="580" t="s">
        <v>1872</v>
      </c>
      <c r="C41" s="581">
        <v>37035</v>
      </c>
      <c r="D41" s="582"/>
      <c r="E41" s="582"/>
      <c r="F41" s="82"/>
      <c r="G41" s="82">
        <v>0</v>
      </c>
      <c r="H41" s="82"/>
      <c r="I41" s="86">
        <v>5</v>
      </c>
      <c r="J41" s="86">
        <v>0.2</v>
      </c>
      <c r="K41" s="86">
        <v>0</v>
      </c>
      <c r="L41" s="112"/>
      <c r="M41" s="82">
        <f t="shared" ref="M41:M52" si="16">+G41+L41</f>
        <v>0</v>
      </c>
      <c r="N41" s="112"/>
      <c r="O41" s="586"/>
      <c r="P41" s="586"/>
      <c r="Q41" s="587"/>
      <c r="R41" s="23">
        <f t="shared" si="15"/>
        <v>0</v>
      </c>
      <c r="S41" s="10">
        <f t="shared" si="1"/>
        <v>0</v>
      </c>
      <c r="T41" s="10">
        <f t="shared" si="2"/>
        <v>0</v>
      </c>
      <c r="U41" s="10"/>
      <c r="V41" s="10">
        <f t="shared" si="3"/>
        <v>0</v>
      </c>
      <c r="W41" s="10">
        <f t="shared" si="4"/>
        <v>0</v>
      </c>
      <c r="X41" s="10">
        <f t="shared" si="5"/>
        <v>0</v>
      </c>
    </row>
    <row r="42" spans="1:24" s="9" customFormat="1" ht="13.5" customHeight="1" x14ac:dyDescent="0.2">
      <c r="A42" s="573">
        <f t="shared" si="6"/>
        <v>38</v>
      </c>
      <c r="B42" s="65" t="s">
        <v>1873</v>
      </c>
      <c r="C42" s="163">
        <v>37037</v>
      </c>
      <c r="D42" s="175">
        <v>95000</v>
      </c>
      <c r="E42" s="175"/>
      <c r="F42" s="67">
        <f t="shared" ref="F42:F51" si="17">+D42+E42</f>
        <v>95000</v>
      </c>
      <c r="G42" s="67">
        <v>94000</v>
      </c>
      <c r="H42" s="67">
        <f t="shared" ref="H42:H51" si="18">+F42-G42</f>
        <v>1000</v>
      </c>
      <c r="I42" s="68">
        <v>5</v>
      </c>
      <c r="J42" s="68">
        <v>0.2</v>
      </c>
      <c r="K42" s="68">
        <v>0</v>
      </c>
      <c r="L42" s="110"/>
      <c r="M42" s="67">
        <f t="shared" si="16"/>
        <v>94000</v>
      </c>
      <c r="N42" s="110">
        <f t="shared" ref="N42:N51" si="19">+F42-M42</f>
        <v>1000</v>
      </c>
      <c r="O42" s="588"/>
      <c r="P42" s="589"/>
      <c r="Q42" s="464"/>
      <c r="R42" s="23">
        <f t="shared" si="15"/>
        <v>200</v>
      </c>
      <c r="S42" s="10">
        <f t="shared" si="1"/>
        <v>4750</v>
      </c>
      <c r="T42" s="10">
        <f t="shared" si="2"/>
        <v>-3750</v>
      </c>
      <c r="U42" s="10">
        <f t="shared" ref="U42:U51" si="20">N42-1000</f>
        <v>0</v>
      </c>
      <c r="V42" s="10">
        <f t="shared" si="3"/>
        <v>19000</v>
      </c>
      <c r="W42" s="10">
        <f t="shared" si="4"/>
        <v>0</v>
      </c>
      <c r="X42" s="10">
        <f t="shared" si="5"/>
        <v>0</v>
      </c>
    </row>
    <row r="43" spans="1:24" s="9" customFormat="1" ht="13.5" customHeight="1" x14ac:dyDescent="0.2">
      <c r="A43" s="573">
        <f t="shared" si="6"/>
        <v>39</v>
      </c>
      <c r="B43" s="65" t="s">
        <v>1874</v>
      </c>
      <c r="C43" s="163">
        <v>37099</v>
      </c>
      <c r="D43" s="175">
        <v>95000</v>
      </c>
      <c r="E43" s="175"/>
      <c r="F43" s="67">
        <f t="shared" si="17"/>
        <v>95000</v>
      </c>
      <c r="G43" s="67">
        <v>94000</v>
      </c>
      <c r="H43" s="67">
        <f t="shared" si="18"/>
        <v>1000</v>
      </c>
      <c r="I43" s="68">
        <v>5</v>
      </c>
      <c r="J43" s="68">
        <v>0.2</v>
      </c>
      <c r="K43" s="68">
        <v>0</v>
      </c>
      <c r="L43" s="110"/>
      <c r="M43" s="67">
        <f t="shared" si="16"/>
        <v>94000</v>
      </c>
      <c r="N43" s="110">
        <f t="shared" si="19"/>
        <v>1000</v>
      </c>
      <c r="O43" s="175"/>
      <c r="P43" s="590"/>
      <c r="Q43" s="464"/>
      <c r="R43" s="23">
        <f t="shared" si="15"/>
        <v>200</v>
      </c>
      <c r="S43" s="10">
        <f t="shared" si="1"/>
        <v>4750</v>
      </c>
      <c r="T43" s="10">
        <f t="shared" si="2"/>
        <v>-3750</v>
      </c>
      <c r="U43" s="10">
        <f t="shared" si="20"/>
        <v>0</v>
      </c>
      <c r="V43" s="10">
        <f t="shared" si="3"/>
        <v>19000</v>
      </c>
      <c r="W43" s="10">
        <f t="shared" si="4"/>
        <v>0</v>
      </c>
      <c r="X43" s="10">
        <f t="shared" si="5"/>
        <v>0</v>
      </c>
    </row>
    <row r="44" spans="1:24" s="9" customFormat="1" ht="13.5" customHeight="1" x14ac:dyDescent="0.2">
      <c r="A44" s="573">
        <f t="shared" si="6"/>
        <v>40</v>
      </c>
      <c r="B44" s="65" t="s">
        <v>1875</v>
      </c>
      <c r="C44" s="163">
        <v>37113</v>
      </c>
      <c r="D44" s="175">
        <v>1863636</v>
      </c>
      <c r="E44" s="175"/>
      <c r="F44" s="67">
        <f t="shared" si="17"/>
        <v>1863636</v>
      </c>
      <c r="G44" s="67">
        <v>1862636</v>
      </c>
      <c r="H44" s="67">
        <f t="shared" si="18"/>
        <v>1000</v>
      </c>
      <c r="I44" s="68">
        <v>5</v>
      </c>
      <c r="J44" s="68">
        <v>0.2</v>
      </c>
      <c r="K44" s="68">
        <v>0</v>
      </c>
      <c r="L44" s="110"/>
      <c r="M44" s="67">
        <f t="shared" si="16"/>
        <v>1862636</v>
      </c>
      <c r="N44" s="110">
        <f t="shared" si="19"/>
        <v>1000</v>
      </c>
      <c r="O44" s="588"/>
      <c r="P44" s="589"/>
      <c r="Q44" s="464"/>
      <c r="R44" s="23">
        <f t="shared" si="15"/>
        <v>200</v>
      </c>
      <c r="S44" s="10">
        <f t="shared" si="1"/>
        <v>93181.8</v>
      </c>
      <c r="T44" s="10">
        <f t="shared" si="2"/>
        <v>-92181.8</v>
      </c>
      <c r="U44" s="10">
        <f t="shared" si="20"/>
        <v>0</v>
      </c>
      <c r="V44" s="10">
        <f t="shared" si="3"/>
        <v>372727.2</v>
      </c>
      <c r="W44" s="10">
        <f t="shared" si="4"/>
        <v>0</v>
      </c>
      <c r="X44" s="10">
        <f t="shared" si="5"/>
        <v>0</v>
      </c>
    </row>
    <row r="45" spans="1:24" s="9" customFormat="1" ht="13.5" customHeight="1" x14ac:dyDescent="0.2">
      <c r="A45" s="573">
        <f t="shared" si="6"/>
        <v>41</v>
      </c>
      <c r="B45" s="65" t="s">
        <v>1876</v>
      </c>
      <c r="C45" s="163">
        <v>37116</v>
      </c>
      <c r="D45" s="175">
        <v>240000</v>
      </c>
      <c r="E45" s="175"/>
      <c r="F45" s="67">
        <f t="shared" si="17"/>
        <v>240000</v>
      </c>
      <c r="G45" s="67">
        <v>239000</v>
      </c>
      <c r="H45" s="67">
        <f t="shared" si="18"/>
        <v>1000</v>
      </c>
      <c r="I45" s="68">
        <v>5</v>
      </c>
      <c r="J45" s="68">
        <v>0.2</v>
      </c>
      <c r="K45" s="68">
        <v>0</v>
      </c>
      <c r="L45" s="110"/>
      <c r="M45" s="67">
        <f t="shared" si="16"/>
        <v>239000</v>
      </c>
      <c r="N45" s="110">
        <f t="shared" si="19"/>
        <v>1000</v>
      </c>
      <c r="O45" s="588"/>
      <c r="P45" s="589"/>
      <c r="Q45" s="464"/>
      <c r="R45" s="23">
        <f t="shared" si="15"/>
        <v>200</v>
      </c>
      <c r="S45" s="10">
        <f t="shared" si="1"/>
        <v>12000</v>
      </c>
      <c r="T45" s="10">
        <f t="shared" si="2"/>
        <v>-11000</v>
      </c>
      <c r="U45" s="10">
        <f t="shared" si="20"/>
        <v>0</v>
      </c>
      <c r="V45" s="10">
        <f t="shared" si="3"/>
        <v>48000</v>
      </c>
      <c r="W45" s="10">
        <f t="shared" si="4"/>
        <v>0</v>
      </c>
      <c r="X45" s="10">
        <f t="shared" si="5"/>
        <v>0</v>
      </c>
    </row>
    <row r="46" spans="1:24" s="9" customFormat="1" ht="13.5" customHeight="1" x14ac:dyDescent="0.2">
      <c r="A46" s="573">
        <f t="shared" si="6"/>
        <v>42</v>
      </c>
      <c r="B46" s="65" t="s">
        <v>1877</v>
      </c>
      <c r="C46" s="163">
        <v>37146</v>
      </c>
      <c r="D46" s="175">
        <v>125000</v>
      </c>
      <c r="E46" s="175"/>
      <c r="F46" s="67">
        <f t="shared" si="17"/>
        <v>125000</v>
      </c>
      <c r="G46" s="67">
        <v>124000</v>
      </c>
      <c r="H46" s="67">
        <f t="shared" si="18"/>
        <v>1000</v>
      </c>
      <c r="I46" s="68">
        <v>5</v>
      </c>
      <c r="J46" s="68">
        <v>0.2</v>
      </c>
      <c r="K46" s="68">
        <v>0</v>
      </c>
      <c r="L46" s="110"/>
      <c r="M46" s="67">
        <f t="shared" si="16"/>
        <v>124000</v>
      </c>
      <c r="N46" s="110">
        <f t="shared" si="19"/>
        <v>1000</v>
      </c>
      <c r="O46" s="588"/>
      <c r="P46" s="589"/>
      <c r="Q46" s="464"/>
      <c r="R46" s="23">
        <f t="shared" si="15"/>
        <v>200</v>
      </c>
      <c r="S46" s="10">
        <f t="shared" si="1"/>
        <v>6250</v>
      </c>
      <c r="T46" s="10">
        <f t="shared" si="2"/>
        <v>-5250</v>
      </c>
      <c r="U46" s="10">
        <f t="shared" si="20"/>
        <v>0</v>
      </c>
      <c r="V46" s="10">
        <f t="shared" si="3"/>
        <v>25000</v>
      </c>
      <c r="W46" s="10">
        <f t="shared" si="4"/>
        <v>0</v>
      </c>
      <c r="X46" s="10">
        <f t="shared" si="5"/>
        <v>0</v>
      </c>
    </row>
    <row r="47" spans="1:24" s="9" customFormat="1" ht="13.5" customHeight="1" x14ac:dyDescent="0.2">
      <c r="A47" s="573">
        <f t="shared" si="6"/>
        <v>43</v>
      </c>
      <c r="B47" s="65" t="s">
        <v>1878</v>
      </c>
      <c r="C47" s="163">
        <v>37176</v>
      </c>
      <c r="D47" s="175">
        <v>375000</v>
      </c>
      <c r="E47" s="175"/>
      <c r="F47" s="67">
        <f t="shared" si="17"/>
        <v>375000</v>
      </c>
      <c r="G47" s="67">
        <v>374000</v>
      </c>
      <c r="H47" s="67">
        <f t="shared" si="18"/>
        <v>1000</v>
      </c>
      <c r="I47" s="68">
        <v>5</v>
      </c>
      <c r="J47" s="68">
        <v>0.2</v>
      </c>
      <c r="K47" s="68">
        <v>0</v>
      </c>
      <c r="L47" s="110"/>
      <c r="M47" s="67">
        <f t="shared" si="16"/>
        <v>374000</v>
      </c>
      <c r="N47" s="110">
        <f t="shared" si="19"/>
        <v>1000</v>
      </c>
      <c r="O47" s="588"/>
      <c r="P47" s="589"/>
      <c r="Q47" s="464"/>
      <c r="R47" s="23">
        <f t="shared" si="15"/>
        <v>200</v>
      </c>
      <c r="S47" s="10">
        <f t="shared" si="1"/>
        <v>18750</v>
      </c>
      <c r="T47" s="10">
        <f t="shared" si="2"/>
        <v>-17750</v>
      </c>
      <c r="U47" s="10">
        <f t="shared" si="20"/>
        <v>0</v>
      </c>
      <c r="V47" s="10">
        <f t="shared" si="3"/>
        <v>75000</v>
      </c>
      <c r="W47" s="10">
        <f t="shared" si="4"/>
        <v>0</v>
      </c>
      <c r="X47" s="10">
        <f t="shared" si="5"/>
        <v>0</v>
      </c>
    </row>
    <row r="48" spans="1:24" s="9" customFormat="1" ht="13.5" customHeight="1" x14ac:dyDescent="0.2">
      <c r="A48" s="573">
        <f t="shared" si="6"/>
        <v>44</v>
      </c>
      <c r="B48" s="65" t="s">
        <v>1879</v>
      </c>
      <c r="C48" s="163">
        <v>37287</v>
      </c>
      <c r="D48" s="175">
        <v>1100000</v>
      </c>
      <c r="E48" s="175"/>
      <c r="F48" s="67">
        <f t="shared" si="17"/>
        <v>1100000</v>
      </c>
      <c r="G48" s="67">
        <v>1099000</v>
      </c>
      <c r="H48" s="67">
        <f t="shared" si="18"/>
        <v>1000</v>
      </c>
      <c r="I48" s="68">
        <v>5</v>
      </c>
      <c r="J48" s="68">
        <v>0.2</v>
      </c>
      <c r="K48" s="68">
        <v>0</v>
      </c>
      <c r="L48" s="110"/>
      <c r="M48" s="67">
        <f t="shared" si="16"/>
        <v>1099000</v>
      </c>
      <c r="N48" s="110">
        <f t="shared" si="19"/>
        <v>1000</v>
      </c>
      <c r="O48" s="68" t="s">
        <v>1880</v>
      </c>
      <c r="P48" s="555" t="s">
        <v>1881</v>
      </c>
      <c r="Q48" s="464"/>
      <c r="R48" s="23">
        <f t="shared" si="15"/>
        <v>200</v>
      </c>
      <c r="S48" s="10">
        <f t="shared" si="1"/>
        <v>55000</v>
      </c>
      <c r="T48" s="10">
        <f t="shared" si="2"/>
        <v>-54000</v>
      </c>
      <c r="U48" s="10">
        <f t="shared" si="20"/>
        <v>0</v>
      </c>
      <c r="V48" s="10">
        <f t="shared" si="3"/>
        <v>220000</v>
      </c>
      <c r="W48" s="10">
        <f t="shared" si="4"/>
        <v>0</v>
      </c>
      <c r="X48" s="10">
        <f t="shared" si="5"/>
        <v>0</v>
      </c>
    </row>
    <row r="49" spans="1:24" s="9" customFormat="1" ht="13.5" customHeight="1" x14ac:dyDescent="0.2">
      <c r="A49" s="573">
        <f t="shared" si="6"/>
        <v>45</v>
      </c>
      <c r="B49" s="65" t="s">
        <v>1877</v>
      </c>
      <c r="C49" s="163">
        <v>37312</v>
      </c>
      <c r="D49" s="175">
        <v>80000</v>
      </c>
      <c r="E49" s="175"/>
      <c r="F49" s="67">
        <f t="shared" si="17"/>
        <v>80000</v>
      </c>
      <c r="G49" s="67">
        <v>79000</v>
      </c>
      <c r="H49" s="67">
        <f t="shared" si="18"/>
        <v>1000</v>
      </c>
      <c r="I49" s="68">
        <v>5</v>
      </c>
      <c r="J49" s="68">
        <v>0.2</v>
      </c>
      <c r="K49" s="68">
        <v>0</v>
      </c>
      <c r="L49" s="110"/>
      <c r="M49" s="67">
        <f t="shared" si="16"/>
        <v>79000</v>
      </c>
      <c r="N49" s="110">
        <f t="shared" si="19"/>
        <v>1000</v>
      </c>
      <c r="O49" s="68" t="s">
        <v>1882</v>
      </c>
      <c r="P49" s="555" t="s">
        <v>1881</v>
      </c>
      <c r="Q49" s="464"/>
      <c r="R49" s="23">
        <f t="shared" si="15"/>
        <v>200</v>
      </c>
      <c r="S49" s="10">
        <f t="shared" si="1"/>
        <v>4000</v>
      </c>
      <c r="T49" s="10">
        <f t="shared" si="2"/>
        <v>-3000</v>
      </c>
      <c r="U49" s="10">
        <f t="shared" si="20"/>
        <v>0</v>
      </c>
      <c r="V49" s="10">
        <f t="shared" si="3"/>
        <v>16000</v>
      </c>
      <c r="W49" s="10">
        <f t="shared" si="4"/>
        <v>0</v>
      </c>
      <c r="X49" s="10">
        <f t="shared" si="5"/>
        <v>0</v>
      </c>
    </row>
    <row r="50" spans="1:24" s="9" customFormat="1" ht="13.5" customHeight="1" x14ac:dyDescent="0.2">
      <c r="A50" s="573">
        <f t="shared" si="6"/>
        <v>46</v>
      </c>
      <c r="B50" s="65" t="s">
        <v>1855</v>
      </c>
      <c r="C50" s="163">
        <v>37312</v>
      </c>
      <c r="D50" s="175">
        <v>50000</v>
      </c>
      <c r="E50" s="175"/>
      <c r="F50" s="67">
        <f t="shared" si="17"/>
        <v>50000</v>
      </c>
      <c r="G50" s="67">
        <v>49000</v>
      </c>
      <c r="H50" s="67">
        <f t="shared" si="18"/>
        <v>1000</v>
      </c>
      <c r="I50" s="68">
        <v>5</v>
      </c>
      <c r="J50" s="68">
        <v>0.2</v>
      </c>
      <c r="K50" s="68">
        <v>0</v>
      </c>
      <c r="L50" s="110"/>
      <c r="M50" s="67">
        <f t="shared" si="16"/>
        <v>49000</v>
      </c>
      <c r="N50" s="110">
        <f t="shared" si="19"/>
        <v>1000</v>
      </c>
      <c r="O50" s="68" t="s">
        <v>1882</v>
      </c>
      <c r="P50" s="555" t="s">
        <v>1881</v>
      </c>
      <c r="Q50" s="464"/>
      <c r="R50" s="23">
        <f t="shared" si="15"/>
        <v>200</v>
      </c>
      <c r="S50" s="10">
        <f t="shared" si="1"/>
        <v>2500</v>
      </c>
      <c r="T50" s="10">
        <f t="shared" si="2"/>
        <v>-1500</v>
      </c>
      <c r="U50" s="10">
        <f t="shared" si="20"/>
        <v>0</v>
      </c>
      <c r="V50" s="10">
        <f t="shared" si="3"/>
        <v>10000</v>
      </c>
      <c r="W50" s="10">
        <f t="shared" si="4"/>
        <v>0</v>
      </c>
      <c r="X50" s="10">
        <f t="shared" si="5"/>
        <v>0</v>
      </c>
    </row>
    <row r="51" spans="1:24" s="9" customFormat="1" ht="13.5" customHeight="1" x14ac:dyDescent="0.2">
      <c r="A51" s="573">
        <f t="shared" si="6"/>
        <v>47</v>
      </c>
      <c r="B51" s="65" t="s">
        <v>1883</v>
      </c>
      <c r="C51" s="163">
        <v>37312</v>
      </c>
      <c r="D51" s="175">
        <v>45000</v>
      </c>
      <c r="E51" s="175"/>
      <c r="F51" s="67">
        <f t="shared" si="17"/>
        <v>45000</v>
      </c>
      <c r="G51" s="67">
        <v>44000</v>
      </c>
      <c r="H51" s="67">
        <f t="shared" si="18"/>
        <v>1000</v>
      </c>
      <c r="I51" s="68">
        <v>5</v>
      </c>
      <c r="J51" s="68">
        <v>0.2</v>
      </c>
      <c r="K51" s="68">
        <v>0</v>
      </c>
      <c r="L51" s="110"/>
      <c r="M51" s="67">
        <f t="shared" si="16"/>
        <v>44000</v>
      </c>
      <c r="N51" s="110">
        <f t="shared" si="19"/>
        <v>1000</v>
      </c>
      <c r="O51" s="68" t="s">
        <v>1882</v>
      </c>
      <c r="P51" s="555" t="s">
        <v>1881</v>
      </c>
      <c r="Q51" s="464"/>
      <c r="R51" s="23">
        <f t="shared" si="15"/>
        <v>200</v>
      </c>
      <c r="S51" s="10">
        <f t="shared" si="1"/>
        <v>2250</v>
      </c>
      <c r="T51" s="10">
        <f t="shared" si="2"/>
        <v>-1250</v>
      </c>
      <c r="U51" s="10">
        <f t="shared" si="20"/>
        <v>0</v>
      </c>
      <c r="V51" s="10">
        <f t="shared" si="3"/>
        <v>9000</v>
      </c>
      <c r="W51" s="10">
        <f t="shared" si="4"/>
        <v>0</v>
      </c>
      <c r="X51" s="10">
        <f t="shared" si="5"/>
        <v>0</v>
      </c>
    </row>
    <row r="52" spans="1:24" s="9" customFormat="1" ht="13.5" customHeight="1" x14ac:dyDescent="0.2">
      <c r="A52" s="579">
        <f t="shared" si="6"/>
        <v>48</v>
      </c>
      <c r="B52" s="580" t="s">
        <v>1884</v>
      </c>
      <c r="C52" s="581">
        <v>37319</v>
      </c>
      <c r="D52" s="582"/>
      <c r="E52" s="582"/>
      <c r="F52" s="82"/>
      <c r="G52" s="82">
        <v>0</v>
      </c>
      <c r="H52" s="82"/>
      <c r="I52" s="86"/>
      <c r="J52" s="86">
        <v>0.2</v>
      </c>
      <c r="K52" s="86">
        <v>0</v>
      </c>
      <c r="L52" s="112"/>
      <c r="M52" s="82">
        <f t="shared" si="16"/>
        <v>0</v>
      </c>
      <c r="N52" s="112"/>
      <c r="O52" s="86"/>
      <c r="P52" s="591" t="s">
        <v>1881</v>
      </c>
      <c r="Q52" s="587"/>
      <c r="R52" s="23">
        <f t="shared" si="15"/>
        <v>0</v>
      </c>
      <c r="S52" s="10">
        <f t="shared" si="1"/>
        <v>0</v>
      </c>
      <c r="T52" s="10">
        <f t="shared" si="2"/>
        <v>0</v>
      </c>
      <c r="U52" s="10"/>
      <c r="V52" s="10" t="e">
        <f t="shared" si="3"/>
        <v>#DIV/0!</v>
      </c>
      <c r="W52" s="10">
        <f t="shared" si="4"/>
        <v>0</v>
      </c>
      <c r="X52" s="10">
        <f t="shared" si="5"/>
        <v>0</v>
      </c>
    </row>
    <row r="53" spans="1:24" s="9" customFormat="1" ht="13.5" customHeight="1" x14ac:dyDescent="0.2">
      <c r="A53" s="579">
        <f t="shared" si="6"/>
        <v>49</v>
      </c>
      <c r="B53" s="580" t="s">
        <v>1873</v>
      </c>
      <c r="C53" s="581">
        <v>37364</v>
      </c>
      <c r="D53" s="582">
        <v>0</v>
      </c>
      <c r="E53" s="582"/>
      <c r="F53" s="82">
        <f t="shared" ref="F53:F116" si="21">+D53+E53</f>
        <v>0</v>
      </c>
      <c r="G53" s="82">
        <v>0</v>
      </c>
      <c r="H53" s="82">
        <v>0</v>
      </c>
      <c r="I53" s="86">
        <v>5</v>
      </c>
      <c r="J53" s="86">
        <v>0.2</v>
      </c>
      <c r="K53" s="86">
        <v>0</v>
      </c>
      <c r="L53" s="112"/>
      <c r="M53" s="82">
        <v>0</v>
      </c>
      <c r="N53" s="112">
        <f t="shared" ref="N53:N116" si="22">+F53-M53</f>
        <v>0</v>
      </c>
      <c r="O53" s="86" t="s">
        <v>1885</v>
      </c>
      <c r="P53" s="591"/>
      <c r="Q53" s="587" t="s">
        <v>1886</v>
      </c>
      <c r="R53" s="23">
        <f t="shared" si="15"/>
        <v>0</v>
      </c>
      <c r="S53" s="10">
        <f t="shared" si="1"/>
        <v>0</v>
      </c>
      <c r="T53" s="10">
        <f t="shared" si="2"/>
        <v>0</v>
      </c>
      <c r="U53" s="10">
        <f t="shared" ref="U53:U116" si="23">N53-1000</f>
        <v>-1000</v>
      </c>
      <c r="V53" s="10">
        <f t="shared" si="3"/>
        <v>0</v>
      </c>
      <c r="W53" s="10">
        <f t="shared" si="4"/>
        <v>0</v>
      </c>
      <c r="X53" s="10">
        <f t="shared" si="5"/>
        <v>0</v>
      </c>
    </row>
    <row r="54" spans="1:24" s="9" customFormat="1" ht="13.5" customHeight="1" x14ac:dyDescent="0.2">
      <c r="A54" s="573">
        <f t="shared" si="6"/>
        <v>50</v>
      </c>
      <c r="B54" s="65" t="s">
        <v>1887</v>
      </c>
      <c r="C54" s="163">
        <v>37372</v>
      </c>
      <c r="D54" s="175">
        <v>100000</v>
      </c>
      <c r="E54" s="175"/>
      <c r="F54" s="67">
        <f t="shared" si="21"/>
        <v>100000</v>
      </c>
      <c r="G54" s="67">
        <v>99000</v>
      </c>
      <c r="H54" s="67">
        <f t="shared" ref="H54:H81" si="24">+F54-G54</f>
        <v>1000</v>
      </c>
      <c r="I54" s="68">
        <v>5</v>
      </c>
      <c r="J54" s="68">
        <v>0.2</v>
      </c>
      <c r="K54" s="68">
        <v>0</v>
      </c>
      <c r="L54" s="110"/>
      <c r="M54" s="67">
        <f t="shared" ref="M54:M110" si="25">+G54+L54</f>
        <v>99000</v>
      </c>
      <c r="N54" s="110">
        <f t="shared" si="22"/>
        <v>1000</v>
      </c>
      <c r="O54" s="68" t="s">
        <v>1882</v>
      </c>
      <c r="P54" s="555"/>
      <c r="Q54" s="464"/>
      <c r="R54" s="23">
        <f t="shared" si="15"/>
        <v>200</v>
      </c>
      <c r="S54" s="10">
        <f t="shared" si="1"/>
        <v>5000</v>
      </c>
      <c r="T54" s="10">
        <f t="shared" si="2"/>
        <v>-4000</v>
      </c>
      <c r="U54" s="10">
        <f t="shared" si="23"/>
        <v>0</v>
      </c>
      <c r="V54" s="10">
        <f t="shared" si="3"/>
        <v>20000</v>
      </c>
      <c r="W54" s="10">
        <f t="shared" si="4"/>
        <v>0</v>
      </c>
      <c r="X54" s="10">
        <f t="shared" si="5"/>
        <v>0</v>
      </c>
    </row>
    <row r="55" spans="1:24" s="9" customFormat="1" ht="13.5" customHeight="1" x14ac:dyDescent="0.2">
      <c r="A55" s="573">
        <f t="shared" si="6"/>
        <v>51</v>
      </c>
      <c r="B55" s="65" t="s">
        <v>1888</v>
      </c>
      <c r="C55" s="163">
        <v>37410</v>
      </c>
      <c r="D55" s="175">
        <v>1274546</v>
      </c>
      <c r="E55" s="175"/>
      <c r="F55" s="67">
        <f t="shared" si="21"/>
        <v>1274546</v>
      </c>
      <c r="G55" s="67">
        <v>1273546</v>
      </c>
      <c r="H55" s="67">
        <f t="shared" si="24"/>
        <v>1000</v>
      </c>
      <c r="I55" s="68">
        <v>5</v>
      </c>
      <c r="J55" s="68">
        <v>0.2</v>
      </c>
      <c r="K55" s="68">
        <v>0</v>
      </c>
      <c r="L55" s="110"/>
      <c r="M55" s="67">
        <f t="shared" si="25"/>
        <v>1273546</v>
      </c>
      <c r="N55" s="110">
        <f t="shared" si="22"/>
        <v>1000</v>
      </c>
      <c r="O55" s="68" t="s">
        <v>1889</v>
      </c>
      <c r="P55" s="555">
        <v>1</v>
      </c>
      <c r="Q55" s="592" t="s">
        <v>1890</v>
      </c>
      <c r="R55" s="23">
        <f t="shared" si="15"/>
        <v>200</v>
      </c>
      <c r="S55" s="10">
        <f t="shared" si="1"/>
        <v>63727.3</v>
      </c>
      <c r="T55" s="10">
        <f t="shared" si="2"/>
        <v>-62727.3</v>
      </c>
      <c r="U55" s="10">
        <f t="shared" si="23"/>
        <v>0</v>
      </c>
      <c r="V55" s="10">
        <f t="shared" si="3"/>
        <v>254909.2</v>
      </c>
      <c r="W55" s="10">
        <f t="shared" si="4"/>
        <v>0</v>
      </c>
      <c r="X55" s="10">
        <f t="shared" si="5"/>
        <v>0</v>
      </c>
    </row>
    <row r="56" spans="1:24" s="9" customFormat="1" ht="13.5" customHeight="1" x14ac:dyDescent="0.2">
      <c r="A56" s="573">
        <f t="shared" si="6"/>
        <v>52</v>
      </c>
      <c r="B56" s="65" t="s">
        <v>1891</v>
      </c>
      <c r="C56" s="163">
        <v>37452</v>
      </c>
      <c r="D56" s="175">
        <v>135000</v>
      </c>
      <c r="E56" s="175"/>
      <c r="F56" s="67">
        <f t="shared" si="21"/>
        <v>135000</v>
      </c>
      <c r="G56" s="67">
        <v>134000</v>
      </c>
      <c r="H56" s="67">
        <f t="shared" si="24"/>
        <v>1000</v>
      </c>
      <c r="I56" s="68">
        <v>5</v>
      </c>
      <c r="J56" s="68">
        <v>0.2</v>
      </c>
      <c r="K56" s="68">
        <v>0</v>
      </c>
      <c r="L56" s="110"/>
      <c r="M56" s="67">
        <f t="shared" si="25"/>
        <v>134000</v>
      </c>
      <c r="N56" s="110">
        <f t="shared" si="22"/>
        <v>1000</v>
      </c>
      <c r="O56" s="68" t="s">
        <v>1882</v>
      </c>
      <c r="P56" s="555"/>
      <c r="Q56" s="464"/>
      <c r="R56" s="23">
        <f t="shared" si="15"/>
        <v>200</v>
      </c>
      <c r="S56" s="10">
        <f t="shared" si="1"/>
        <v>6750</v>
      </c>
      <c r="T56" s="10">
        <f t="shared" si="2"/>
        <v>-5750</v>
      </c>
      <c r="U56" s="10">
        <f t="shared" si="23"/>
        <v>0</v>
      </c>
      <c r="V56" s="10">
        <f t="shared" si="3"/>
        <v>27000</v>
      </c>
      <c r="W56" s="10">
        <f t="shared" si="4"/>
        <v>0</v>
      </c>
      <c r="X56" s="10">
        <f t="shared" si="5"/>
        <v>0</v>
      </c>
    </row>
    <row r="57" spans="1:24" s="9" customFormat="1" ht="13.5" customHeight="1" x14ac:dyDescent="0.2">
      <c r="A57" s="573">
        <f t="shared" si="6"/>
        <v>53</v>
      </c>
      <c r="B57" s="65" t="s">
        <v>1888</v>
      </c>
      <c r="C57" s="163">
        <v>37579</v>
      </c>
      <c r="D57" s="175">
        <v>1072727</v>
      </c>
      <c r="E57" s="175"/>
      <c r="F57" s="67">
        <f t="shared" si="21"/>
        <v>1072727</v>
      </c>
      <c r="G57" s="67">
        <v>1071727</v>
      </c>
      <c r="H57" s="67">
        <f t="shared" si="24"/>
        <v>1000</v>
      </c>
      <c r="I57" s="68">
        <v>5</v>
      </c>
      <c r="J57" s="68">
        <v>0.2</v>
      </c>
      <c r="K57" s="68">
        <v>0</v>
      </c>
      <c r="L57" s="110"/>
      <c r="M57" s="67">
        <f t="shared" si="25"/>
        <v>1071727</v>
      </c>
      <c r="N57" s="110">
        <f t="shared" si="22"/>
        <v>1000</v>
      </c>
      <c r="O57" s="593" t="s">
        <v>1892</v>
      </c>
      <c r="P57" s="555">
        <v>1</v>
      </c>
      <c r="Q57" s="592" t="s">
        <v>1890</v>
      </c>
      <c r="R57" s="23">
        <f t="shared" si="15"/>
        <v>200</v>
      </c>
      <c r="S57" s="10">
        <f t="shared" si="1"/>
        <v>53636.350000000006</v>
      </c>
      <c r="T57" s="10">
        <f t="shared" si="2"/>
        <v>-52636.350000000006</v>
      </c>
      <c r="U57" s="10">
        <f t="shared" si="23"/>
        <v>0</v>
      </c>
      <c r="V57" s="10">
        <f t="shared" si="3"/>
        <v>214545.4</v>
      </c>
      <c r="W57" s="10">
        <f t="shared" si="4"/>
        <v>0</v>
      </c>
      <c r="X57" s="10">
        <f t="shared" si="5"/>
        <v>0</v>
      </c>
    </row>
    <row r="58" spans="1:24" s="9" customFormat="1" ht="13.5" customHeight="1" x14ac:dyDescent="0.2">
      <c r="A58" s="573">
        <f t="shared" si="6"/>
        <v>54</v>
      </c>
      <c r="B58" s="65" t="s">
        <v>1893</v>
      </c>
      <c r="C58" s="163">
        <v>37611</v>
      </c>
      <c r="D58" s="175">
        <v>2700000</v>
      </c>
      <c r="E58" s="175"/>
      <c r="F58" s="67">
        <f t="shared" si="21"/>
        <v>2700000</v>
      </c>
      <c r="G58" s="67">
        <v>2699000</v>
      </c>
      <c r="H58" s="67">
        <f t="shared" si="24"/>
        <v>1000</v>
      </c>
      <c r="I58" s="68">
        <v>5</v>
      </c>
      <c r="J58" s="68">
        <v>0.2</v>
      </c>
      <c r="K58" s="68">
        <v>0</v>
      </c>
      <c r="L58" s="110"/>
      <c r="M58" s="67">
        <f t="shared" si="25"/>
        <v>2699000</v>
      </c>
      <c r="N58" s="110">
        <f t="shared" si="22"/>
        <v>1000</v>
      </c>
      <c r="O58" s="68" t="s">
        <v>1894</v>
      </c>
      <c r="P58" s="555"/>
      <c r="Q58" s="592" t="s">
        <v>1890</v>
      </c>
      <c r="R58" s="23">
        <f t="shared" si="15"/>
        <v>200</v>
      </c>
      <c r="S58" s="10">
        <f t="shared" si="1"/>
        <v>135000</v>
      </c>
      <c r="T58" s="10">
        <f t="shared" si="2"/>
        <v>-134000</v>
      </c>
      <c r="U58" s="10">
        <f t="shared" si="23"/>
        <v>0</v>
      </c>
      <c r="V58" s="10">
        <f t="shared" si="3"/>
        <v>540000</v>
      </c>
      <c r="W58" s="10">
        <f t="shared" si="4"/>
        <v>0</v>
      </c>
      <c r="X58" s="10">
        <f t="shared" si="5"/>
        <v>0</v>
      </c>
    </row>
    <row r="59" spans="1:24" s="9" customFormat="1" ht="13.5" customHeight="1" x14ac:dyDescent="0.2">
      <c r="A59" s="573">
        <f t="shared" si="6"/>
        <v>55</v>
      </c>
      <c r="B59" s="65" t="s">
        <v>1895</v>
      </c>
      <c r="C59" s="163">
        <v>37616</v>
      </c>
      <c r="D59" s="175">
        <v>1300000</v>
      </c>
      <c r="E59" s="175"/>
      <c r="F59" s="67">
        <f t="shared" si="21"/>
        <v>1300000</v>
      </c>
      <c r="G59" s="67">
        <v>1299000</v>
      </c>
      <c r="H59" s="67">
        <f t="shared" si="24"/>
        <v>1000</v>
      </c>
      <c r="I59" s="68">
        <v>5</v>
      </c>
      <c r="J59" s="68">
        <v>0.2</v>
      </c>
      <c r="K59" s="68">
        <v>0</v>
      </c>
      <c r="L59" s="110"/>
      <c r="M59" s="67">
        <f t="shared" si="25"/>
        <v>1299000</v>
      </c>
      <c r="N59" s="110">
        <f t="shared" si="22"/>
        <v>1000</v>
      </c>
      <c r="O59" s="594" t="s">
        <v>1896</v>
      </c>
      <c r="P59" s="555">
        <v>8</v>
      </c>
      <c r="Q59" s="464"/>
      <c r="R59" s="23">
        <f t="shared" si="15"/>
        <v>200</v>
      </c>
      <c r="S59" s="10">
        <f t="shared" si="1"/>
        <v>65000</v>
      </c>
      <c r="T59" s="10">
        <f t="shared" si="2"/>
        <v>-64000</v>
      </c>
      <c r="U59" s="10">
        <f t="shared" si="23"/>
        <v>0</v>
      </c>
      <c r="V59" s="10">
        <f t="shared" si="3"/>
        <v>260000</v>
      </c>
      <c r="W59" s="10">
        <f t="shared" si="4"/>
        <v>0</v>
      </c>
      <c r="X59" s="10">
        <f t="shared" si="5"/>
        <v>0</v>
      </c>
    </row>
    <row r="60" spans="1:24" s="9" customFormat="1" ht="13.5" customHeight="1" x14ac:dyDescent="0.2">
      <c r="A60" s="573">
        <f t="shared" si="6"/>
        <v>56</v>
      </c>
      <c r="B60" s="65" t="s">
        <v>1897</v>
      </c>
      <c r="C60" s="163">
        <v>37616</v>
      </c>
      <c r="D60" s="175">
        <v>200000</v>
      </c>
      <c r="E60" s="175"/>
      <c r="F60" s="67">
        <f t="shared" si="21"/>
        <v>200000</v>
      </c>
      <c r="G60" s="67">
        <v>199000</v>
      </c>
      <c r="H60" s="67">
        <f t="shared" si="24"/>
        <v>1000</v>
      </c>
      <c r="I60" s="68">
        <v>5</v>
      </c>
      <c r="J60" s="68">
        <v>0.2</v>
      </c>
      <c r="K60" s="68">
        <v>0</v>
      </c>
      <c r="L60" s="110"/>
      <c r="M60" s="67">
        <f t="shared" si="25"/>
        <v>199000</v>
      </c>
      <c r="N60" s="110">
        <f t="shared" si="22"/>
        <v>1000</v>
      </c>
      <c r="O60" s="594" t="s">
        <v>1896</v>
      </c>
      <c r="P60" s="555">
        <v>2</v>
      </c>
      <c r="Q60" s="464"/>
      <c r="R60" s="23">
        <f t="shared" si="15"/>
        <v>200</v>
      </c>
      <c r="S60" s="10">
        <f t="shared" si="1"/>
        <v>10000</v>
      </c>
      <c r="T60" s="10">
        <f t="shared" si="2"/>
        <v>-9000</v>
      </c>
      <c r="U60" s="10">
        <f t="shared" si="23"/>
        <v>0</v>
      </c>
      <c r="V60" s="10">
        <f t="shared" si="3"/>
        <v>40000</v>
      </c>
      <c r="W60" s="10">
        <f t="shared" si="4"/>
        <v>0</v>
      </c>
      <c r="X60" s="10">
        <f t="shared" si="5"/>
        <v>0</v>
      </c>
    </row>
    <row r="61" spans="1:24" s="9" customFormat="1" ht="13.5" customHeight="1" x14ac:dyDescent="0.2">
      <c r="A61" s="573">
        <f t="shared" si="6"/>
        <v>57</v>
      </c>
      <c r="B61" s="65" t="s">
        <v>1898</v>
      </c>
      <c r="C61" s="163">
        <v>37616</v>
      </c>
      <c r="D61" s="175">
        <v>600000</v>
      </c>
      <c r="E61" s="175"/>
      <c r="F61" s="67">
        <f t="shared" si="21"/>
        <v>600000</v>
      </c>
      <c r="G61" s="67">
        <v>599000</v>
      </c>
      <c r="H61" s="67">
        <f t="shared" si="24"/>
        <v>1000</v>
      </c>
      <c r="I61" s="68">
        <v>5</v>
      </c>
      <c r="J61" s="68">
        <v>0.2</v>
      </c>
      <c r="K61" s="68">
        <v>0</v>
      </c>
      <c r="L61" s="110"/>
      <c r="M61" s="67">
        <f t="shared" si="25"/>
        <v>599000</v>
      </c>
      <c r="N61" s="110">
        <f t="shared" si="22"/>
        <v>1000</v>
      </c>
      <c r="O61" s="594" t="s">
        <v>1896</v>
      </c>
      <c r="P61" s="555">
        <v>20</v>
      </c>
      <c r="Q61" s="464"/>
      <c r="R61" s="23">
        <f t="shared" si="15"/>
        <v>200</v>
      </c>
      <c r="S61" s="10">
        <f t="shared" si="1"/>
        <v>30000</v>
      </c>
      <c r="T61" s="10">
        <f t="shared" si="2"/>
        <v>-29000</v>
      </c>
      <c r="U61" s="10">
        <f t="shared" si="23"/>
        <v>0</v>
      </c>
      <c r="V61" s="10">
        <f t="shared" si="3"/>
        <v>120000</v>
      </c>
      <c r="W61" s="10">
        <f t="shared" si="4"/>
        <v>0</v>
      </c>
      <c r="X61" s="10">
        <f t="shared" si="5"/>
        <v>0</v>
      </c>
    </row>
    <row r="62" spans="1:24" s="9" customFormat="1" ht="13.5" customHeight="1" x14ac:dyDescent="0.2">
      <c r="A62" s="573">
        <f t="shared" si="6"/>
        <v>58</v>
      </c>
      <c r="B62" s="65" t="s">
        <v>1888</v>
      </c>
      <c r="C62" s="163">
        <v>37648</v>
      </c>
      <c r="D62" s="175">
        <v>1090900</v>
      </c>
      <c r="E62" s="175"/>
      <c r="F62" s="67">
        <f t="shared" si="21"/>
        <v>1090900</v>
      </c>
      <c r="G62" s="67">
        <v>1089900</v>
      </c>
      <c r="H62" s="67">
        <f t="shared" si="24"/>
        <v>1000</v>
      </c>
      <c r="I62" s="68">
        <v>5</v>
      </c>
      <c r="J62" s="68">
        <v>0.2</v>
      </c>
      <c r="K62" s="68">
        <v>0</v>
      </c>
      <c r="L62" s="110"/>
      <c r="M62" s="67">
        <f t="shared" si="25"/>
        <v>1089900</v>
      </c>
      <c r="N62" s="110">
        <f t="shared" si="22"/>
        <v>1000</v>
      </c>
      <c r="O62" s="594" t="s">
        <v>1899</v>
      </c>
      <c r="P62" s="555">
        <v>1</v>
      </c>
      <c r="Q62" s="592" t="s">
        <v>1890</v>
      </c>
      <c r="R62" s="23">
        <f t="shared" si="15"/>
        <v>200</v>
      </c>
      <c r="S62" s="10">
        <f t="shared" si="1"/>
        <v>54545</v>
      </c>
      <c r="T62" s="10">
        <f t="shared" si="2"/>
        <v>-53545</v>
      </c>
      <c r="U62" s="10">
        <f t="shared" si="23"/>
        <v>0</v>
      </c>
      <c r="V62" s="10">
        <f t="shared" si="3"/>
        <v>218180</v>
      </c>
      <c r="W62" s="10">
        <f t="shared" si="4"/>
        <v>0</v>
      </c>
      <c r="X62" s="10">
        <f t="shared" si="5"/>
        <v>0</v>
      </c>
    </row>
    <row r="63" spans="1:24" s="9" customFormat="1" ht="13.5" customHeight="1" x14ac:dyDescent="0.2">
      <c r="A63" s="573">
        <f t="shared" si="6"/>
        <v>59</v>
      </c>
      <c r="B63" s="65" t="s">
        <v>1900</v>
      </c>
      <c r="C63" s="163">
        <v>37677</v>
      </c>
      <c r="D63" s="175">
        <v>3918182</v>
      </c>
      <c r="E63" s="175"/>
      <c r="F63" s="67">
        <f t="shared" si="21"/>
        <v>3918182</v>
      </c>
      <c r="G63" s="67">
        <v>3917182</v>
      </c>
      <c r="H63" s="67">
        <f t="shared" si="24"/>
        <v>1000</v>
      </c>
      <c r="I63" s="68">
        <v>5</v>
      </c>
      <c r="J63" s="68">
        <v>0.2</v>
      </c>
      <c r="K63" s="68">
        <v>0</v>
      </c>
      <c r="L63" s="110"/>
      <c r="M63" s="67">
        <f t="shared" si="25"/>
        <v>3917182</v>
      </c>
      <c r="N63" s="110">
        <f t="shared" si="22"/>
        <v>1000</v>
      </c>
      <c r="O63" s="594" t="s">
        <v>260</v>
      </c>
      <c r="P63" s="555">
        <v>1</v>
      </c>
      <c r="Q63" s="592" t="s">
        <v>1890</v>
      </c>
      <c r="R63" s="23">
        <f t="shared" si="15"/>
        <v>200</v>
      </c>
      <c r="S63" s="10">
        <f t="shared" si="1"/>
        <v>195909.1</v>
      </c>
      <c r="T63" s="10">
        <f t="shared" si="2"/>
        <v>-194909.1</v>
      </c>
      <c r="U63" s="10">
        <f t="shared" si="23"/>
        <v>0</v>
      </c>
      <c r="V63" s="10">
        <f t="shared" si="3"/>
        <v>783636.4</v>
      </c>
      <c r="W63" s="10">
        <f t="shared" si="4"/>
        <v>0</v>
      </c>
      <c r="X63" s="10">
        <f t="shared" si="5"/>
        <v>0</v>
      </c>
    </row>
    <row r="64" spans="1:24" s="9" customFormat="1" ht="13.5" customHeight="1" x14ac:dyDescent="0.2">
      <c r="A64" s="573">
        <f t="shared" si="6"/>
        <v>60</v>
      </c>
      <c r="B64" s="65" t="s">
        <v>1901</v>
      </c>
      <c r="C64" s="163">
        <v>37677</v>
      </c>
      <c r="D64" s="175">
        <v>1727273</v>
      </c>
      <c r="E64" s="175"/>
      <c r="F64" s="67">
        <f t="shared" si="21"/>
        <v>1727273</v>
      </c>
      <c r="G64" s="67">
        <v>1726273</v>
      </c>
      <c r="H64" s="67">
        <f t="shared" si="24"/>
        <v>1000</v>
      </c>
      <c r="I64" s="68">
        <v>5</v>
      </c>
      <c r="J64" s="68">
        <v>0.2</v>
      </c>
      <c r="K64" s="68">
        <v>0</v>
      </c>
      <c r="L64" s="110"/>
      <c r="M64" s="67">
        <f t="shared" si="25"/>
        <v>1726273</v>
      </c>
      <c r="N64" s="110">
        <f t="shared" si="22"/>
        <v>1000</v>
      </c>
      <c r="O64" s="594" t="s">
        <v>260</v>
      </c>
      <c r="P64" s="555">
        <v>1</v>
      </c>
      <c r="Q64" s="592" t="s">
        <v>1890</v>
      </c>
      <c r="R64" s="23">
        <f t="shared" si="15"/>
        <v>200</v>
      </c>
      <c r="S64" s="10">
        <f t="shared" si="1"/>
        <v>86363.650000000009</v>
      </c>
      <c r="T64" s="10">
        <f t="shared" si="2"/>
        <v>-85363.650000000009</v>
      </c>
      <c r="U64" s="10">
        <f t="shared" si="23"/>
        <v>0</v>
      </c>
      <c r="V64" s="10">
        <f t="shared" si="3"/>
        <v>345454.6</v>
      </c>
      <c r="W64" s="10">
        <f t="shared" si="4"/>
        <v>0</v>
      </c>
      <c r="X64" s="10">
        <f t="shared" si="5"/>
        <v>0</v>
      </c>
    </row>
    <row r="65" spans="1:24" s="9" customFormat="1" ht="13.5" customHeight="1" x14ac:dyDescent="0.2">
      <c r="A65" s="573">
        <f t="shared" si="6"/>
        <v>61</v>
      </c>
      <c r="B65" s="65" t="s">
        <v>1902</v>
      </c>
      <c r="C65" s="163">
        <v>37677</v>
      </c>
      <c r="D65" s="175">
        <v>6354545</v>
      </c>
      <c r="E65" s="175"/>
      <c r="F65" s="67">
        <f t="shared" si="21"/>
        <v>6354545</v>
      </c>
      <c r="G65" s="67">
        <v>6353545</v>
      </c>
      <c r="H65" s="67">
        <f t="shared" si="24"/>
        <v>1000</v>
      </c>
      <c r="I65" s="68">
        <v>5</v>
      </c>
      <c r="J65" s="68">
        <v>0.2</v>
      </c>
      <c r="K65" s="68">
        <v>0</v>
      </c>
      <c r="L65" s="110"/>
      <c r="M65" s="67">
        <f t="shared" si="25"/>
        <v>6353545</v>
      </c>
      <c r="N65" s="110">
        <f t="shared" si="22"/>
        <v>1000</v>
      </c>
      <c r="O65" s="594" t="s">
        <v>260</v>
      </c>
      <c r="P65" s="555">
        <v>4</v>
      </c>
      <c r="Q65" s="592" t="s">
        <v>1890</v>
      </c>
      <c r="R65" s="23">
        <f t="shared" si="15"/>
        <v>200</v>
      </c>
      <c r="S65" s="10">
        <f t="shared" si="1"/>
        <v>317727.25</v>
      </c>
      <c r="T65" s="10">
        <f t="shared" si="2"/>
        <v>-316727.25</v>
      </c>
      <c r="U65" s="10">
        <f t="shared" si="23"/>
        <v>0</v>
      </c>
      <c r="V65" s="10">
        <f t="shared" si="3"/>
        <v>1270909</v>
      </c>
      <c r="W65" s="10">
        <f t="shared" si="4"/>
        <v>0</v>
      </c>
      <c r="X65" s="10">
        <f t="shared" si="5"/>
        <v>0</v>
      </c>
    </row>
    <row r="66" spans="1:24" s="9" customFormat="1" ht="13.5" customHeight="1" x14ac:dyDescent="0.2">
      <c r="A66" s="573">
        <f t="shared" si="6"/>
        <v>62</v>
      </c>
      <c r="B66" s="65" t="s">
        <v>1903</v>
      </c>
      <c r="C66" s="163">
        <v>37680</v>
      </c>
      <c r="D66" s="175">
        <v>218182</v>
      </c>
      <c r="E66" s="175"/>
      <c r="F66" s="67">
        <f t="shared" si="21"/>
        <v>218182</v>
      </c>
      <c r="G66" s="67">
        <v>217182</v>
      </c>
      <c r="H66" s="67">
        <f t="shared" si="24"/>
        <v>1000</v>
      </c>
      <c r="I66" s="68">
        <v>5</v>
      </c>
      <c r="J66" s="68">
        <v>0.2</v>
      </c>
      <c r="K66" s="68">
        <v>0</v>
      </c>
      <c r="L66" s="110"/>
      <c r="M66" s="67">
        <f t="shared" si="25"/>
        <v>217182</v>
      </c>
      <c r="N66" s="110">
        <f t="shared" si="22"/>
        <v>1000</v>
      </c>
      <c r="O66" s="594" t="s">
        <v>1904</v>
      </c>
      <c r="P66" s="555">
        <v>1</v>
      </c>
      <c r="Q66" s="592" t="s">
        <v>1890</v>
      </c>
      <c r="R66" s="23">
        <f t="shared" si="15"/>
        <v>200</v>
      </c>
      <c r="S66" s="10">
        <f t="shared" si="1"/>
        <v>10909.1</v>
      </c>
      <c r="T66" s="10">
        <f t="shared" si="2"/>
        <v>-9909.1</v>
      </c>
      <c r="U66" s="10">
        <f t="shared" si="23"/>
        <v>0</v>
      </c>
      <c r="V66" s="10">
        <f t="shared" si="3"/>
        <v>43636.4</v>
      </c>
      <c r="W66" s="10">
        <f t="shared" si="4"/>
        <v>0</v>
      </c>
      <c r="X66" s="10">
        <f t="shared" si="5"/>
        <v>0</v>
      </c>
    </row>
    <row r="67" spans="1:24" s="9" customFormat="1" ht="13.5" customHeight="1" x14ac:dyDescent="0.2">
      <c r="A67" s="573">
        <f t="shared" si="6"/>
        <v>63</v>
      </c>
      <c r="B67" s="65" t="s">
        <v>1905</v>
      </c>
      <c r="C67" s="163">
        <v>37680</v>
      </c>
      <c r="D67" s="175">
        <v>1300000</v>
      </c>
      <c r="E67" s="175"/>
      <c r="F67" s="67">
        <f t="shared" si="21"/>
        <v>1300000</v>
      </c>
      <c r="G67" s="67">
        <v>1299000</v>
      </c>
      <c r="H67" s="67">
        <f t="shared" si="24"/>
        <v>1000</v>
      </c>
      <c r="I67" s="68">
        <v>5</v>
      </c>
      <c r="J67" s="68">
        <v>0.2</v>
      </c>
      <c r="K67" s="68">
        <v>0</v>
      </c>
      <c r="L67" s="110"/>
      <c r="M67" s="67">
        <f t="shared" si="25"/>
        <v>1299000</v>
      </c>
      <c r="N67" s="110">
        <f t="shared" si="22"/>
        <v>1000</v>
      </c>
      <c r="O67" s="68" t="s">
        <v>1235</v>
      </c>
      <c r="P67" s="555">
        <v>1</v>
      </c>
      <c r="Q67" s="592"/>
      <c r="R67" s="23">
        <f t="shared" si="15"/>
        <v>200</v>
      </c>
      <c r="S67" s="10">
        <f t="shared" si="1"/>
        <v>65000</v>
      </c>
      <c r="T67" s="10">
        <f t="shared" si="2"/>
        <v>-64000</v>
      </c>
      <c r="U67" s="10">
        <f t="shared" si="23"/>
        <v>0</v>
      </c>
      <c r="V67" s="10">
        <f t="shared" si="3"/>
        <v>260000</v>
      </c>
      <c r="W67" s="10">
        <f t="shared" si="4"/>
        <v>0</v>
      </c>
      <c r="X67" s="10">
        <f t="shared" si="5"/>
        <v>0</v>
      </c>
    </row>
    <row r="68" spans="1:24" s="9" customFormat="1" ht="13.5" customHeight="1" x14ac:dyDescent="0.2">
      <c r="A68" s="573">
        <f t="shared" si="6"/>
        <v>64</v>
      </c>
      <c r="B68" s="65" t="s">
        <v>1906</v>
      </c>
      <c r="C68" s="163">
        <v>37680</v>
      </c>
      <c r="D68" s="175">
        <v>200000</v>
      </c>
      <c r="E68" s="175"/>
      <c r="F68" s="67">
        <f t="shared" si="21"/>
        <v>200000</v>
      </c>
      <c r="G68" s="67">
        <v>199000</v>
      </c>
      <c r="H68" s="67">
        <f t="shared" si="24"/>
        <v>1000</v>
      </c>
      <c r="I68" s="68">
        <v>5</v>
      </c>
      <c r="J68" s="68">
        <v>0.2</v>
      </c>
      <c r="K68" s="68">
        <v>0</v>
      </c>
      <c r="L68" s="110"/>
      <c r="M68" s="67">
        <f t="shared" si="25"/>
        <v>199000</v>
      </c>
      <c r="N68" s="110">
        <f t="shared" si="22"/>
        <v>1000</v>
      </c>
      <c r="O68" s="68" t="s">
        <v>1235</v>
      </c>
      <c r="P68" s="555">
        <v>1</v>
      </c>
      <c r="Q68" s="592"/>
      <c r="R68" s="23">
        <f t="shared" si="15"/>
        <v>200</v>
      </c>
      <c r="S68" s="10">
        <f t="shared" si="1"/>
        <v>10000</v>
      </c>
      <c r="T68" s="10">
        <f t="shared" si="2"/>
        <v>-9000</v>
      </c>
      <c r="U68" s="10">
        <f t="shared" si="23"/>
        <v>0</v>
      </c>
      <c r="V68" s="10">
        <f t="shared" si="3"/>
        <v>40000</v>
      </c>
      <c r="W68" s="10">
        <f t="shared" si="4"/>
        <v>0</v>
      </c>
      <c r="X68" s="10">
        <f t="shared" si="5"/>
        <v>0</v>
      </c>
    </row>
    <row r="69" spans="1:24" s="9" customFormat="1" ht="13.5" customHeight="1" x14ac:dyDescent="0.2">
      <c r="A69" s="573">
        <f t="shared" si="6"/>
        <v>65</v>
      </c>
      <c r="B69" s="65" t="s">
        <v>1907</v>
      </c>
      <c r="C69" s="163">
        <v>37680</v>
      </c>
      <c r="D69" s="175">
        <v>3900000</v>
      </c>
      <c r="E69" s="175"/>
      <c r="F69" s="67">
        <f t="shared" si="21"/>
        <v>3900000</v>
      </c>
      <c r="G69" s="67">
        <v>3899000</v>
      </c>
      <c r="H69" s="67">
        <f t="shared" si="24"/>
        <v>1000</v>
      </c>
      <c r="I69" s="68">
        <v>5</v>
      </c>
      <c r="J69" s="68">
        <v>0.2</v>
      </c>
      <c r="K69" s="68">
        <v>0</v>
      </c>
      <c r="L69" s="110"/>
      <c r="M69" s="67">
        <f t="shared" si="25"/>
        <v>3899000</v>
      </c>
      <c r="N69" s="110">
        <f t="shared" si="22"/>
        <v>1000</v>
      </c>
      <c r="O69" s="68" t="s">
        <v>1235</v>
      </c>
      <c r="P69" s="555">
        <v>1</v>
      </c>
      <c r="Q69" s="592"/>
      <c r="R69" s="23">
        <f t="shared" si="15"/>
        <v>200</v>
      </c>
      <c r="S69" s="10">
        <f t="shared" ref="S69:S132" si="26">D69*0.05</f>
        <v>195000</v>
      </c>
      <c r="T69" s="10">
        <f t="shared" ref="T69:T132" si="27">N69-S69</f>
        <v>-194000</v>
      </c>
      <c r="U69" s="10">
        <f t="shared" si="23"/>
        <v>0</v>
      </c>
      <c r="V69" s="10">
        <f t="shared" ref="V69:V132" si="28">F69/I69</f>
        <v>780000</v>
      </c>
      <c r="W69" s="10">
        <f t="shared" ref="W69:W132" si="29">ROUND(IF(H69&lt;=1000,0,V69/12*0),0)</f>
        <v>0</v>
      </c>
      <c r="X69" s="10">
        <f t="shared" ref="X69:X132" si="30">L69-W69</f>
        <v>0</v>
      </c>
    </row>
    <row r="70" spans="1:24" s="9" customFormat="1" ht="13.5" customHeight="1" x14ac:dyDescent="0.2">
      <c r="A70" s="573">
        <f t="shared" ref="A70:A133" si="31">A69+1</f>
        <v>66</v>
      </c>
      <c r="B70" s="65" t="s">
        <v>1908</v>
      </c>
      <c r="C70" s="163">
        <v>37680</v>
      </c>
      <c r="D70" s="175">
        <v>1540000</v>
      </c>
      <c r="E70" s="175"/>
      <c r="F70" s="67">
        <f t="shared" si="21"/>
        <v>1540000</v>
      </c>
      <c r="G70" s="67">
        <v>1539000</v>
      </c>
      <c r="H70" s="67">
        <f t="shared" si="24"/>
        <v>1000</v>
      </c>
      <c r="I70" s="68">
        <v>5</v>
      </c>
      <c r="J70" s="68">
        <v>0.2</v>
      </c>
      <c r="K70" s="68">
        <v>0</v>
      </c>
      <c r="L70" s="110"/>
      <c r="M70" s="67">
        <f t="shared" si="25"/>
        <v>1539000</v>
      </c>
      <c r="N70" s="110">
        <f t="shared" si="22"/>
        <v>1000</v>
      </c>
      <c r="O70" s="68" t="s">
        <v>1235</v>
      </c>
      <c r="P70" s="555">
        <v>1</v>
      </c>
      <c r="Q70" s="592"/>
      <c r="R70" s="23">
        <f t="shared" si="15"/>
        <v>200</v>
      </c>
      <c r="S70" s="10">
        <f t="shared" si="26"/>
        <v>77000</v>
      </c>
      <c r="T70" s="10">
        <f t="shared" si="27"/>
        <v>-76000</v>
      </c>
      <c r="U70" s="10">
        <f t="shared" si="23"/>
        <v>0</v>
      </c>
      <c r="V70" s="10">
        <f t="shared" si="28"/>
        <v>308000</v>
      </c>
      <c r="W70" s="10">
        <f t="shared" si="29"/>
        <v>0</v>
      </c>
      <c r="X70" s="10">
        <f t="shared" si="30"/>
        <v>0</v>
      </c>
    </row>
    <row r="71" spans="1:24" s="9" customFormat="1" ht="13.5" customHeight="1" x14ac:dyDescent="0.2">
      <c r="A71" s="573">
        <f t="shared" si="31"/>
        <v>67</v>
      </c>
      <c r="B71" s="65" t="s">
        <v>1909</v>
      </c>
      <c r="C71" s="163">
        <v>37680</v>
      </c>
      <c r="D71" s="175">
        <v>1260000</v>
      </c>
      <c r="E71" s="175"/>
      <c r="F71" s="67">
        <f t="shared" si="21"/>
        <v>1260000</v>
      </c>
      <c r="G71" s="67">
        <v>1259000</v>
      </c>
      <c r="H71" s="67">
        <f t="shared" si="24"/>
        <v>1000</v>
      </c>
      <c r="I71" s="68">
        <v>5</v>
      </c>
      <c r="J71" s="68">
        <v>0.2</v>
      </c>
      <c r="K71" s="68">
        <v>0</v>
      </c>
      <c r="L71" s="110"/>
      <c r="M71" s="67">
        <f t="shared" si="25"/>
        <v>1259000</v>
      </c>
      <c r="N71" s="110">
        <f t="shared" si="22"/>
        <v>1000</v>
      </c>
      <c r="O71" s="68" t="s">
        <v>1910</v>
      </c>
      <c r="P71" s="555">
        <v>1</v>
      </c>
      <c r="Q71" s="592"/>
      <c r="R71" s="23">
        <f t="shared" si="15"/>
        <v>200</v>
      </c>
      <c r="S71" s="10">
        <f t="shared" si="26"/>
        <v>63000</v>
      </c>
      <c r="T71" s="10">
        <f t="shared" si="27"/>
        <v>-62000</v>
      </c>
      <c r="U71" s="10">
        <f t="shared" si="23"/>
        <v>0</v>
      </c>
      <c r="V71" s="10">
        <f t="shared" si="28"/>
        <v>252000</v>
      </c>
      <c r="W71" s="10">
        <f t="shared" si="29"/>
        <v>0</v>
      </c>
      <c r="X71" s="10">
        <f t="shared" si="30"/>
        <v>0</v>
      </c>
    </row>
    <row r="72" spans="1:24" s="9" customFormat="1" ht="13.5" customHeight="1" x14ac:dyDescent="0.2">
      <c r="A72" s="573">
        <f t="shared" si="31"/>
        <v>68</v>
      </c>
      <c r="B72" s="65" t="s">
        <v>1911</v>
      </c>
      <c r="C72" s="163">
        <v>37677</v>
      </c>
      <c r="D72" s="175">
        <v>4818182</v>
      </c>
      <c r="E72" s="175"/>
      <c r="F72" s="67">
        <f t="shared" si="21"/>
        <v>4818182</v>
      </c>
      <c r="G72" s="67">
        <v>4817182</v>
      </c>
      <c r="H72" s="67">
        <f t="shared" si="24"/>
        <v>1000</v>
      </c>
      <c r="I72" s="68">
        <v>5</v>
      </c>
      <c r="J72" s="68">
        <v>0.2</v>
      </c>
      <c r="K72" s="68">
        <v>0</v>
      </c>
      <c r="L72" s="110"/>
      <c r="M72" s="67">
        <f t="shared" si="25"/>
        <v>4817182</v>
      </c>
      <c r="N72" s="110">
        <f t="shared" si="22"/>
        <v>1000</v>
      </c>
      <c r="O72" s="594" t="s">
        <v>260</v>
      </c>
      <c r="P72" s="555">
        <v>1</v>
      </c>
      <c r="Q72" s="592"/>
      <c r="R72" s="23">
        <f t="shared" si="15"/>
        <v>200</v>
      </c>
      <c r="S72" s="10">
        <f t="shared" si="26"/>
        <v>240909.1</v>
      </c>
      <c r="T72" s="10">
        <f t="shared" si="27"/>
        <v>-239909.1</v>
      </c>
      <c r="U72" s="10">
        <f t="shared" si="23"/>
        <v>0</v>
      </c>
      <c r="V72" s="10">
        <f t="shared" si="28"/>
        <v>963636.4</v>
      </c>
      <c r="W72" s="10">
        <f t="shared" si="29"/>
        <v>0</v>
      </c>
      <c r="X72" s="10">
        <f t="shared" si="30"/>
        <v>0</v>
      </c>
    </row>
    <row r="73" spans="1:24" s="9" customFormat="1" ht="13.5" customHeight="1" x14ac:dyDescent="0.2">
      <c r="A73" s="573">
        <f t="shared" si="31"/>
        <v>69</v>
      </c>
      <c r="B73" s="65" t="s">
        <v>1912</v>
      </c>
      <c r="C73" s="163">
        <v>37677</v>
      </c>
      <c r="D73" s="175">
        <v>2272727</v>
      </c>
      <c r="E73" s="175"/>
      <c r="F73" s="67">
        <f t="shared" si="21"/>
        <v>2272727</v>
      </c>
      <c r="G73" s="67">
        <v>2271727</v>
      </c>
      <c r="H73" s="67">
        <f t="shared" si="24"/>
        <v>1000</v>
      </c>
      <c r="I73" s="68">
        <v>5</v>
      </c>
      <c r="J73" s="68">
        <v>0.2</v>
      </c>
      <c r="K73" s="68">
        <v>0</v>
      </c>
      <c r="L73" s="110"/>
      <c r="M73" s="67">
        <f t="shared" si="25"/>
        <v>2271727</v>
      </c>
      <c r="N73" s="110">
        <f t="shared" si="22"/>
        <v>1000</v>
      </c>
      <c r="O73" s="594" t="s">
        <v>260</v>
      </c>
      <c r="P73" s="555">
        <v>1</v>
      </c>
      <c r="Q73" s="592"/>
      <c r="R73" s="23">
        <f t="shared" si="15"/>
        <v>200</v>
      </c>
      <c r="S73" s="10">
        <f t="shared" si="26"/>
        <v>113636.35</v>
      </c>
      <c r="T73" s="10">
        <f t="shared" si="27"/>
        <v>-112636.35</v>
      </c>
      <c r="U73" s="10">
        <f t="shared" si="23"/>
        <v>0</v>
      </c>
      <c r="V73" s="10">
        <f t="shared" si="28"/>
        <v>454545.4</v>
      </c>
      <c r="W73" s="10">
        <f t="shared" si="29"/>
        <v>0</v>
      </c>
      <c r="X73" s="10">
        <f t="shared" si="30"/>
        <v>0</v>
      </c>
    </row>
    <row r="74" spans="1:24" s="9" customFormat="1" ht="13.5" customHeight="1" x14ac:dyDescent="0.2">
      <c r="A74" s="573">
        <f t="shared" si="31"/>
        <v>70</v>
      </c>
      <c r="B74" s="65" t="s">
        <v>1913</v>
      </c>
      <c r="C74" s="163">
        <v>37677</v>
      </c>
      <c r="D74" s="175">
        <v>11900000</v>
      </c>
      <c r="E74" s="175"/>
      <c r="F74" s="67">
        <f t="shared" si="21"/>
        <v>11900000</v>
      </c>
      <c r="G74" s="67">
        <v>11899000</v>
      </c>
      <c r="H74" s="67">
        <f t="shared" si="24"/>
        <v>1000</v>
      </c>
      <c r="I74" s="68">
        <v>5</v>
      </c>
      <c r="J74" s="68">
        <v>0.2</v>
      </c>
      <c r="K74" s="68">
        <v>0</v>
      </c>
      <c r="L74" s="110"/>
      <c r="M74" s="67">
        <f t="shared" si="25"/>
        <v>11899000</v>
      </c>
      <c r="N74" s="110">
        <f t="shared" si="22"/>
        <v>1000</v>
      </c>
      <c r="O74" s="594" t="s">
        <v>260</v>
      </c>
      <c r="P74" s="555">
        <v>1</v>
      </c>
      <c r="Q74" s="592"/>
      <c r="R74" s="23">
        <f t="shared" si="15"/>
        <v>200</v>
      </c>
      <c r="S74" s="10">
        <f t="shared" si="26"/>
        <v>595000</v>
      </c>
      <c r="T74" s="10">
        <f t="shared" si="27"/>
        <v>-594000</v>
      </c>
      <c r="U74" s="10">
        <f t="shared" si="23"/>
        <v>0</v>
      </c>
      <c r="V74" s="10">
        <f t="shared" si="28"/>
        <v>2380000</v>
      </c>
      <c r="W74" s="10">
        <f t="shared" si="29"/>
        <v>0</v>
      </c>
      <c r="X74" s="10">
        <f t="shared" si="30"/>
        <v>0</v>
      </c>
    </row>
    <row r="75" spans="1:24" s="9" customFormat="1" ht="13.5" customHeight="1" x14ac:dyDescent="0.2">
      <c r="A75" s="573">
        <f t="shared" si="31"/>
        <v>71</v>
      </c>
      <c r="B75" s="65" t="s">
        <v>1914</v>
      </c>
      <c r="C75" s="163">
        <v>37677</v>
      </c>
      <c r="D75" s="175">
        <v>3600000</v>
      </c>
      <c r="E75" s="175"/>
      <c r="F75" s="67">
        <f t="shared" si="21"/>
        <v>3600000</v>
      </c>
      <c r="G75" s="67">
        <v>3599000</v>
      </c>
      <c r="H75" s="67">
        <f t="shared" si="24"/>
        <v>1000</v>
      </c>
      <c r="I75" s="68">
        <v>5</v>
      </c>
      <c r="J75" s="68">
        <v>0.2</v>
      </c>
      <c r="K75" s="68">
        <v>0</v>
      </c>
      <c r="L75" s="110"/>
      <c r="M75" s="67">
        <f t="shared" si="25"/>
        <v>3599000</v>
      </c>
      <c r="N75" s="110">
        <f t="shared" si="22"/>
        <v>1000</v>
      </c>
      <c r="O75" s="594" t="s">
        <v>1915</v>
      </c>
      <c r="P75" s="555">
        <v>1</v>
      </c>
      <c r="Q75" s="592"/>
      <c r="R75" s="23">
        <f t="shared" si="15"/>
        <v>200</v>
      </c>
      <c r="S75" s="10">
        <f t="shared" si="26"/>
        <v>180000</v>
      </c>
      <c r="T75" s="10">
        <f t="shared" si="27"/>
        <v>-179000</v>
      </c>
      <c r="U75" s="10">
        <f t="shared" si="23"/>
        <v>0</v>
      </c>
      <c r="V75" s="10">
        <f t="shared" si="28"/>
        <v>720000</v>
      </c>
      <c r="W75" s="10">
        <f t="shared" si="29"/>
        <v>0</v>
      </c>
      <c r="X75" s="10">
        <f t="shared" si="30"/>
        <v>0</v>
      </c>
    </row>
    <row r="76" spans="1:24" s="9" customFormat="1" ht="13.5" customHeight="1" x14ac:dyDescent="0.2">
      <c r="A76" s="573">
        <f t="shared" si="31"/>
        <v>72</v>
      </c>
      <c r="B76" s="65" t="s">
        <v>1916</v>
      </c>
      <c r="C76" s="163">
        <v>37677</v>
      </c>
      <c r="D76" s="175">
        <v>1000000</v>
      </c>
      <c r="E76" s="175"/>
      <c r="F76" s="67">
        <f t="shared" si="21"/>
        <v>1000000</v>
      </c>
      <c r="G76" s="67">
        <v>999000</v>
      </c>
      <c r="H76" s="67">
        <f t="shared" si="24"/>
        <v>1000</v>
      </c>
      <c r="I76" s="68">
        <v>5</v>
      </c>
      <c r="J76" s="68">
        <v>0.2</v>
      </c>
      <c r="K76" s="68">
        <v>0</v>
      </c>
      <c r="L76" s="110"/>
      <c r="M76" s="67">
        <f t="shared" si="25"/>
        <v>999000</v>
      </c>
      <c r="N76" s="110">
        <f t="shared" si="22"/>
        <v>1000</v>
      </c>
      <c r="O76" s="594" t="s">
        <v>1915</v>
      </c>
      <c r="P76" s="555">
        <v>1</v>
      </c>
      <c r="Q76" s="592"/>
      <c r="R76" s="23">
        <f t="shared" si="15"/>
        <v>200</v>
      </c>
      <c r="S76" s="10">
        <f t="shared" si="26"/>
        <v>50000</v>
      </c>
      <c r="T76" s="10">
        <f t="shared" si="27"/>
        <v>-49000</v>
      </c>
      <c r="U76" s="10">
        <f t="shared" si="23"/>
        <v>0</v>
      </c>
      <c r="V76" s="10">
        <f t="shared" si="28"/>
        <v>200000</v>
      </c>
      <c r="W76" s="10">
        <f t="shared" si="29"/>
        <v>0</v>
      </c>
      <c r="X76" s="10">
        <f t="shared" si="30"/>
        <v>0</v>
      </c>
    </row>
    <row r="77" spans="1:24" s="9" customFormat="1" ht="13.5" customHeight="1" x14ac:dyDescent="0.2">
      <c r="A77" s="573">
        <f t="shared" si="31"/>
        <v>73</v>
      </c>
      <c r="B77" s="65" t="s">
        <v>1917</v>
      </c>
      <c r="C77" s="163">
        <v>37694</v>
      </c>
      <c r="D77" s="175">
        <v>15000000</v>
      </c>
      <c r="E77" s="175"/>
      <c r="F77" s="67">
        <f t="shared" si="21"/>
        <v>15000000</v>
      </c>
      <c r="G77" s="67">
        <v>14999000</v>
      </c>
      <c r="H77" s="67">
        <f t="shared" si="24"/>
        <v>1000</v>
      </c>
      <c r="I77" s="68">
        <v>5</v>
      </c>
      <c r="J77" s="68">
        <v>0.2</v>
      </c>
      <c r="K77" s="68">
        <v>0</v>
      </c>
      <c r="L77" s="110"/>
      <c r="M77" s="67">
        <f t="shared" si="25"/>
        <v>14999000</v>
      </c>
      <c r="N77" s="110">
        <f t="shared" si="22"/>
        <v>1000</v>
      </c>
      <c r="O77" s="594" t="s">
        <v>1918</v>
      </c>
      <c r="P77" s="555"/>
      <c r="Q77" s="592"/>
      <c r="R77" s="23">
        <f t="shared" si="15"/>
        <v>200</v>
      </c>
      <c r="S77" s="10">
        <f t="shared" si="26"/>
        <v>750000</v>
      </c>
      <c r="T77" s="10">
        <f t="shared" si="27"/>
        <v>-749000</v>
      </c>
      <c r="U77" s="10">
        <f t="shared" si="23"/>
        <v>0</v>
      </c>
      <c r="V77" s="10">
        <f t="shared" si="28"/>
        <v>3000000</v>
      </c>
      <c r="W77" s="10">
        <f t="shared" si="29"/>
        <v>0</v>
      </c>
      <c r="X77" s="10">
        <f t="shared" si="30"/>
        <v>0</v>
      </c>
    </row>
    <row r="78" spans="1:24" s="9" customFormat="1" ht="13.5" customHeight="1" x14ac:dyDescent="0.2">
      <c r="A78" s="573">
        <f t="shared" si="31"/>
        <v>74</v>
      </c>
      <c r="B78" s="65" t="s">
        <v>1891</v>
      </c>
      <c r="C78" s="163">
        <v>37712</v>
      </c>
      <c r="D78" s="175">
        <v>125000</v>
      </c>
      <c r="E78" s="175"/>
      <c r="F78" s="67">
        <f t="shared" si="21"/>
        <v>125000</v>
      </c>
      <c r="G78" s="67">
        <v>124000</v>
      </c>
      <c r="H78" s="67">
        <f t="shared" si="24"/>
        <v>1000</v>
      </c>
      <c r="I78" s="68">
        <v>5</v>
      </c>
      <c r="J78" s="68">
        <v>0.2</v>
      </c>
      <c r="K78" s="68">
        <v>0</v>
      </c>
      <c r="L78" s="110"/>
      <c r="M78" s="67">
        <f t="shared" si="25"/>
        <v>124000</v>
      </c>
      <c r="N78" s="110">
        <f t="shared" si="22"/>
        <v>1000</v>
      </c>
      <c r="O78" s="594" t="s">
        <v>1882</v>
      </c>
      <c r="P78" s="555">
        <v>5</v>
      </c>
      <c r="Q78" s="592"/>
      <c r="R78" s="23">
        <f t="shared" si="15"/>
        <v>200</v>
      </c>
      <c r="S78" s="10">
        <f t="shared" si="26"/>
        <v>6250</v>
      </c>
      <c r="T78" s="10">
        <f t="shared" si="27"/>
        <v>-5250</v>
      </c>
      <c r="U78" s="10">
        <f t="shared" si="23"/>
        <v>0</v>
      </c>
      <c r="V78" s="10">
        <f t="shared" si="28"/>
        <v>25000</v>
      </c>
      <c r="W78" s="10">
        <f t="shared" si="29"/>
        <v>0</v>
      </c>
      <c r="X78" s="10">
        <f t="shared" si="30"/>
        <v>0</v>
      </c>
    </row>
    <row r="79" spans="1:24" s="9" customFormat="1" ht="13.5" customHeight="1" x14ac:dyDescent="0.2">
      <c r="A79" s="573">
        <f t="shared" si="31"/>
        <v>75</v>
      </c>
      <c r="B79" s="65" t="s">
        <v>1919</v>
      </c>
      <c r="C79" s="163">
        <v>37748</v>
      </c>
      <c r="D79" s="175">
        <v>6800000</v>
      </c>
      <c r="E79" s="175"/>
      <c r="F79" s="67">
        <f t="shared" si="21"/>
        <v>6800000</v>
      </c>
      <c r="G79" s="67">
        <v>6799000</v>
      </c>
      <c r="H79" s="67">
        <f t="shared" si="24"/>
        <v>1000</v>
      </c>
      <c r="I79" s="68">
        <v>5</v>
      </c>
      <c r="J79" s="68">
        <v>0.2</v>
      </c>
      <c r="K79" s="68">
        <v>0</v>
      </c>
      <c r="L79" s="110"/>
      <c r="M79" s="67">
        <f t="shared" si="25"/>
        <v>6799000</v>
      </c>
      <c r="N79" s="110">
        <f t="shared" si="22"/>
        <v>1000</v>
      </c>
      <c r="O79" s="594" t="s">
        <v>1918</v>
      </c>
      <c r="P79" s="555"/>
      <c r="Q79" s="592"/>
      <c r="R79" s="23">
        <f t="shared" si="15"/>
        <v>200</v>
      </c>
      <c r="S79" s="10">
        <f t="shared" si="26"/>
        <v>340000</v>
      </c>
      <c r="T79" s="10">
        <f t="shared" si="27"/>
        <v>-339000</v>
      </c>
      <c r="U79" s="10">
        <f t="shared" si="23"/>
        <v>0</v>
      </c>
      <c r="V79" s="10">
        <f t="shared" si="28"/>
        <v>1360000</v>
      </c>
      <c r="W79" s="10">
        <f t="shared" si="29"/>
        <v>0</v>
      </c>
      <c r="X79" s="10">
        <f t="shared" si="30"/>
        <v>0</v>
      </c>
    </row>
    <row r="80" spans="1:24" s="9" customFormat="1" ht="13.5" customHeight="1" x14ac:dyDescent="0.2">
      <c r="A80" s="573">
        <f t="shared" si="31"/>
        <v>76</v>
      </c>
      <c r="B80" s="65" t="s">
        <v>1920</v>
      </c>
      <c r="C80" s="163">
        <v>37753</v>
      </c>
      <c r="D80" s="175">
        <v>300000</v>
      </c>
      <c r="E80" s="175"/>
      <c r="F80" s="67">
        <f t="shared" si="21"/>
        <v>300000</v>
      </c>
      <c r="G80" s="67">
        <v>299000</v>
      </c>
      <c r="H80" s="67">
        <f t="shared" si="24"/>
        <v>1000</v>
      </c>
      <c r="I80" s="68">
        <v>5</v>
      </c>
      <c r="J80" s="68">
        <v>0.2</v>
      </c>
      <c r="K80" s="68">
        <v>0</v>
      </c>
      <c r="L80" s="110"/>
      <c r="M80" s="67">
        <f t="shared" si="25"/>
        <v>299000</v>
      </c>
      <c r="N80" s="110">
        <f t="shared" si="22"/>
        <v>1000</v>
      </c>
      <c r="O80" s="594" t="s">
        <v>1921</v>
      </c>
      <c r="P80" s="555">
        <v>10</v>
      </c>
      <c r="Q80" s="592"/>
      <c r="R80" s="23">
        <f t="shared" si="15"/>
        <v>200</v>
      </c>
      <c r="S80" s="10">
        <f t="shared" si="26"/>
        <v>15000</v>
      </c>
      <c r="T80" s="10">
        <f t="shared" si="27"/>
        <v>-14000</v>
      </c>
      <c r="U80" s="10">
        <f t="shared" si="23"/>
        <v>0</v>
      </c>
      <c r="V80" s="10">
        <f t="shared" si="28"/>
        <v>60000</v>
      </c>
      <c r="W80" s="10">
        <f t="shared" si="29"/>
        <v>0</v>
      </c>
      <c r="X80" s="10">
        <f t="shared" si="30"/>
        <v>0</v>
      </c>
    </row>
    <row r="81" spans="1:24" s="9" customFormat="1" ht="13.5" customHeight="1" x14ac:dyDescent="0.2">
      <c r="A81" s="573">
        <f t="shared" si="31"/>
        <v>77</v>
      </c>
      <c r="B81" s="65" t="s">
        <v>1922</v>
      </c>
      <c r="C81" s="163">
        <v>37757</v>
      </c>
      <c r="D81" s="175">
        <v>1720000</v>
      </c>
      <c r="E81" s="175"/>
      <c r="F81" s="67">
        <f t="shared" si="21"/>
        <v>1720000</v>
      </c>
      <c r="G81" s="67">
        <v>1719000</v>
      </c>
      <c r="H81" s="67">
        <f t="shared" si="24"/>
        <v>1000</v>
      </c>
      <c r="I81" s="68">
        <v>5</v>
      </c>
      <c r="J81" s="68">
        <v>0.2</v>
      </c>
      <c r="K81" s="68">
        <v>0</v>
      </c>
      <c r="L81" s="110"/>
      <c r="M81" s="67">
        <f t="shared" si="25"/>
        <v>1719000</v>
      </c>
      <c r="N81" s="110">
        <f t="shared" si="22"/>
        <v>1000</v>
      </c>
      <c r="O81" s="594" t="s">
        <v>260</v>
      </c>
      <c r="P81" s="555">
        <v>1</v>
      </c>
      <c r="Q81" s="592"/>
      <c r="R81" s="23">
        <f t="shared" si="15"/>
        <v>200</v>
      </c>
      <c r="S81" s="10">
        <f t="shared" si="26"/>
        <v>86000</v>
      </c>
      <c r="T81" s="10">
        <f t="shared" si="27"/>
        <v>-85000</v>
      </c>
      <c r="U81" s="10">
        <f t="shared" si="23"/>
        <v>0</v>
      </c>
      <c r="V81" s="10">
        <f t="shared" si="28"/>
        <v>344000</v>
      </c>
      <c r="W81" s="10">
        <f t="shared" si="29"/>
        <v>0</v>
      </c>
      <c r="X81" s="10">
        <f t="shared" si="30"/>
        <v>0</v>
      </c>
    </row>
    <row r="82" spans="1:24" s="9" customFormat="1" ht="13.5" customHeight="1" x14ac:dyDescent="0.2">
      <c r="A82" s="595">
        <f t="shared" si="31"/>
        <v>78</v>
      </c>
      <c r="B82" s="596" t="s">
        <v>1888</v>
      </c>
      <c r="C82" s="597">
        <v>37761</v>
      </c>
      <c r="D82" s="598">
        <v>4220455</v>
      </c>
      <c r="E82" s="598"/>
      <c r="F82" s="599">
        <f t="shared" si="21"/>
        <v>4220455</v>
      </c>
      <c r="G82" s="599">
        <v>4219455</v>
      </c>
      <c r="H82" s="599">
        <v>1000</v>
      </c>
      <c r="I82" s="600">
        <v>5</v>
      </c>
      <c r="J82" s="600">
        <v>0.2</v>
      </c>
      <c r="K82" s="600">
        <v>0</v>
      </c>
      <c r="L82" s="601"/>
      <c r="M82" s="599">
        <f t="shared" si="25"/>
        <v>4219455</v>
      </c>
      <c r="N82" s="601">
        <f t="shared" si="22"/>
        <v>1000</v>
      </c>
      <c r="O82" s="602" t="s">
        <v>1923</v>
      </c>
      <c r="P82" s="603">
        <v>3</v>
      </c>
      <c r="Q82" s="604" t="s">
        <v>1924</v>
      </c>
      <c r="R82" s="23">
        <f t="shared" si="15"/>
        <v>200</v>
      </c>
      <c r="S82" s="10">
        <f t="shared" si="26"/>
        <v>211022.75</v>
      </c>
      <c r="T82" s="10">
        <f t="shared" si="27"/>
        <v>-210022.75</v>
      </c>
      <c r="U82" s="10">
        <f t="shared" si="23"/>
        <v>0</v>
      </c>
      <c r="V82" s="10">
        <f t="shared" si="28"/>
        <v>844091</v>
      </c>
      <c r="W82" s="10">
        <f t="shared" si="29"/>
        <v>0</v>
      </c>
      <c r="X82" s="10">
        <f t="shared" si="30"/>
        <v>0</v>
      </c>
    </row>
    <row r="83" spans="1:24" s="9" customFormat="1" ht="13.5" customHeight="1" x14ac:dyDescent="0.2">
      <c r="A83" s="573">
        <f t="shared" si="31"/>
        <v>79</v>
      </c>
      <c r="B83" s="65" t="s">
        <v>1925</v>
      </c>
      <c r="C83" s="163">
        <v>37757</v>
      </c>
      <c r="D83" s="175">
        <v>794000</v>
      </c>
      <c r="E83" s="175"/>
      <c r="F83" s="67">
        <f t="shared" si="21"/>
        <v>794000</v>
      </c>
      <c r="G83" s="67">
        <v>793000</v>
      </c>
      <c r="H83" s="67">
        <f t="shared" ref="H83:H110" si="32">+F83-G83</f>
        <v>1000</v>
      </c>
      <c r="I83" s="68">
        <v>5</v>
      </c>
      <c r="J83" s="68">
        <v>0.2</v>
      </c>
      <c r="K83" s="68">
        <v>0</v>
      </c>
      <c r="L83" s="110"/>
      <c r="M83" s="67">
        <f t="shared" si="25"/>
        <v>793000</v>
      </c>
      <c r="N83" s="110">
        <f t="shared" si="22"/>
        <v>1000</v>
      </c>
      <c r="O83" s="594" t="s">
        <v>1926</v>
      </c>
      <c r="P83" s="555">
        <v>13</v>
      </c>
      <c r="Q83" s="592" t="s">
        <v>1890</v>
      </c>
      <c r="R83" s="23">
        <f t="shared" si="15"/>
        <v>200</v>
      </c>
      <c r="S83" s="10">
        <f t="shared" si="26"/>
        <v>39700</v>
      </c>
      <c r="T83" s="10">
        <f t="shared" si="27"/>
        <v>-38700</v>
      </c>
      <c r="U83" s="10">
        <f t="shared" si="23"/>
        <v>0</v>
      </c>
      <c r="V83" s="10">
        <f t="shared" si="28"/>
        <v>158800</v>
      </c>
      <c r="W83" s="10">
        <f t="shared" si="29"/>
        <v>0</v>
      </c>
      <c r="X83" s="10">
        <f t="shared" si="30"/>
        <v>0</v>
      </c>
    </row>
    <row r="84" spans="1:24" s="9" customFormat="1" ht="13.5" customHeight="1" x14ac:dyDescent="0.2">
      <c r="A84" s="573">
        <f t="shared" si="31"/>
        <v>80</v>
      </c>
      <c r="B84" s="65" t="s">
        <v>1927</v>
      </c>
      <c r="C84" s="163">
        <v>37760</v>
      </c>
      <c r="D84" s="175">
        <v>2500000</v>
      </c>
      <c r="E84" s="175"/>
      <c r="F84" s="67">
        <f t="shared" si="21"/>
        <v>2500000</v>
      </c>
      <c r="G84" s="67">
        <v>2499000</v>
      </c>
      <c r="H84" s="67">
        <f t="shared" si="32"/>
        <v>1000</v>
      </c>
      <c r="I84" s="68">
        <v>5</v>
      </c>
      <c r="J84" s="68">
        <v>0.2</v>
      </c>
      <c r="K84" s="68">
        <v>0</v>
      </c>
      <c r="L84" s="110"/>
      <c r="M84" s="67">
        <f t="shared" si="25"/>
        <v>2499000</v>
      </c>
      <c r="N84" s="110">
        <f t="shared" si="22"/>
        <v>1000</v>
      </c>
      <c r="O84" s="68" t="s">
        <v>1928</v>
      </c>
      <c r="P84" s="555">
        <v>1</v>
      </c>
      <c r="Q84" s="592" t="s">
        <v>1890</v>
      </c>
      <c r="R84" s="23">
        <f t="shared" si="15"/>
        <v>200</v>
      </c>
      <c r="S84" s="10">
        <f t="shared" si="26"/>
        <v>125000</v>
      </c>
      <c r="T84" s="10">
        <f t="shared" si="27"/>
        <v>-124000</v>
      </c>
      <c r="U84" s="10">
        <f t="shared" si="23"/>
        <v>0</v>
      </c>
      <c r="V84" s="10">
        <f t="shared" si="28"/>
        <v>500000</v>
      </c>
      <c r="W84" s="10">
        <f t="shared" si="29"/>
        <v>0</v>
      </c>
      <c r="X84" s="10">
        <f t="shared" si="30"/>
        <v>0</v>
      </c>
    </row>
    <row r="85" spans="1:24" s="9" customFormat="1" ht="13.5" customHeight="1" x14ac:dyDescent="0.2">
      <c r="A85" s="573">
        <f t="shared" si="31"/>
        <v>81</v>
      </c>
      <c r="B85" s="65" t="s">
        <v>1929</v>
      </c>
      <c r="C85" s="163">
        <v>37769</v>
      </c>
      <c r="D85" s="175">
        <v>317000</v>
      </c>
      <c r="E85" s="175"/>
      <c r="F85" s="67">
        <f t="shared" si="21"/>
        <v>317000</v>
      </c>
      <c r="G85" s="67">
        <v>316000</v>
      </c>
      <c r="H85" s="67">
        <f t="shared" si="32"/>
        <v>1000</v>
      </c>
      <c r="I85" s="68">
        <v>5</v>
      </c>
      <c r="J85" s="68">
        <v>0.2</v>
      </c>
      <c r="K85" s="68">
        <v>0</v>
      </c>
      <c r="L85" s="110"/>
      <c r="M85" s="67">
        <f t="shared" si="25"/>
        <v>316000</v>
      </c>
      <c r="N85" s="110">
        <f t="shared" si="22"/>
        <v>1000</v>
      </c>
      <c r="O85" s="68" t="s">
        <v>1930</v>
      </c>
      <c r="P85" s="555">
        <v>1</v>
      </c>
      <c r="Q85" s="592" t="s">
        <v>1931</v>
      </c>
      <c r="R85" s="23">
        <f t="shared" si="15"/>
        <v>200</v>
      </c>
      <c r="S85" s="10">
        <f t="shared" si="26"/>
        <v>15850</v>
      </c>
      <c r="T85" s="10">
        <f t="shared" si="27"/>
        <v>-14850</v>
      </c>
      <c r="U85" s="10">
        <f t="shared" si="23"/>
        <v>0</v>
      </c>
      <c r="V85" s="10">
        <f t="shared" si="28"/>
        <v>63400</v>
      </c>
      <c r="W85" s="10">
        <f t="shared" si="29"/>
        <v>0</v>
      </c>
      <c r="X85" s="10">
        <f t="shared" si="30"/>
        <v>0</v>
      </c>
    </row>
    <row r="86" spans="1:24" s="9" customFormat="1" ht="13.5" customHeight="1" x14ac:dyDescent="0.2">
      <c r="A86" s="573">
        <f t="shared" si="31"/>
        <v>82</v>
      </c>
      <c r="B86" s="65" t="s">
        <v>1877</v>
      </c>
      <c r="C86" s="163">
        <v>37771</v>
      </c>
      <c r="D86" s="175">
        <v>270000</v>
      </c>
      <c r="E86" s="175"/>
      <c r="F86" s="67">
        <f t="shared" si="21"/>
        <v>270000</v>
      </c>
      <c r="G86" s="67">
        <v>269000</v>
      </c>
      <c r="H86" s="67">
        <f t="shared" si="32"/>
        <v>1000</v>
      </c>
      <c r="I86" s="68">
        <v>5</v>
      </c>
      <c r="J86" s="68">
        <v>0.2</v>
      </c>
      <c r="K86" s="68">
        <v>0</v>
      </c>
      <c r="L86" s="110"/>
      <c r="M86" s="67">
        <f t="shared" si="25"/>
        <v>269000</v>
      </c>
      <c r="N86" s="110">
        <f t="shared" si="22"/>
        <v>1000</v>
      </c>
      <c r="O86" s="68" t="s">
        <v>1932</v>
      </c>
      <c r="P86" s="555">
        <v>1</v>
      </c>
      <c r="Q86" s="592" t="s">
        <v>1890</v>
      </c>
      <c r="R86" s="23">
        <f t="shared" si="15"/>
        <v>200</v>
      </c>
      <c r="S86" s="10">
        <f t="shared" si="26"/>
        <v>13500</v>
      </c>
      <c r="T86" s="10">
        <f t="shared" si="27"/>
        <v>-12500</v>
      </c>
      <c r="U86" s="10">
        <f t="shared" si="23"/>
        <v>0</v>
      </c>
      <c r="V86" s="10">
        <f t="shared" si="28"/>
        <v>54000</v>
      </c>
      <c r="W86" s="10">
        <f t="shared" si="29"/>
        <v>0</v>
      </c>
      <c r="X86" s="10">
        <f t="shared" si="30"/>
        <v>0</v>
      </c>
    </row>
    <row r="87" spans="1:24" s="9" customFormat="1" ht="13.5" customHeight="1" x14ac:dyDescent="0.2">
      <c r="A87" s="723">
        <f t="shared" si="31"/>
        <v>83</v>
      </c>
      <c r="B87" s="724" t="s">
        <v>1864</v>
      </c>
      <c r="C87" s="725">
        <v>37771</v>
      </c>
      <c r="D87" s="726">
        <v>0</v>
      </c>
      <c r="E87" s="726"/>
      <c r="F87" s="727">
        <f t="shared" si="21"/>
        <v>0</v>
      </c>
      <c r="G87" s="727"/>
      <c r="H87" s="727"/>
      <c r="I87" s="728">
        <v>5</v>
      </c>
      <c r="J87" s="728">
        <v>0.2</v>
      </c>
      <c r="K87" s="728">
        <v>0</v>
      </c>
      <c r="L87" s="729"/>
      <c r="M87" s="727"/>
      <c r="N87" s="729"/>
      <c r="O87" s="728" t="s">
        <v>1932</v>
      </c>
      <c r="P87" s="730">
        <v>1</v>
      </c>
      <c r="Q87" s="731" t="s">
        <v>2906</v>
      </c>
      <c r="R87" s="23">
        <f t="shared" si="15"/>
        <v>0</v>
      </c>
      <c r="S87" s="10">
        <f t="shared" si="26"/>
        <v>0</v>
      </c>
      <c r="T87" s="10">
        <f t="shared" si="27"/>
        <v>0</v>
      </c>
      <c r="U87" s="10">
        <f t="shared" si="23"/>
        <v>-1000</v>
      </c>
      <c r="V87" s="10">
        <f t="shared" si="28"/>
        <v>0</v>
      </c>
      <c r="W87" s="10">
        <f t="shared" si="29"/>
        <v>0</v>
      </c>
      <c r="X87" s="10">
        <f t="shared" si="30"/>
        <v>0</v>
      </c>
    </row>
    <row r="88" spans="1:24" s="9" customFormat="1" ht="13.5" customHeight="1" x14ac:dyDescent="0.2">
      <c r="A88" s="573">
        <f t="shared" si="31"/>
        <v>84</v>
      </c>
      <c r="B88" s="65" t="s">
        <v>1933</v>
      </c>
      <c r="C88" s="163">
        <v>37771</v>
      </c>
      <c r="D88" s="175">
        <v>350000</v>
      </c>
      <c r="E88" s="175"/>
      <c r="F88" s="67">
        <f t="shared" si="21"/>
        <v>350000</v>
      </c>
      <c r="G88" s="67">
        <v>349000</v>
      </c>
      <c r="H88" s="67">
        <f t="shared" si="32"/>
        <v>1000</v>
      </c>
      <c r="I88" s="68">
        <v>5</v>
      </c>
      <c r="J88" s="68">
        <v>0.2</v>
      </c>
      <c r="K88" s="68">
        <v>0</v>
      </c>
      <c r="L88" s="110"/>
      <c r="M88" s="67">
        <f t="shared" si="25"/>
        <v>349000</v>
      </c>
      <c r="N88" s="110">
        <f t="shared" si="22"/>
        <v>1000</v>
      </c>
      <c r="O88" s="68" t="s">
        <v>1934</v>
      </c>
      <c r="P88" s="555">
        <v>1</v>
      </c>
      <c r="Q88" s="592" t="s">
        <v>1935</v>
      </c>
      <c r="R88" s="23">
        <f t="shared" si="15"/>
        <v>200</v>
      </c>
      <c r="S88" s="10">
        <f t="shared" si="26"/>
        <v>17500</v>
      </c>
      <c r="T88" s="10">
        <f t="shared" si="27"/>
        <v>-16500</v>
      </c>
      <c r="U88" s="10">
        <f t="shared" si="23"/>
        <v>0</v>
      </c>
      <c r="V88" s="10">
        <f t="shared" si="28"/>
        <v>70000</v>
      </c>
      <c r="W88" s="10">
        <f t="shared" si="29"/>
        <v>0</v>
      </c>
      <c r="X88" s="10">
        <f t="shared" si="30"/>
        <v>0</v>
      </c>
    </row>
    <row r="89" spans="1:24" s="9" customFormat="1" ht="13.5" customHeight="1" x14ac:dyDescent="0.2">
      <c r="A89" s="573">
        <f t="shared" si="31"/>
        <v>85</v>
      </c>
      <c r="B89" s="65" t="s">
        <v>1936</v>
      </c>
      <c r="C89" s="163">
        <v>37771</v>
      </c>
      <c r="D89" s="175">
        <v>450000</v>
      </c>
      <c r="E89" s="175"/>
      <c r="F89" s="67">
        <f t="shared" si="21"/>
        <v>450000</v>
      </c>
      <c r="G89" s="67">
        <v>449000</v>
      </c>
      <c r="H89" s="67">
        <f t="shared" si="32"/>
        <v>1000</v>
      </c>
      <c r="I89" s="68">
        <v>5</v>
      </c>
      <c r="J89" s="68">
        <v>0.2</v>
      </c>
      <c r="K89" s="68">
        <v>0</v>
      </c>
      <c r="L89" s="110"/>
      <c r="M89" s="67">
        <f t="shared" si="25"/>
        <v>449000</v>
      </c>
      <c r="N89" s="110">
        <f t="shared" si="22"/>
        <v>1000</v>
      </c>
      <c r="O89" s="68" t="s">
        <v>1934</v>
      </c>
      <c r="P89" s="555">
        <v>5</v>
      </c>
      <c r="Q89" s="592" t="s">
        <v>1890</v>
      </c>
      <c r="R89" s="23">
        <f t="shared" ref="R89:R152" si="33">+N89*J89</f>
        <v>200</v>
      </c>
      <c r="S89" s="10">
        <f t="shared" si="26"/>
        <v>22500</v>
      </c>
      <c r="T89" s="10">
        <f t="shared" si="27"/>
        <v>-21500</v>
      </c>
      <c r="U89" s="10">
        <f t="shared" si="23"/>
        <v>0</v>
      </c>
      <c r="V89" s="10">
        <f t="shared" si="28"/>
        <v>90000</v>
      </c>
      <c r="W89" s="10">
        <f t="shared" si="29"/>
        <v>0</v>
      </c>
      <c r="X89" s="10">
        <f t="shared" si="30"/>
        <v>0</v>
      </c>
    </row>
    <row r="90" spans="1:24" s="9" customFormat="1" ht="13.5" customHeight="1" x14ac:dyDescent="0.2">
      <c r="A90" s="573">
        <f t="shared" si="31"/>
        <v>86</v>
      </c>
      <c r="B90" s="65" t="s">
        <v>1895</v>
      </c>
      <c r="C90" s="163">
        <v>37771</v>
      </c>
      <c r="D90" s="175">
        <v>270000</v>
      </c>
      <c r="E90" s="175"/>
      <c r="F90" s="67">
        <f t="shared" si="21"/>
        <v>270000</v>
      </c>
      <c r="G90" s="67">
        <v>269000</v>
      </c>
      <c r="H90" s="67">
        <f t="shared" si="32"/>
        <v>1000</v>
      </c>
      <c r="I90" s="68">
        <v>5</v>
      </c>
      <c r="J90" s="68">
        <v>0.2</v>
      </c>
      <c r="K90" s="68">
        <v>0</v>
      </c>
      <c r="L90" s="110"/>
      <c r="M90" s="67">
        <f t="shared" si="25"/>
        <v>269000</v>
      </c>
      <c r="N90" s="110">
        <f t="shared" si="22"/>
        <v>1000</v>
      </c>
      <c r="O90" s="594" t="s">
        <v>1934</v>
      </c>
      <c r="P90" s="555">
        <v>1</v>
      </c>
      <c r="Q90" s="592"/>
      <c r="R90" s="23">
        <f t="shared" si="33"/>
        <v>200</v>
      </c>
      <c r="S90" s="10">
        <f t="shared" si="26"/>
        <v>13500</v>
      </c>
      <c r="T90" s="10">
        <f t="shared" si="27"/>
        <v>-12500</v>
      </c>
      <c r="U90" s="10">
        <f t="shared" si="23"/>
        <v>0</v>
      </c>
      <c r="V90" s="10">
        <f t="shared" si="28"/>
        <v>54000</v>
      </c>
      <c r="W90" s="10">
        <f t="shared" si="29"/>
        <v>0</v>
      </c>
      <c r="X90" s="10">
        <f t="shared" si="30"/>
        <v>0</v>
      </c>
    </row>
    <row r="91" spans="1:24" s="9" customFormat="1" ht="13.5" customHeight="1" x14ac:dyDescent="0.2">
      <c r="A91" s="573">
        <f t="shared" si="31"/>
        <v>87</v>
      </c>
      <c r="B91" s="65" t="s">
        <v>1937</v>
      </c>
      <c r="C91" s="163">
        <v>37771</v>
      </c>
      <c r="D91" s="175">
        <v>540000</v>
      </c>
      <c r="E91" s="175"/>
      <c r="F91" s="67">
        <f t="shared" si="21"/>
        <v>540000</v>
      </c>
      <c r="G91" s="67">
        <v>539000</v>
      </c>
      <c r="H91" s="67">
        <f t="shared" si="32"/>
        <v>1000</v>
      </c>
      <c r="I91" s="68">
        <v>5</v>
      </c>
      <c r="J91" s="68">
        <v>0.2</v>
      </c>
      <c r="K91" s="68">
        <v>0</v>
      </c>
      <c r="L91" s="110"/>
      <c r="M91" s="67">
        <f t="shared" si="25"/>
        <v>539000</v>
      </c>
      <c r="N91" s="110">
        <f t="shared" si="22"/>
        <v>1000</v>
      </c>
      <c r="O91" s="594" t="s">
        <v>1932</v>
      </c>
      <c r="P91" s="555">
        <v>3</v>
      </c>
      <c r="Q91" s="592"/>
      <c r="R91" s="23">
        <f t="shared" si="33"/>
        <v>200</v>
      </c>
      <c r="S91" s="10">
        <f t="shared" si="26"/>
        <v>27000</v>
      </c>
      <c r="T91" s="10">
        <f t="shared" si="27"/>
        <v>-26000</v>
      </c>
      <c r="U91" s="10">
        <f t="shared" si="23"/>
        <v>0</v>
      </c>
      <c r="V91" s="10">
        <f t="shared" si="28"/>
        <v>108000</v>
      </c>
      <c r="W91" s="10">
        <f t="shared" si="29"/>
        <v>0</v>
      </c>
      <c r="X91" s="10">
        <f t="shared" si="30"/>
        <v>0</v>
      </c>
    </row>
    <row r="92" spans="1:24" s="9" customFormat="1" ht="13.5" customHeight="1" x14ac:dyDescent="0.2">
      <c r="A92" s="573">
        <f t="shared" si="31"/>
        <v>88</v>
      </c>
      <c r="B92" s="65" t="s">
        <v>1938</v>
      </c>
      <c r="C92" s="163">
        <v>37771</v>
      </c>
      <c r="D92" s="175">
        <v>500000</v>
      </c>
      <c r="E92" s="175"/>
      <c r="F92" s="67">
        <f t="shared" si="21"/>
        <v>500000</v>
      </c>
      <c r="G92" s="67">
        <v>499000</v>
      </c>
      <c r="H92" s="67">
        <f t="shared" si="32"/>
        <v>1000</v>
      </c>
      <c r="I92" s="68">
        <v>5</v>
      </c>
      <c r="J92" s="68">
        <v>0.2</v>
      </c>
      <c r="K92" s="68">
        <v>0</v>
      </c>
      <c r="L92" s="110"/>
      <c r="M92" s="67">
        <f t="shared" si="25"/>
        <v>499000</v>
      </c>
      <c r="N92" s="110">
        <f t="shared" si="22"/>
        <v>1000</v>
      </c>
      <c r="O92" s="594" t="s">
        <v>1932</v>
      </c>
      <c r="P92" s="555">
        <v>5</v>
      </c>
      <c r="Q92" s="592"/>
      <c r="R92" s="23">
        <f t="shared" si="33"/>
        <v>200</v>
      </c>
      <c r="S92" s="10">
        <f t="shared" si="26"/>
        <v>25000</v>
      </c>
      <c r="T92" s="10">
        <f t="shared" si="27"/>
        <v>-24000</v>
      </c>
      <c r="U92" s="10">
        <f t="shared" si="23"/>
        <v>0</v>
      </c>
      <c r="V92" s="10">
        <f t="shared" si="28"/>
        <v>100000</v>
      </c>
      <c r="W92" s="10">
        <f t="shared" si="29"/>
        <v>0</v>
      </c>
      <c r="X92" s="10">
        <f t="shared" si="30"/>
        <v>0</v>
      </c>
    </row>
    <row r="93" spans="1:24" s="9" customFormat="1" ht="13.5" customHeight="1" x14ac:dyDescent="0.2">
      <c r="A93" s="573">
        <f t="shared" si="31"/>
        <v>89</v>
      </c>
      <c r="B93" s="65" t="s">
        <v>1939</v>
      </c>
      <c r="C93" s="163">
        <v>37790</v>
      </c>
      <c r="D93" s="175">
        <v>300000</v>
      </c>
      <c r="E93" s="175"/>
      <c r="F93" s="67">
        <f t="shared" si="21"/>
        <v>300000</v>
      </c>
      <c r="G93" s="67">
        <v>299000</v>
      </c>
      <c r="H93" s="67">
        <f t="shared" si="32"/>
        <v>1000</v>
      </c>
      <c r="I93" s="68">
        <v>5</v>
      </c>
      <c r="J93" s="68">
        <v>0.2</v>
      </c>
      <c r="K93" s="68">
        <v>0</v>
      </c>
      <c r="L93" s="110"/>
      <c r="M93" s="67">
        <f t="shared" si="25"/>
        <v>299000</v>
      </c>
      <c r="N93" s="110">
        <f t="shared" si="22"/>
        <v>1000</v>
      </c>
      <c r="O93" s="594" t="s">
        <v>1882</v>
      </c>
      <c r="P93" s="555">
        <v>2</v>
      </c>
      <c r="Q93" s="592"/>
      <c r="R93" s="23">
        <f t="shared" si="33"/>
        <v>200</v>
      </c>
      <c r="S93" s="10">
        <f t="shared" si="26"/>
        <v>15000</v>
      </c>
      <c r="T93" s="10">
        <f t="shared" si="27"/>
        <v>-14000</v>
      </c>
      <c r="U93" s="10">
        <f t="shared" si="23"/>
        <v>0</v>
      </c>
      <c r="V93" s="10">
        <f t="shared" si="28"/>
        <v>60000</v>
      </c>
      <c r="W93" s="10">
        <f t="shared" si="29"/>
        <v>0</v>
      </c>
      <c r="X93" s="10">
        <f t="shared" si="30"/>
        <v>0</v>
      </c>
    </row>
    <row r="94" spans="1:24" s="9" customFormat="1" ht="13.5" customHeight="1" x14ac:dyDescent="0.2">
      <c r="A94" s="573">
        <f t="shared" si="31"/>
        <v>90</v>
      </c>
      <c r="B94" s="65" t="s">
        <v>1940</v>
      </c>
      <c r="C94" s="163">
        <v>37901</v>
      </c>
      <c r="D94" s="175">
        <v>3500000</v>
      </c>
      <c r="E94" s="175"/>
      <c r="F94" s="67">
        <f t="shared" si="21"/>
        <v>3500000</v>
      </c>
      <c r="G94" s="67">
        <v>3499000</v>
      </c>
      <c r="H94" s="67">
        <f t="shared" si="32"/>
        <v>1000</v>
      </c>
      <c r="I94" s="68">
        <v>5</v>
      </c>
      <c r="J94" s="68">
        <v>0.2</v>
      </c>
      <c r="K94" s="68">
        <v>0</v>
      </c>
      <c r="L94" s="110"/>
      <c r="M94" s="67">
        <f t="shared" si="25"/>
        <v>3499000</v>
      </c>
      <c r="N94" s="110">
        <f t="shared" si="22"/>
        <v>1000</v>
      </c>
      <c r="O94" s="594" t="s">
        <v>260</v>
      </c>
      <c r="P94" s="555">
        <v>1</v>
      </c>
      <c r="Q94" s="592"/>
      <c r="R94" s="23">
        <f t="shared" si="33"/>
        <v>200</v>
      </c>
      <c r="S94" s="10">
        <f t="shared" si="26"/>
        <v>175000</v>
      </c>
      <c r="T94" s="10">
        <f t="shared" si="27"/>
        <v>-174000</v>
      </c>
      <c r="U94" s="10">
        <f t="shared" si="23"/>
        <v>0</v>
      </c>
      <c r="V94" s="10">
        <f t="shared" si="28"/>
        <v>700000</v>
      </c>
      <c r="W94" s="10">
        <f t="shared" si="29"/>
        <v>0</v>
      </c>
      <c r="X94" s="10">
        <f t="shared" si="30"/>
        <v>0</v>
      </c>
    </row>
    <row r="95" spans="1:24" s="9" customFormat="1" ht="13.5" customHeight="1" x14ac:dyDescent="0.2">
      <c r="A95" s="573">
        <f t="shared" si="31"/>
        <v>91</v>
      </c>
      <c r="B95" s="65" t="s">
        <v>1941</v>
      </c>
      <c r="C95" s="163">
        <v>37925</v>
      </c>
      <c r="D95" s="175">
        <v>115000</v>
      </c>
      <c r="E95" s="175"/>
      <c r="F95" s="67">
        <f t="shared" si="21"/>
        <v>115000</v>
      </c>
      <c r="G95" s="67">
        <v>114000</v>
      </c>
      <c r="H95" s="67">
        <f t="shared" si="32"/>
        <v>1000</v>
      </c>
      <c r="I95" s="68">
        <v>5</v>
      </c>
      <c r="J95" s="68">
        <v>0.2</v>
      </c>
      <c r="K95" s="68">
        <v>0</v>
      </c>
      <c r="L95" s="110"/>
      <c r="M95" s="67">
        <f t="shared" si="25"/>
        <v>114000</v>
      </c>
      <c r="N95" s="110">
        <f t="shared" si="22"/>
        <v>1000</v>
      </c>
      <c r="O95" s="594" t="s">
        <v>1942</v>
      </c>
      <c r="P95" s="555">
        <v>1</v>
      </c>
      <c r="Q95" s="592"/>
      <c r="R95" s="23">
        <f t="shared" si="33"/>
        <v>200</v>
      </c>
      <c r="S95" s="10">
        <f t="shared" si="26"/>
        <v>5750</v>
      </c>
      <c r="T95" s="10">
        <f t="shared" si="27"/>
        <v>-4750</v>
      </c>
      <c r="U95" s="10">
        <f t="shared" si="23"/>
        <v>0</v>
      </c>
      <c r="V95" s="10">
        <f t="shared" si="28"/>
        <v>23000</v>
      </c>
      <c r="W95" s="10">
        <f t="shared" si="29"/>
        <v>0</v>
      </c>
      <c r="X95" s="10">
        <f t="shared" si="30"/>
        <v>0</v>
      </c>
    </row>
    <row r="96" spans="1:24" s="9" customFormat="1" ht="13.5" customHeight="1" x14ac:dyDescent="0.2">
      <c r="A96" s="573">
        <f t="shared" si="31"/>
        <v>92</v>
      </c>
      <c r="B96" s="65" t="s">
        <v>1888</v>
      </c>
      <c r="C96" s="163">
        <v>37925</v>
      </c>
      <c r="D96" s="175">
        <v>2272727</v>
      </c>
      <c r="E96" s="175"/>
      <c r="F96" s="67">
        <f t="shared" si="21"/>
        <v>2272727</v>
      </c>
      <c r="G96" s="67">
        <v>2271727</v>
      </c>
      <c r="H96" s="67">
        <f t="shared" si="32"/>
        <v>1000</v>
      </c>
      <c r="I96" s="68">
        <v>5</v>
      </c>
      <c r="J96" s="68">
        <v>0.2</v>
      </c>
      <c r="K96" s="68">
        <v>0</v>
      </c>
      <c r="L96" s="110"/>
      <c r="M96" s="67">
        <f t="shared" si="25"/>
        <v>2271727</v>
      </c>
      <c r="N96" s="110">
        <f t="shared" si="22"/>
        <v>1000</v>
      </c>
      <c r="O96" s="594" t="s">
        <v>1943</v>
      </c>
      <c r="P96" s="555">
        <v>2</v>
      </c>
      <c r="Q96" s="592"/>
      <c r="R96" s="23">
        <f t="shared" si="33"/>
        <v>200</v>
      </c>
      <c r="S96" s="10">
        <f t="shared" si="26"/>
        <v>113636.35</v>
      </c>
      <c r="T96" s="10">
        <f t="shared" si="27"/>
        <v>-112636.35</v>
      </c>
      <c r="U96" s="10">
        <f t="shared" si="23"/>
        <v>0</v>
      </c>
      <c r="V96" s="10">
        <f t="shared" si="28"/>
        <v>454545.4</v>
      </c>
      <c r="W96" s="10">
        <f t="shared" si="29"/>
        <v>0</v>
      </c>
      <c r="X96" s="10">
        <f t="shared" si="30"/>
        <v>0</v>
      </c>
    </row>
    <row r="97" spans="1:24" s="9" customFormat="1" ht="13.5" customHeight="1" x14ac:dyDescent="0.2">
      <c r="A97" s="573">
        <f t="shared" si="31"/>
        <v>93</v>
      </c>
      <c r="B97" s="65" t="s">
        <v>1920</v>
      </c>
      <c r="C97" s="163">
        <v>37936</v>
      </c>
      <c r="D97" s="175">
        <v>170000</v>
      </c>
      <c r="E97" s="175"/>
      <c r="F97" s="67">
        <f t="shared" si="21"/>
        <v>170000</v>
      </c>
      <c r="G97" s="67">
        <v>169000</v>
      </c>
      <c r="H97" s="67">
        <f t="shared" si="32"/>
        <v>1000</v>
      </c>
      <c r="I97" s="68">
        <v>5</v>
      </c>
      <c r="J97" s="68">
        <v>0.2</v>
      </c>
      <c r="K97" s="68">
        <v>0</v>
      </c>
      <c r="L97" s="110"/>
      <c r="M97" s="67">
        <f t="shared" si="25"/>
        <v>169000</v>
      </c>
      <c r="N97" s="110">
        <f t="shared" si="22"/>
        <v>1000</v>
      </c>
      <c r="O97" s="594" t="s">
        <v>1882</v>
      </c>
      <c r="P97" s="555">
        <v>5</v>
      </c>
      <c r="Q97" s="592"/>
      <c r="R97" s="23">
        <f t="shared" si="33"/>
        <v>200</v>
      </c>
      <c r="S97" s="10">
        <f t="shared" si="26"/>
        <v>8500</v>
      </c>
      <c r="T97" s="10">
        <f t="shared" si="27"/>
        <v>-7500</v>
      </c>
      <c r="U97" s="10">
        <f t="shared" si="23"/>
        <v>0</v>
      </c>
      <c r="V97" s="10">
        <f t="shared" si="28"/>
        <v>34000</v>
      </c>
      <c r="W97" s="10">
        <f t="shared" si="29"/>
        <v>0</v>
      </c>
      <c r="X97" s="10">
        <f t="shared" si="30"/>
        <v>0</v>
      </c>
    </row>
    <row r="98" spans="1:24" s="9" customFormat="1" ht="13.5" customHeight="1" x14ac:dyDescent="0.2">
      <c r="A98" s="573">
        <f t="shared" si="31"/>
        <v>94</v>
      </c>
      <c r="B98" s="65" t="s">
        <v>1944</v>
      </c>
      <c r="C98" s="163">
        <v>37944</v>
      </c>
      <c r="D98" s="175">
        <v>545455</v>
      </c>
      <c r="E98" s="175"/>
      <c r="F98" s="67">
        <f t="shared" si="21"/>
        <v>545455</v>
      </c>
      <c r="G98" s="67">
        <v>544455</v>
      </c>
      <c r="H98" s="67">
        <f t="shared" si="32"/>
        <v>1000</v>
      </c>
      <c r="I98" s="68">
        <v>5</v>
      </c>
      <c r="J98" s="68">
        <v>0.2</v>
      </c>
      <c r="K98" s="68">
        <v>0</v>
      </c>
      <c r="L98" s="110"/>
      <c r="M98" s="67">
        <f t="shared" si="25"/>
        <v>544455</v>
      </c>
      <c r="N98" s="110">
        <f t="shared" si="22"/>
        <v>1000</v>
      </c>
      <c r="O98" s="594" t="s">
        <v>1945</v>
      </c>
      <c r="P98" s="555">
        <v>2</v>
      </c>
      <c r="Q98" s="592"/>
      <c r="R98" s="23">
        <f t="shared" si="33"/>
        <v>200</v>
      </c>
      <c r="S98" s="10">
        <f t="shared" si="26"/>
        <v>27272.75</v>
      </c>
      <c r="T98" s="10">
        <f t="shared" si="27"/>
        <v>-26272.75</v>
      </c>
      <c r="U98" s="10">
        <f t="shared" si="23"/>
        <v>0</v>
      </c>
      <c r="V98" s="10">
        <f t="shared" si="28"/>
        <v>109091</v>
      </c>
      <c r="W98" s="10">
        <f t="shared" si="29"/>
        <v>0</v>
      </c>
      <c r="X98" s="10">
        <f t="shared" si="30"/>
        <v>0</v>
      </c>
    </row>
    <row r="99" spans="1:24" s="9" customFormat="1" ht="13.5" customHeight="1" x14ac:dyDescent="0.2">
      <c r="A99" s="573">
        <f t="shared" si="31"/>
        <v>95</v>
      </c>
      <c r="B99" s="65" t="s">
        <v>1946</v>
      </c>
      <c r="C99" s="163">
        <v>37945</v>
      </c>
      <c r="D99" s="175">
        <v>5500000</v>
      </c>
      <c r="E99" s="175"/>
      <c r="F99" s="67">
        <f t="shared" si="21"/>
        <v>5500000</v>
      </c>
      <c r="G99" s="67">
        <v>5499000</v>
      </c>
      <c r="H99" s="67">
        <f t="shared" si="32"/>
        <v>1000</v>
      </c>
      <c r="I99" s="68">
        <v>5</v>
      </c>
      <c r="J99" s="68">
        <v>0.2</v>
      </c>
      <c r="K99" s="68">
        <v>0</v>
      </c>
      <c r="L99" s="110"/>
      <c r="M99" s="67">
        <f t="shared" si="25"/>
        <v>5499000</v>
      </c>
      <c r="N99" s="110">
        <f t="shared" si="22"/>
        <v>1000</v>
      </c>
      <c r="O99" s="594" t="s">
        <v>1947</v>
      </c>
      <c r="P99" s="555"/>
      <c r="Q99" s="592"/>
      <c r="R99" s="23">
        <f t="shared" si="33"/>
        <v>200</v>
      </c>
      <c r="S99" s="10">
        <f t="shared" si="26"/>
        <v>275000</v>
      </c>
      <c r="T99" s="10">
        <f t="shared" si="27"/>
        <v>-274000</v>
      </c>
      <c r="U99" s="10">
        <f t="shared" si="23"/>
        <v>0</v>
      </c>
      <c r="V99" s="10">
        <f t="shared" si="28"/>
        <v>1100000</v>
      </c>
      <c r="W99" s="10">
        <f t="shared" si="29"/>
        <v>0</v>
      </c>
      <c r="X99" s="10">
        <f t="shared" si="30"/>
        <v>0</v>
      </c>
    </row>
    <row r="100" spans="1:24" s="9" customFormat="1" ht="13.5" customHeight="1" x14ac:dyDescent="0.2">
      <c r="A100" s="573">
        <f t="shared" si="31"/>
        <v>96</v>
      </c>
      <c r="B100" s="65" t="s">
        <v>1948</v>
      </c>
      <c r="C100" s="163">
        <v>37945</v>
      </c>
      <c r="D100" s="175">
        <v>675000</v>
      </c>
      <c r="E100" s="175"/>
      <c r="F100" s="67">
        <f t="shared" si="21"/>
        <v>675000</v>
      </c>
      <c r="G100" s="67">
        <v>674000</v>
      </c>
      <c r="H100" s="67">
        <f t="shared" si="32"/>
        <v>1000</v>
      </c>
      <c r="I100" s="68">
        <v>5</v>
      </c>
      <c r="J100" s="68">
        <v>0.2</v>
      </c>
      <c r="K100" s="68">
        <v>0</v>
      </c>
      <c r="L100" s="110"/>
      <c r="M100" s="67">
        <f t="shared" si="25"/>
        <v>674000</v>
      </c>
      <c r="N100" s="110">
        <f t="shared" si="22"/>
        <v>1000</v>
      </c>
      <c r="O100" s="594" t="s">
        <v>1949</v>
      </c>
      <c r="P100" s="555">
        <v>9</v>
      </c>
      <c r="Q100" s="592"/>
      <c r="R100" s="23">
        <f t="shared" si="33"/>
        <v>200</v>
      </c>
      <c r="S100" s="10">
        <f t="shared" si="26"/>
        <v>33750</v>
      </c>
      <c r="T100" s="10">
        <f t="shared" si="27"/>
        <v>-32750</v>
      </c>
      <c r="U100" s="10">
        <f t="shared" si="23"/>
        <v>0</v>
      </c>
      <c r="V100" s="10">
        <f t="shared" si="28"/>
        <v>135000</v>
      </c>
      <c r="W100" s="10">
        <f t="shared" si="29"/>
        <v>0</v>
      </c>
      <c r="X100" s="10">
        <f t="shared" si="30"/>
        <v>0</v>
      </c>
    </row>
    <row r="101" spans="1:24" s="9" customFormat="1" ht="13.5" customHeight="1" x14ac:dyDescent="0.2">
      <c r="A101" s="64">
        <f t="shared" si="31"/>
        <v>97</v>
      </c>
      <c r="B101" s="65" t="s">
        <v>1950</v>
      </c>
      <c r="C101" s="66" t="s">
        <v>1951</v>
      </c>
      <c r="D101" s="175">
        <v>200000</v>
      </c>
      <c r="E101" s="175"/>
      <c r="F101" s="67">
        <f t="shared" si="21"/>
        <v>200000</v>
      </c>
      <c r="G101" s="67">
        <v>199000</v>
      </c>
      <c r="H101" s="67">
        <f t="shared" si="32"/>
        <v>1000</v>
      </c>
      <c r="I101" s="68">
        <v>5</v>
      </c>
      <c r="J101" s="68">
        <v>0.2</v>
      </c>
      <c r="K101" s="68">
        <v>0</v>
      </c>
      <c r="L101" s="110"/>
      <c r="M101" s="67">
        <f t="shared" si="25"/>
        <v>199000</v>
      </c>
      <c r="N101" s="110">
        <f t="shared" si="22"/>
        <v>1000</v>
      </c>
      <c r="O101" s="111" t="s">
        <v>1952</v>
      </c>
      <c r="P101" s="111">
        <v>1</v>
      </c>
      <c r="Q101" s="70"/>
      <c r="R101" s="23">
        <f t="shared" si="33"/>
        <v>200</v>
      </c>
      <c r="S101" s="10">
        <f t="shared" si="26"/>
        <v>10000</v>
      </c>
      <c r="T101" s="10">
        <f t="shared" si="27"/>
        <v>-9000</v>
      </c>
      <c r="U101" s="10">
        <f t="shared" si="23"/>
        <v>0</v>
      </c>
      <c r="V101" s="10">
        <f t="shared" si="28"/>
        <v>40000</v>
      </c>
      <c r="W101" s="10">
        <f t="shared" si="29"/>
        <v>0</v>
      </c>
      <c r="X101" s="10">
        <f t="shared" si="30"/>
        <v>0</v>
      </c>
    </row>
    <row r="102" spans="1:24" s="9" customFormat="1" ht="13.5" customHeight="1" x14ac:dyDescent="0.2">
      <c r="A102" s="64">
        <f t="shared" si="31"/>
        <v>98</v>
      </c>
      <c r="B102" s="65" t="s">
        <v>1953</v>
      </c>
      <c r="C102" s="66" t="s">
        <v>1954</v>
      </c>
      <c r="D102" s="175">
        <v>160000</v>
      </c>
      <c r="E102" s="175"/>
      <c r="F102" s="67">
        <f t="shared" si="21"/>
        <v>160000</v>
      </c>
      <c r="G102" s="67">
        <v>159000</v>
      </c>
      <c r="H102" s="67">
        <f t="shared" si="32"/>
        <v>1000</v>
      </c>
      <c r="I102" s="68">
        <v>5</v>
      </c>
      <c r="J102" s="68">
        <v>0.2</v>
      </c>
      <c r="K102" s="68">
        <v>0</v>
      </c>
      <c r="L102" s="110"/>
      <c r="M102" s="67">
        <f t="shared" si="25"/>
        <v>159000</v>
      </c>
      <c r="N102" s="110">
        <f t="shared" si="22"/>
        <v>1000</v>
      </c>
      <c r="O102" s="111" t="s">
        <v>1955</v>
      </c>
      <c r="P102" s="111">
        <v>2</v>
      </c>
      <c r="Q102" s="70"/>
      <c r="R102" s="23">
        <f t="shared" si="33"/>
        <v>200</v>
      </c>
      <c r="S102" s="10">
        <f t="shared" si="26"/>
        <v>8000</v>
      </c>
      <c r="T102" s="10">
        <f t="shared" si="27"/>
        <v>-7000</v>
      </c>
      <c r="U102" s="10">
        <f t="shared" si="23"/>
        <v>0</v>
      </c>
      <c r="V102" s="10">
        <f t="shared" si="28"/>
        <v>32000</v>
      </c>
      <c r="W102" s="10">
        <f t="shared" si="29"/>
        <v>0</v>
      </c>
      <c r="X102" s="10">
        <f t="shared" si="30"/>
        <v>0</v>
      </c>
    </row>
    <row r="103" spans="1:24" s="9" customFormat="1" ht="13.5" customHeight="1" x14ac:dyDescent="0.2">
      <c r="A103" s="64">
        <f t="shared" si="31"/>
        <v>99</v>
      </c>
      <c r="B103" s="65" t="s">
        <v>1873</v>
      </c>
      <c r="C103" s="66" t="s">
        <v>1954</v>
      </c>
      <c r="D103" s="175">
        <v>90000</v>
      </c>
      <c r="E103" s="175"/>
      <c r="F103" s="67">
        <f t="shared" si="21"/>
        <v>90000</v>
      </c>
      <c r="G103" s="67">
        <v>89000</v>
      </c>
      <c r="H103" s="67">
        <f t="shared" si="32"/>
        <v>1000</v>
      </c>
      <c r="I103" s="68">
        <v>5</v>
      </c>
      <c r="J103" s="68">
        <v>0.2</v>
      </c>
      <c r="K103" s="68">
        <v>0</v>
      </c>
      <c r="L103" s="110"/>
      <c r="M103" s="67">
        <f t="shared" si="25"/>
        <v>89000</v>
      </c>
      <c r="N103" s="110">
        <f t="shared" si="22"/>
        <v>1000</v>
      </c>
      <c r="O103" s="111" t="s">
        <v>1932</v>
      </c>
      <c r="P103" s="111">
        <v>2</v>
      </c>
      <c r="Q103" s="70"/>
      <c r="R103" s="23">
        <f t="shared" si="33"/>
        <v>200</v>
      </c>
      <c r="S103" s="10">
        <f t="shared" si="26"/>
        <v>4500</v>
      </c>
      <c r="T103" s="10">
        <f t="shared" si="27"/>
        <v>-3500</v>
      </c>
      <c r="U103" s="10">
        <f t="shared" si="23"/>
        <v>0</v>
      </c>
      <c r="V103" s="10">
        <f t="shared" si="28"/>
        <v>18000</v>
      </c>
      <c r="W103" s="10">
        <f t="shared" si="29"/>
        <v>0</v>
      </c>
      <c r="X103" s="10">
        <f t="shared" si="30"/>
        <v>0</v>
      </c>
    </row>
    <row r="104" spans="1:24" s="9" customFormat="1" ht="13.5" customHeight="1" x14ac:dyDescent="0.2">
      <c r="A104" s="64">
        <f t="shared" si="31"/>
        <v>100</v>
      </c>
      <c r="B104" s="65" t="s">
        <v>1956</v>
      </c>
      <c r="C104" s="66" t="s">
        <v>1954</v>
      </c>
      <c r="D104" s="175">
        <v>1044000</v>
      </c>
      <c r="E104" s="175"/>
      <c r="F104" s="67">
        <f t="shared" si="21"/>
        <v>1044000</v>
      </c>
      <c r="G104" s="67">
        <v>1043000</v>
      </c>
      <c r="H104" s="67">
        <f t="shared" si="32"/>
        <v>1000</v>
      </c>
      <c r="I104" s="68">
        <v>5</v>
      </c>
      <c r="J104" s="68">
        <v>0.2</v>
      </c>
      <c r="K104" s="68">
        <v>0</v>
      </c>
      <c r="L104" s="110"/>
      <c r="M104" s="67">
        <f t="shared" si="25"/>
        <v>1043000</v>
      </c>
      <c r="N104" s="110">
        <f t="shared" si="22"/>
        <v>1000</v>
      </c>
      <c r="O104" s="111" t="s">
        <v>1932</v>
      </c>
      <c r="P104" s="111">
        <v>18</v>
      </c>
      <c r="Q104" s="146"/>
      <c r="R104" s="23">
        <f t="shared" si="33"/>
        <v>200</v>
      </c>
      <c r="S104" s="10">
        <f t="shared" si="26"/>
        <v>52200</v>
      </c>
      <c r="T104" s="10">
        <f t="shared" si="27"/>
        <v>-51200</v>
      </c>
      <c r="U104" s="10">
        <f t="shared" si="23"/>
        <v>0</v>
      </c>
      <c r="V104" s="10">
        <f t="shared" si="28"/>
        <v>208800</v>
      </c>
      <c r="W104" s="10">
        <f t="shared" si="29"/>
        <v>0</v>
      </c>
      <c r="X104" s="10">
        <f t="shared" si="30"/>
        <v>0</v>
      </c>
    </row>
    <row r="105" spans="1:24" s="9" customFormat="1" ht="13.5" customHeight="1" x14ac:dyDescent="0.2">
      <c r="A105" s="64">
        <f t="shared" si="31"/>
        <v>101</v>
      </c>
      <c r="B105" s="65" t="s">
        <v>1957</v>
      </c>
      <c r="C105" s="66" t="s">
        <v>1958</v>
      </c>
      <c r="D105" s="175">
        <v>1800000</v>
      </c>
      <c r="E105" s="175"/>
      <c r="F105" s="67">
        <f t="shared" si="21"/>
        <v>1800000</v>
      </c>
      <c r="G105" s="67">
        <v>1799000</v>
      </c>
      <c r="H105" s="67">
        <f t="shared" si="32"/>
        <v>1000</v>
      </c>
      <c r="I105" s="68">
        <v>5</v>
      </c>
      <c r="J105" s="68">
        <v>0.2</v>
      </c>
      <c r="K105" s="68">
        <v>0</v>
      </c>
      <c r="L105" s="110"/>
      <c r="M105" s="67">
        <f t="shared" si="25"/>
        <v>1799000</v>
      </c>
      <c r="N105" s="110">
        <f t="shared" si="22"/>
        <v>1000</v>
      </c>
      <c r="O105" s="111" t="s">
        <v>1959</v>
      </c>
      <c r="P105" s="111">
        <v>1</v>
      </c>
      <c r="Q105" s="146"/>
      <c r="R105" s="23">
        <f t="shared" si="33"/>
        <v>200</v>
      </c>
      <c r="S105" s="10">
        <f t="shared" si="26"/>
        <v>90000</v>
      </c>
      <c r="T105" s="10">
        <f t="shared" si="27"/>
        <v>-89000</v>
      </c>
      <c r="U105" s="10">
        <f t="shared" si="23"/>
        <v>0</v>
      </c>
      <c r="V105" s="10">
        <f t="shared" si="28"/>
        <v>360000</v>
      </c>
      <c r="W105" s="10">
        <f t="shared" si="29"/>
        <v>0</v>
      </c>
      <c r="X105" s="10">
        <f t="shared" si="30"/>
        <v>0</v>
      </c>
    </row>
    <row r="106" spans="1:24" s="9" customFormat="1" ht="13.5" customHeight="1" x14ac:dyDescent="0.2">
      <c r="A106" s="64">
        <f t="shared" si="31"/>
        <v>102</v>
      </c>
      <c r="B106" s="65" t="s">
        <v>1960</v>
      </c>
      <c r="C106" s="66" t="s">
        <v>1958</v>
      </c>
      <c r="D106" s="175">
        <v>200000</v>
      </c>
      <c r="E106" s="175"/>
      <c r="F106" s="67">
        <f t="shared" si="21"/>
        <v>200000</v>
      </c>
      <c r="G106" s="67">
        <v>199000</v>
      </c>
      <c r="H106" s="67">
        <f t="shared" si="32"/>
        <v>1000</v>
      </c>
      <c r="I106" s="68">
        <v>5</v>
      </c>
      <c r="J106" s="68">
        <v>0.2</v>
      </c>
      <c r="K106" s="68">
        <v>0</v>
      </c>
      <c r="L106" s="110"/>
      <c r="M106" s="67">
        <f t="shared" si="25"/>
        <v>199000</v>
      </c>
      <c r="N106" s="110">
        <f t="shared" si="22"/>
        <v>1000</v>
      </c>
      <c r="O106" s="111" t="s">
        <v>1961</v>
      </c>
      <c r="P106" s="111">
        <v>1</v>
      </c>
      <c r="Q106" s="146"/>
      <c r="R106" s="23">
        <f t="shared" si="33"/>
        <v>200</v>
      </c>
      <c r="S106" s="10">
        <f t="shared" si="26"/>
        <v>10000</v>
      </c>
      <c r="T106" s="10">
        <f t="shared" si="27"/>
        <v>-9000</v>
      </c>
      <c r="U106" s="10">
        <f t="shared" si="23"/>
        <v>0</v>
      </c>
      <c r="V106" s="10">
        <f t="shared" si="28"/>
        <v>40000</v>
      </c>
      <c r="W106" s="10">
        <f t="shared" si="29"/>
        <v>0</v>
      </c>
      <c r="X106" s="10">
        <f t="shared" si="30"/>
        <v>0</v>
      </c>
    </row>
    <row r="107" spans="1:24" s="9" customFormat="1" ht="13.5" customHeight="1" x14ac:dyDescent="0.2">
      <c r="A107" s="64">
        <f t="shared" si="31"/>
        <v>103</v>
      </c>
      <c r="B107" s="65" t="s">
        <v>1962</v>
      </c>
      <c r="C107" s="66" t="s">
        <v>244</v>
      </c>
      <c r="D107" s="175">
        <v>1300000</v>
      </c>
      <c r="E107" s="175"/>
      <c r="F107" s="67">
        <f t="shared" si="21"/>
        <v>1300000</v>
      </c>
      <c r="G107" s="67">
        <v>1299000</v>
      </c>
      <c r="H107" s="67">
        <f t="shared" si="32"/>
        <v>1000</v>
      </c>
      <c r="I107" s="68">
        <v>5</v>
      </c>
      <c r="J107" s="68">
        <v>0.2</v>
      </c>
      <c r="K107" s="68">
        <v>0</v>
      </c>
      <c r="L107" s="110"/>
      <c r="M107" s="67">
        <f t="shared" si="25"/>
        <v>1299000</v>
      </c>
      <c r="N107" s="110">
        <f t="shared" si="22"/>
        <v>1000</v>
      </c>
      <c r="O107" s="111" t="s">
        <v>1963</v>
      </c>
      <c r="P107" s="111">
        <v>13</v>
      </c>
      <c r="Q107" s="146"/>
      <c r="R107" s="23">
        <f t="shared" si="33"/>
        <v>200</v>
      </c>
      <c r="S107" s="10">
        <f t="shared" si="26"/>
        <v>65000</v>
      </c>
      <c r="T107" s="10">
        <f t="shared" si="27"/>
        <v>-64000</v>
      </c>
      <c r="U107" s="10">
        <f t="shared" si="23"/>
        <v>0</v>
      </c>
      <c r="V107" s="10">
        <f t="shared" si="28"/>
        <v>260000</v>
      </c>
      <c r="W107" s="10">
        <f t="shared" si="29"/>
        <v>0</v>
      </c>
      <c r="X107" s="10">
        <f t="shared" si="30"/>
        <v>0</v>
      </c>
    </row>
    <row r="108" spans="1:24" s="9" customFormat="1" ht="13.5" customHeight="1" x14ac:dyDescent="0.2">
      <c r="A108" s="64">
        <f t="shared" si="31"/>
        <v>104</v>
      </c>
      <c r="B108" s="65" t="s">
        <v>1877</v>
      </c>
      <c r="C108" s="66" t="s">
        <v>1735</v>
      </c>
      <c r="D108" s="175">
        <v>80000</v>
      </c>
      <c r="E108" s="175"/>
      <c r="F108" s="67">
        <f t="shared" si="21"/>
        <v>80000</v>
      </c>
      <c r="G108" s="67">
        <v>79000</v>
      </c>
      <c r="H108" s="67">
        <f t="shared" si="32"/>
        <v>1000</v>
      </c>
      <c r="I108" s="68">
        <v>5</v>
      </c>
      <c r="J108" s="68">
        <v>0.2</v>
      </c>
      <c r="K108" s="68">
        <v>0</v>
      </c>
      <c r="L108" s="110"/>
      <c r="M108" s="67">
        <f t="shared" si="25"/>
        <v>79000</v>
      </c>
      <c r="N108" s="110">
        <f t="shared" si="22"/>
        <v>1000</v>
      </c>
      <c r="O108" s="111" t="s">
        <v>1932</v>
      </c>
      <c r="P108" s="111">
        <v>1</v>
      </c>
      <c r="Q108" s="146" t="s">
        <v>1890</v>
      </c>
      <c r="R108" s="23">
        <f t="shared" si="33"/>
        <v>200</v>
      </c>
      <c r="S108" s="10">
        <f t="shared" si="26"/>
        <v>4000</v>
      </c>
      <c r="T108" s="10">
        <f t="shared" si="27"/>
        <v>-3000</v>
      </c>
      <c r="U108" s="10">
        <f t="shared" si="23"/>
        <v>0</v>
      </c>
      <c r="V108" s="10">
        <f t="shared" si="28"/>
        <v>16000</v>
      </c>
      <c r="W108" s="10">
        <f t="shared" si="29"/>
        <v>0</v>
      </c>
      <c r="X108" s="10">
        <f t="shared" si="30"/>
        <v>0</v>
      </c>
    </row>
    <row r="109" spans="1:24" s="9" customFormat="1" ht="13.5" customHeight="1" x14ac:dyDescent="0.2">
      <c r="A109" s="64">
        <f t="shared" si="31"/>
        <v>105</v>
      </c>
      <c r="B109" s="65" t="s">
        <v>1873</v>
      </c>
      <c r="C109" s="66" t="s">
        <v>1735</v>
      </c>
      <c r="D109" s="175">
        <v>45000</v>
      </c>
      <c r="E109" s="175"/>
      <c r="F109" s="67">
        <f t="shared" si="21"/>
        <v>45000</v>
      </c>
      <c r="G109" s="67">
        <v>44000</v>
      </c>
      <c r="H109" s="67">
        <f t="shared" si="32"/>
        <v>1000</v>
      </c>
      <c r="I109" s="68">
        <v>5</v>
      </c>
      <c r="J109" s="68">
        <v>0.2</v>
      </c>
      <c r="K109" s="68">
        <v>0</v>
      </c>
      <c r="L109" s="110"/>
      <c r="M109" s="67">
        <f t="shared" si="25"/>
        <v>44000</v>
      </c>
      <c r="N109" s="110">
        <f t="shared" si="22"/>
        <v>1000</v>
      </c>
      <c r="O109" s="111" t="s">
        <v>1932</v>
      </c>
      <c r="P109" s="111">
        <v>1</v>
      </c>
      <c r="Q109" s="146" t="s">
        <v>1890</v>
      </c>
      <c r="R109" s="23">
        <f t="shared" si="33"/>
        <v>200</v>
      </c>
      <c r="S109" s="10">
        <f t="shared" si="26"/>
        <v>2250</v>
      </c>
      <c r="T109" s="10">
        <f t="shared" si="27"/>
        <v>-1250</v>
      </c>
      <c r="U109" s="10">
        <f t="shared" si="23"/>
        <v>0</v>
      </c>
      <c r="V109" s="10">
        <f t="shared" si="28"/>
        <v>9000</v>
      </c>
      <c r="W109" s="10">
        <f t="shared" si="29"/>
        <v>0</v>
      </c>
      <c r="X109" s="10">
        <f t="shared" si="30"/>
        <v>0</v>
      </c>
    </row>
    <row r="110" spans="1:24" s="9" customFormat="1" ht="13.5" customHeight="1" x14ac:dyDescent="0.2">
      <c r="A110" s="64">
        <f t="shared" si="31"/>
        <v>106</v>
      </c>
      <c r="B110" s="65" t="s">
        <v>1888</v>
      </c>
      <c r="C110" s="66" t="s">
        <v>1964</v>
      </c>
      <c r="D110" s="175">
        <v>1420000</v>
      </c>
      <c r="E110" s="175"/>
      <c r="F110" s="67">
        <f t="shared" si="21"/>
        <v>1420000</v>
      </c>
      <c r="G110" s="67">
        <v>1419000</v>
      </c>
      <c r="H110" s="67">
        <f t="shared" si="32"/>
        <v>1000</v>
      </c>
      <c r="I110" s="68">
        <v>5</v>
      </c>
      <c r="J110" s="68">
        <v>0.2</v>
      </c>
      <c r="K110" s="68">
        <v>0</v>
      </c>
      <c r="L110" s="110"/>
      <c r="M110" s="67">
        <f t="shared" si="25"/>
        <v>1419000</v>
      </c>
      <c r="N110" s="110">
        <f t="shared" si="22"/>
        <v>1000</v>
      </c>
      <c r="O110" s="111" t="s">
        <v>1965</v>
      </c>
      <c r="P110" s="111">
        <v>1</v>
      </c>
      <c r="Q110" s="146" t="s">
        <v>1890</v>
      </c>
      <c r="R110" s="23">
        <f t="shared" si="33"/>
        <v>200</v>
      </c>
      <c r="S110" s="10">
        <f t="shared" si="26"/>
        <v>71000</v>
      </c>
      <c r="T110" s="10">
        <f t="shared" si="27"/>
        <v>-70000</v>
      </c>
      <c r="U110" s="10">
        <f t="shared" si="23"/>
        <v>0</v>
      </c>
      <c r="V110" s="10">
        <f t="shared" si="28"/>
        <v>284000</v>
      </c>
      <c r="W110" s="10">
        <f t="shared" si="29"/>
        <v>0</v>
      </c>
      <c r="X110" s="10">
        <f t="shared" si="30"/>
        <v>0</v>
      </c>
    </row>
    <row r="111" spans="1:24" s="9" customFormat="1" ht="13.5" customHeight="1" x14ac:dyDescent="0.2">
      <c r="A111" s="78">
        <f t="shared" si="31"/>
        <v>107</v>
      </c>
      <c r="B111" s="580" t="s">
        <v>1966</v>
      </c>
      <c r="C111" s="80" t="s">
        <v>1967</v>
      </c>
      <c r="D111" s="582">
        <v>0</v>
      </c>
      <c r="E111" s="582"/>
      <c r="F111" s="82">
        <f t="shared" si="21"/>
        <v>0</v>
      </c>
      <c r="G111" s="82">
        <v>0</v>
      </c>
      <c r="H111" s="82">
        <v>0</v>
      </c>
      <c r="I111" s="86">
        <v>5</v>
      </c>
      <c r="J111" s="86">
        <v>0.2</v>
      </c>
      <c r="K111" s="86">
        <v>0</v>
      </c>
      <c r="L111" s="112"/>
      <c r="M111" s="82">
        <v>0</v>
      </c>
      <c r="N111" s="112">
        <f t="shared" si="22"/>
        <v>0</v>
      </c>
      <c r="O111" s="114" t="s">
        <v>1965</v>
      </c>
      <c r="P111" s="114">
        <v>1</v>
      </c>
      <c r="Q111" s="605" t="s">
        <v>1968</v>
      </c>
      <c r="R111" s="23">
        <f t="shared" si="33"/>
        <v>0</v>
      </c>
      <c r="S111" s="10">
        <f t="shared" si="26"/>
        <v>0</v>
      </c>
      <c r="T111" s="10">
        <f t="shared" si="27"/>
        <v>0</v>
      </c>
      <c r="U111" s="10">
        <f t="shared" si="23"/>
        <v>-1000</v>
      </c>
      <c r="V111" s="10">
        <f t="shared" si="28"/>
        <v>0</v>
      </c>
      <c r="W111" s="10">
        <f t="shared" si="29"/>
        <v>0</v>
      </c>
      <c r="X111" s="10">
        <f t="shared" si="30"/>
        <v>0</v>
      </c>
    </row>
    <row r="112" spans="1:24" s="9" customFormat="1" ht="13.5" customHeight="1" x14ac:dyDescent="0.2">
      <c r="A112" s="64">
        <f t="shared" si="31"/>
        <v>108</v>
      </c>
      <c r="B112" s="65" t="s">
        <v>1888</v>
      </c>
      <c r="C112" s="66" t="s">
        <v>1969</v>
      </c>
      <c r="D112" s="175">
        <v>1390000</v>
      </c>
      <c r="E112" s="175"/>
      <c r="F112" s="67">
        <f t="shared" si="21"/>
        <v>1390000</v>
      </c>
      <c r="G112" s="67">
        <v>1389000</v>
      </c>
      <c r="H112" s="67">
        <f>+F112-G112</f>
        <v>1000</v>
      </c>
      <c r="I112" s="68">
        <v>5</v>
      </c>
      <c r="J112" s="68">
        <v>0.2</v>
      </c>
      <c r="K112" s="68">
        <v>0</v>
      </c>
      <c r="L112" s="110"/>
      <c r="M112" s="67">
        <f>+G112+L112</f>
        <v>1389000</v>
      </c>
      <c r="N112" s="110">
        <f t="shared" si="22"/>
        <v>1000</v>
      </c>
      <c r="O112" s="111" t="s">
        <v>1965</v>
      </c>
      <c r="P112" s="111">
        <v>1</v>
      </c>
      <c r="Q112" s="70"/>
      <c r="R112" s="23">
        <f t="shared" si="33"/>
        <v>200</v>
      </c>
      <c r="S112" s="10">
        <f t="shared" si="26"/>
        <v>69500</v>
      </c>
      <c r="T112" s="10">
        <f t="shared" si="27"/>
        <v>-68500</v>
      </c>
      <c r="U112" s="10">
        <f t="shared" si="23"/>
        <v>0</v>
      </c>
      <c r="V112" s="10">
        <f t="shared" si="28"/>
        <v>278000</v>
      </c>
      <c r="W112" s="10">
        <f t="shared" si="29"/>
        <v>0</v>
      </c>
      <c r="X112" s="10">
        <f t="shared" si="30"/>
        <v>0</v>
      </c>
    </row>
    <row r="113" spans="1:24" s="9" customFormat="1" ht="13.5" customHeight="1" x14ac:dyDescent="0.2">
      <c r="A113" s="64">
        <f t="shared" si="31"/>
        <v>109</v>
      </c>
      <c r="B113" s="65" t="s">
        <v>1877</v>
      </c>
      <c r="C113" s="66" t="s">
        <v>1970</v>
      </c>
      <c r="D113" s="175">
        <v>80000</v>
      </c>
      <c r="E113" s="175"/>
      <c r="F113" s="67">
        <f t="shared" si="21"/>
        <v>80000</v>
      </c>
      <c r="G113" s="67">
        <v>79000</v>
      </c>
      <c r="H113" s="67">
        <f>+F113-G113</f>
        <v>1000</v>
      </c>
      <c r="I113" s="68">
        <v>5</v>
      </c>
      <c r="J113" s="68">
        <v>0.2</v>
      </c>
      <c r="K113" s="68">
        <v>0</v>
      </c>
      <c r="L113" s="110"/>
      <c r="M113" s="67">
        <f>+G113+L113</f>
        <v>79000</v>
      </c>
      <c r="N113" s="110">
        <f t="shared" si="22"/>
        <v>1000</v>
      </c>
      <c r="O113" s="111" t="s">
        <v>1932</v>
      </c>
      <c r="P113" s="111">
        <v>1</v>
      </c>
      <c r="Q113" s="70"/>
      <c r="R113" s="23">
        <f t="shared" si="33"/>
        <v>200</v>
      </c>
      <c r="S113" s="10">
        <f t="shared" si="26"/>
        <v>4000</v>
      </c>
      <c r="T113" s="10">
        <f t="shared" si="27"/>
        <v>-3000</v>
      </c>
      <c r="U113" s="10">
        <f t="shared" si="23"/>
        <v>0</v>
      </c>
      <c r="V113" s="10">
        <f t="shared" si="28"/>
        <v>16000</v>
      </c>
      <c r="W113" s="10">
        <f t="shared" si="29"/>
        <v>0</v>
      </c>
      <c r="X113" s="10">
        <f t="shared" si="30"/>
        <v>0</v>
      </c>
    </row>
    <row r="114" spans="1:24" s="9" customFormat="1" ht="13.5" customHeight="1" x14ac:dyDescent="0.2">
      <c r="A114" s="78">
        <f t="shared" si="31"/>
        <v>110</v>
      </c>
      <c r="B114" s="580" t="s">
        <v>1873</v>
      </c>
      <c r="C114" s="80" t="s">
        <v>1970</v>
      </c>
      <c r="D114" s="582">
        <v>0</v>
      </c>
      <c r="E114" s="582"/>
      <c r="F114" s="82">
        <f t="shared" si="21"/>
        <v>0</v>
      </c>
      <c r="G114" s="82">
        <v>0</v>
      </c>
      <c r="H114" s="82">
        <v>0</v>
      </c>
      <c r="I114" s="86">
        <v>5</v>
      </c>
      <c r="J114" s="86">
        <v>0.2</v>
      </c>
      <c r="K114" s="86">
        <v>0</v>
      </c>
      <c r="L114" s="112"/>
      <c r="M114" s="82">
        <v>0</v>
      </c>
      <c r="N114" s="112">
        <f t="shared" si="22"/>
        <v>0</v>
      </c>
      <c r="O114" s="114" t="s">
        <v>1932</v>
      </c>
      <c r="P114" s="114">
        <v>2</v>
      </c>
      <c r="Q114" s="88" t="s">
        <v>1971</v>
      </c>
      <c r="R114" s="23">
        <f t="shared" si="33"/>
        <v>0</v>
      </c>
      <c r="S114" s="10">
        <f t="shared" si="26"/>
        <v>0</v>
      </c>
      <c r="T114" s="10">
        <f t="shared" si="27"/>
        <v>0</v>
      </c>
      <c r="U114" s="10">
        <f t="shared" si="23"/>
        <v>-1000</v>
      </c>
      <c r="V114" s="10">
        <f t="shared" si="28"/>
        <v>0</v>
      </c>
      <c r="W114" s="10">
        <f t="shared" si="29"/>
        <v>0</v>
      </c>
      <c r="X114" s="10">
        <f t="shared" si="30"/>
        <v>0</v>
      </c>
    </row>
    <row r="115" spans="1:24" s="9" customFormat="1" ht="13.5" customHeight="1" x14ac:dyDescent="0.2">
      <c r="A115" s="64">
        <f t="shared" si="31"/>
        <v>111</v>
      </c>
      <c r="B115" s="65" t="s">
        <v>1855</v>
      </c>
      <c r="C115" s="66" t="s">
        <v>1970</v>
      </c>
      <c r="D115" s="175">
        <v>50000</v>
      </c>
      <c r="E115" s="175"/>
      <c r="F115" s="67">
        <f t="shared" si="21"/>
        <v>50000</v>
      </c>
      <c r="G115" s="67">
        <v>49000</v>
      </c>
      <c r="H115" s="67">
        <f t="shared" ref="H115:H120" si="34">+F115-G115</f>
        <v>1000</v>
      </c>
      <c r="I115" s="68">
        <v>5</v>
      </c>
      <c r="J115" s="68">
        <v>0.2</v>
      </c>
      <c r="K115" s="68">
        <v>0</v>
      </c>
      <c r="L115" s="110"/>
      <c r="M115" s="67">
        <f t="shared" ref="M115:M133" si="35">+G115+L115</f>
        <v>49000</v>
      </c>
      <c r="N115" s="110">
        <f t="shared" si="22"/>
        <v>1000</v>
      </c>
      <c r="O115" s="111" t="s">
        <v>1934</v>
      </c>
      <c r="P115" s="111">
        <v>1</v>
      </c>
      <c r="Q115" s="70"/>
      <c r="R115" s="23">
        <f t="shared" si="33"/>
        <v>200</v>
      </c>
      <c r="S115" s="10">
        <f t="shared" si="26"/>
        <v>2500</v>
      </c>
      <c r="T115" s="10">
        <f t="shared" si="27"/>
        <v>-1500</v>
      </c>
      <c r="U115" s="10">
        <f t="shared" si="23"/>
        <v>0</v>
      </c>
      <c r="V115" s="10">
        <f t="shared" si="28"/>
        <v>10000</v>
      </c>
      <c r="W115" s="10">
        <f t="shared" si="29"/>
        <v>0</v>
      </c>
      <c r="X115" s="10">
        <f t="shared" si="30"/>
        <v>0</v>
      </c>
    </row>
    <row r="116" spans="1:24" s="9" customFormat="1" ht="13.5" customHeight="1" x14ac:dyDescent="0.2">
      <c r="A116" s="64">
        <f t="shared" si="31"/>
        <v>112</v>
      </c>
      <c r="B116" s="65" t="s">
        <v>1972</v>
      </c>
      <c r="C116" s="66" t="s">
        <v>1973</v>
      </c>
      <c r="D116" s="175">
        <v>630000</v>
      </c>
      <c r="E116" s="175"/>
      <c r="F116" s="67">
        <f t="shared" si="21"/>
        <v>630000</v>
      </c>
      <c r="G116" s="67">
        <v>629000</v>
      </c>
      <c r="H116" s="67">
        <f t="shared" si="34"/>
        <v>1000</v>
      </c>
      <c r="I116" s="68">
        <v>5</v>
      </c>
      <c r="J116" s="68">
        <v>0.2</v>
      </c>
      <c r="K116" s="68">
        <v>0</v>
      </c>
      <c r="L116" s="110"/>
      <c r="M116" s="67">
        <f t="shared" si="35"/>
        <v>629000</v>
      </c>
      <c r="N116" s="110">
        <f t="shared" si="22"/>
        <v>1000</v>
      </c>
      <c r="O116" s="111" t="s">
        <v>1974</v>
      </c>
      <c r="P116" s="111">
        <v>1</v>
      </c>
      <c r="Q116" s="70"/>
      <c r="R116" s="23">
        <f t="shared" si="33"/>
        <v>200</v>
      </c>
      <c r="S116" s="10">
        <f t="shared" si="26"/>
        <v>31500</v>
      </c>
      <c r="T116" s="10">
        <f t="shared" si="27"/>
        <v>-30500</v>
      </c>
      <c r="U116" s="10">
        <f t="shared" si="23"/>
        <v>0</v>
      </c>
      <c r="V116" s="10">
        <f t="shared" si="28"/>
        <v>126000</v>
      </c>
      <c r="W116" s="10">
        <f t="shared" si="29"/>
        <v>0</v>
      </c>
      <c r="X116" s="10">
        <f t="shared" si="30"/>
        <v>0</v>
      </c>
    </row>
    <row r="117" spans="1:24" s="9" customFormat="1" ht="13.5" customHeight="1" x14ac:dyDescent="0.2">
      <c r="A117" s="64">
        <f t="shared" si="31"/>
        <v>113</v>
      </c>
      <c r="B117" s="65" t="s">
        <v>1975</v>
      </c>
      <c r="C117" s="66" t="s">
        <v>1973</v>
      </c>
      <c r="D117" s="175">
        <v>520000</v>
      </c>
      <c r="E117" s="175"/>
      <c r="F117" s="67">
        <f>+D117+E117</f>
        <v>520000</v>
      </c>
      <c r="G117" s="67">
        <v>519000</v>
      </c>
      <c r="H117" s="67">
        <f t="shared" si="34"/>
        <v>1000</v>
      </c>
      <c r="I117" s="68">
        <v>5</v>
      </c>
      <c r="J117" s="68">
        <v>0.2</v>
      </c>
      <c r="K117" s="68">
        <v>0</v>
      </c>
      <c r="L117" s="110"/>
      <c r="M117" s="67">
        <f t="shared" si="35"/>
        <v>519000</v>
      </c>
      <c r="N117" s="110">
        <f>+F117-M117</f>
        <v>1000</v>
      </c>
      <c r="O117" s="111" t="s">
        <v>1974</v>
      </c>
      <c r="P117" s="111">
        <v>2</v>
      </c>
      <c r="Q117" s="70"/>
      <c r="R117" s="23">
        <f t="shared" si="33"/>
        <v>200</v>
      </c>
      <c r="S117" s="10">
        <f t="shared" si="26"/>
        <v>26000</v>
      </c>
      <c r="T117" s="10">
        <f t="shared" si="27"/>
        <v>-25000</v>
      </c>
      <c r="U117" s="10">
        <f>N117-1000</f>
        <v>0</v>
      </c>
      <c r="V117" s="10">
        <f t="shared" si="28"/>
        <v>104000</v>
      </c>
      <c r="W117" s="10">
        <f t="shared" si="29"/>
        <v>0</v>
      </c>
      <c r="X117" s="10">
        <f t="shared" si="30"/>
        <v>0</v>
      </c>
    </row>
    <row r="118" spans="1:24" s="9" customFormat="1" ht="13.5" customHeight="1" x14ac:dyDescent="0.2">
      <c r="A118" s="64">
        <f t="shared" si="31"/>
        <v>114</v>
      </c>
      <c r="B118" s="65" t="s">
        <v>1976</v>
      </c>
      <c r="C118" s="66" t="s">
        <v>729</v>
      </c>
      <c r="D118" s="175">
        <v>4800000</v>
      </c>
      <c r="E118" s="175"/>
      <c r="F118" s="67">
        <f>+D118+E118</f>
        <v>4800000</v>
      </c>
      <c r="G118" s="67">
        <v>4799000</v>
      </c>
      <c r="H118" s="67">
        <f t="shared" si="34"/>
        <v>1000</v>
      </c>
      <c r="I118" s="68">
        <v>5</v>
      </c>
      <c r="J118" s="68">
        <v>0.2</v>
      </c>
      <c r="K118" s="68">
        <v>0</v>
      </c>
      <c r="L118" s="110"/>
      <c r="M118" s="67">
        <f t="shared" si="35"/>
        <v>4799000</v>
      </c>
      <c r="N118" s="110">
        <f>+F118-M118</f>
        <v>1000</v>
      </c>
      <c r="O118" s="111" t="s">
        <v>1977</v>
      </c>
      <c r="P118" s="111"/>
      <c r="Q118" s="70"/>
      <c r="R118" s="23">
        <f t="shared" si="33"/>
        <v>200</v>
      </c>
      <c r="S118" s="10">
        <f t="shared" si="26"/>
        <v>240000</v>
      </c>
      <c r="T118" s="10">
        <f t="shared" si="27"/>
        <v>-239000</v>
      </c>
      <c r="U118" s="10">
        <f>N118-1000</f>
        <v>0</v>
      </c>
      <c r="V118" s="10">
        <f t="shared" si="28"/>
        <v>960000</v>
      </c>
      <c r="W118" s="10">
        <f t="shared" si="29"/>
        <v>0</v>
      </c>
      <c r="X118" s="10">
        <f t="shared" si="30"/>
        <v>0</v>
      </c>
    </row>
    <row r="119" spans="1:24" s="9" customFormat="1" ht="13.5" customHeight="1" x14ac:dyDescent="0.2">
      <c r="A119" s="64">
        <f t="shared" si="31"/>
        <v>115</v>
      </c>
      <c r="B119" s="65" t="s">
        <v>1978</v>
      </c>
      <c r="C119" s="66" t="s">
        <v>1979</v>
      </c>
      <c r="D119" s="175">
        <v>145000</v>
      </c>
      <c r="E119" s="175"/>
      <c r="F119" s="67">
        <f>+D119+E119</f>
        <v>145000</v>
      </c>
      <c r="G119" s="67">
        <v>144000</v>
      </c>
      <c r="H119" s="67">
        <f t="shared" si="34"/>
        <v>1000</v>
      </c>
      <c r="I119" s="68">
        <v>5</v>
      </c>
      <c r="J119" s="68">
        <v>0.2</v>
      </c>
      <c r="K119" s="68">
        <v>0</v>
      </c>
      <c r="L119" s="110"/>
      <c r="M119" s="67">
        <f t="shared" si="35"/>
        <v>144000</v>
      </c>
      <c r="N119" s="110">
        <f>+F119-M119</f>
        <v>1000</v>
      </c>
      <c r="O119" s="111" t="s">
        <v>1932</v>
      </c>
      <c r="P119" s="111">
        <v>1</v>
      </c>
      <c r="Q119" s="70"/>
      <c r="R119" s="23">
        <f t="shared" si="33"/>
        <v>200</v>
      </c>
      <c r="S119" s="10">
        <f t="shared" si="26"/>
        <v>7250</v>
      </c>
      <c r="T119" s="10">
        <f t="shared" si="27"/>
        <v>-6250</v>
      </c>
      <c r="U119" s="10">
        <f>N119-1000</f>
        <v>0</v>
      </c>
      <c r="V119" s="10">
        <f t="shared" si="28"/>
        <v>29000</v>
      </c>
      <c r="W119" s="10">
        <f t="shared" si="29"/>
        <v>0</v>
      </c>
      <c r="X119" s="10">
        <f t="shared" si="30"/>
        <v>0</v>
      </c>
    </row>
    <row r="120" spans="1:24" s="9" customFormat="1" ht="13.5" customHeight="1" x14ac:dyDescent="0.2">
      <c r="A120" s="64">
        <f t="shared" si="31"/>
        <v>116</v>
      </c>
      <c r="B120" s="65" t="s">
        <v>1877</v>
      </c>
      <c r="C120" s="66" t="s">
        <v>1979</v>
      </c>
      <c r="D120" s="175">
        <v>150000</v>
      </c>
      <c r="E120" s="175"/>
      <c r="F120" s="67">
        <f>+D120+E120</f>
        <v>150000</v>
      </c>
      <c r="G120" s="67">
        <v>149000</v>
      </c>
      <c r="H120" s="67">
        <f t="shared" si="34"/>
        <v>1000</v>
      </c>
      <c r="I120" s="68">
        <v>5</v>
      </c>
      <c r="J120" s="68">
        <v>0.2</v>
      </c>
      <c r="K120" s="68">
        <v>0</v>
      </c>
      <c r="L120" s="110"/>
      <c r="M120" s="67">
        <f t="shared" si="35"/>
        <v>149000</v>
      </c>
      <c r="N120" s="110">
        <f>+F120-M120</f>
        <v>1000</v>
      </c>
      <c r="O120" s="111" t="s">
        <v>1932</v>
      </c>
      <c r="P120" s="111">
        <v>1</v>
      </c>
      <c r="Q120" s="70"/>
      <c r="R120" s="23">
        <f t="shared" si="33"/>
        <v>200</v>
      </c>
      <c r="S120" s="10">
        <f t="shared" si="26"/>
        <v>7500</v>
      </c>
      <c r="T120" s="10">
        <f t="shared" si="27"/>
        <v>-6500</v>
      </c>
      <c r="U120" s="10">
        <f>N120-1000</f>
        <v>0</v>
      </c>
      <c r="V120" s="10">
        <f t="shared" si="28"/>
        <v>30000</v>
      </c>
      <c r="W120" s="10">
        <f t="shared" si="29"/>
        <v>0</v>
      </c>
      <c r="X120" s="10">
        <f t="shared" si="30"/>
        <v>0</v>
      </c>
    </row>
    <row r="121" spans="1:24" s="9" customFormat="1" ht="13.5" customHeight="1" x14ac:dyDescent="0.2">
      <c r="A121" s="78">
        <f t="shared" si="31"/>
        <v>117</v>
      </c>
      <c r="B121" s="580" t="s">
        <v>1853</v>
      </c>
      <c r="C121" s="80" t="s">
        <v>1980</v>
      </c>
      <c r="D121" s="582"/>
      <c r="E121" s="582"/>
      <c r="F121" s="82"/>
      <c r="G121" s="82">
        <v>0</v>
      </c>
      <c r="H121" s="82"/>
      <c r="I121" s="86"/>
      <c r="J121" s="86">
        <v>0.2</v>
      </c>
      <c r="K121" s="86">
        <v>0</v>
      </c>
      <c r="L121" s="112"/>
      <c r="M121" s="82">
        <f t="shared" si="35"/>
        <v>0</v>
      </c>
      <c r="N121" s="112">
        <v>0</v>
      </c>
      <c r="O121" s="114" t="s">
        <v>1981</v>
      </c>
      <c r="P121" s="114">
        <v>1</v>
      </c>
      <c r="Q121" s="606"/>
      <c r="R121" s="23">
        <f t="shared" si="33"/>
        <v>0</v>
      </c>
      <c r="S121" s="10">
        <f t="shared" si="26"/>
        <v>0</v>
      </c>
      <c r="T121" s="10">
        <f t="shared" si="27"/>
        <v>0</v>
      </c>
      <c r="U121" s="10"/>
      <c r="V121" s="10" t="e">
        <f t="shared" si="28"/>
        <v>#DIV/0!</v>
      </c>
      <c r="W121" s="10">
        <f t="shared" si="29"/>
        <v>0</v>
      </c>
      <c r="X121" s="10">
        <f t="shared" si="30"/>
        <v>0</v>
      </c>
    </row>
    <row r="122" spans="1:24" s="9" customFormat="1" ht="13.5" customHeight="1" x14ac:dyDescent="0.2">
      <c r="A122" s="64">
        <f t="shared" si="31"/>
        <v>118</v>
      </c>
      <c r="B122" s="65" t="s">
        <v>1877</v>
      </c>
      <c r="C122" s="66" t="s">
        <v>1982</v>
      </c>
      <c r="D122" s="175">
        <v>150000</v>
      </c>
      <c r="E122" s="175"/>
      <c r="F122" s="67">
        <f t="shared" ref="F122:F185" si="36">+D122+E122</f>
        <v>150000</v>
      </c>
      <c r="G122" s="67">
        <v>149000</v>
      </c>
      <c r="H122" s="67">
        <f t="shared" ref="H122:H133" si="37">+F122-G122</f>
        <v>1000</v>
      </c>
      <c r="I122" s="68">
        <v>5</v>
      </c>
      <c r="J122" s="68">
        <v>0.2</v>
      </c>
      <c r="K122" s="68">
        <v>0</v>
      </c>
      <c r="L122" s="110"/>
      <c r="M122" s="67">
        <f t="shared" si="35"/>
        <v>149000</v>
      </c>
      <c r="N122" s="110">
        <f t="shared" ref="N122:N185" si="38">+F122-M122</f>
        <v>1000</v>
      </c>
      <c r="O122" s="111" t="s">
        <v>1932</v>
      </c>
      <c r="P122" s="111">
        <v>1</v>
      </c>
      <c r="Q122" s="70"/>
      <c r="R122" s="23">
        <f t="shared" si="33"/>
        <v>200</v>
      </c>
      <c r="S122" s="10">
        <f t="shared" si="26"/>
        <v>7500</v>
      </c>
      <c r="T122" s="10">
        <f t="shared" si="27"/>
        <v>-6500</v>
      </c>
      <c r="U122" s="10">
        <f t="shared" ref="U122:U135" si="39">N122-1000</f>
        <v>0</v>
      </c>
      <c r="V122" s="10">
        <f t="shared" si="28"/>
        <v>30000</v>
      </c>
      <c r="W122" s="10">
        <f t="shared" si="29"/>
        <v>0</v>
      </c>
      <c r="X122" s="10">
        <f t="shared" si="30"/>
        <v>0</v>
      </c>
    </row>
    <row r="123" spans="1:24" s="9" customFormat="1" ht="13.5" customHeight="1" x14ac:dyDescent="0.2">
      <c r="A123" s="64">
        <f t="shared" si="31"/>
        <v>119</v>
      </c>
      <c r="B123" s="65" t="s">
        <v>1873</v>
      </c>
      <c r="C123" s="66" t="s">
        <v>1982</v>
      </c>
      <c r="D123" s="175">
        <v>250000</v>
      </c>
      <c r="E123" s="175"/>
      <c r="F123" s="67">
        <f t="shared" si="36"/>
        <v>250000</v>
      </c>
      <c r="G123" s="67">
        <v>249000</v>
      </c>
      <c r="H123" s="67">
        <f t="shared" si="37"/>
        <v>1000</v>
      </c>
      <c r="I123" s="68">
        <v>5</v>
      </c>
      <c r="J123" s="68">
        <v>0.2</v>
      </c>
      <c r="K123" s="68">
        <v>0</v>
      </c>
      <c r="L123" s="110"/>
      <c r="M123" s="67">
        <f t="shared" si="35"/>
        <v>249000</v>
      </c>
      <c r="N123" s="110">
        <f t="shared" si="38"/>
        <v>1000</v>
      </c>
      <c r="O123" s="111" t="s">
        <v>1932</v>
      </c>
      <c r="P123" s="111">
        <v>10</v>
      </c>
      <c r="Q123" s="70"/>
      <c r="R123" s="23">
        <f t="shared" si="33"/>
        <v>200</v>
      </c>
      <c r="S123" s="10">
        <f t="shared" si="26"/>
        <v>12500</v>
      </c>
      <c r="T123" s="10">
        <f t="shared" si="27"/>
        <v>-11500</v>
      </c>
      <c r="U123" s="10">
        <f t="shared" si="39"/>
        <v>0</v>
      </c>
      <c r="V123" s="10">
        <f t="shared" si="28"/>
        <v>50000</v>
      </c>
      <c r="W123" s="10">
        <f t="shared" si="29"/>
        <v>0</v>
      </c>
      <c r="X123" s="10">
        <f t="shared" si="30"/>
        <v>0</v>
      </c>
    </row>
    <row r="124" spans="1:24" s="9" customFormat="1" ht="13.5" customHeight="1" x14ac:dyDescent="0.2">
      <c r="A124" s="64">
        <f t="shared" si="31"/>
        <v>120</v>
      </c>
      <c r="B124" s="65" t="s">
        <v>1983</v>
      </c>
      <c r="C124" s="66" t="s">
        <v>261</v>
      </c>
      <c r="D124" s="175">
        <v>260000</v>
      </c>
      <c r="E124" s="175"/>
      <c r="F124" s="67">
        <f t="shared" si="36"/>
        <v>260000</v>
      </c>
      <c r="G124" s="67">
        <v>259000</v>
      </c>
      <c r="H124" s="67">
        <f t="shared" si="37"/>
        <v>1000</v>
      </c>
      <c r="I124" s="68">
        <v>5</v>
      </c>
      <c r="J124" s="68">
        <v>0.2</v>
      </c>
      <c r="K124" s="68">
        <v>0</v>
      </c>
      <c r="L124" s="110"/>
      <c r="M124" s="67">
        <f t="shared" si="35"/>
        <v>259000</v>
      </c>
      <c r="N124" s="110">
        <f t="shared" si="38"/>
        <v>1000</v>
      </c>
      <c r="O124" s="111" t="s">
        <v>1984</v>
      </c>
      <c r="P124" s="111">
        <v>1</v>
      </c>
      <c r="Q124" s="70"/>
      <c r="R124" s="23">
        <f t="shared" si="33"/>
        <v>200</v>
      </c>
      <c r="S124" s="10">
        <f t="shared" si="26"/>
        <v>13000</v>
      </c>
      <c r="T124" s="10">
        <f t="shared" si="27"/>
        <v>-12000</v>
      </c>
      <c r="U124" s="10">
        <f t="shared" si="39"/>
        <v>0</v>
      </c>
      <c r="V124" s="10">
        <f t="shared" si="28"/>
        <v>52000</v>
      </c>
      <c r="W124" s="10">
        <f t="shared" si="29"/>
        <v>0</v>
      </c>
      <c r="X124" s="10">
        <f t="shared" si="30"/>
        <v>0</v>
      </c>
    </row>
    <row r="125" spans="1:24" s="9" customFormat="1" ht="13.5" customHeight="1" x14ac:dyDescent="0.2">
      <c r="A125" s="64">
        <f t="shared" si="31"/>
        <v>121</v>
      </c>
      <c r="B125" s="65" t="s">
        <v>1985</v>
      </c>
      <c r="C125" s="66" t="s">
        <v>261</v>
      </c>
      <c r="D125" s="175">
        <v>284500</v>
      </c>
      <c r="E125" s="175"/>
      <c r="F125" s="67">
        <f t="shared" si="36"/>
        <v>284500</v>
      </c>
      <c r="G125" s="67">
        <v>283500</v>
      </c>
      <c r="H125" s="67">
        <f t="shared" si="37"/>
        <v>1000</v>
      </c>
      <c r="I125" s="68">
        <v>5</v>
      </c>
      <c r="J125" s="68">
        <v>0.2</v>
      </c>
      <c r="K125" s="68">
        <v>0</v>
      </c>
      <c r="L125" s="110"/>
      <c r="M125" s="67">
        <f t="shared" si="35"/>
        <v>283500</v>
      </c>
      <c r="N125" s="110">
        <f t="shared" si="38"/>
        <v>1000</v>
      </c>
      <c r="O125" s="111" t="s">
        <v>1974</v>
      </c>
      <c r="P125" s="111">
        <v>1</v>
      </c>
      <c r="Q125" s="70"/>
      <c r="R125" s="23">
        <f t="shared" si="33"/>
        <v>200</v>
      </c>
      <c r="S125" s="10">
        <f t="shared" si="26"/>
        <v>14225</v>
      </c>
      <c r="T125" s="10">
        <f t="shared" si="27"/>
        <v>-13225</v>
      </c>
      <c r="U125" s="10">
        <f t="shared" si="39"/>
        <v>0</v>
      </c>
      <c r="V125" s="10">
        <f t="shared" si="28"/>
        <v>56900</v>
      </c>
      <c r="W125" s="10">
        <f t="shared" si="29"/>
        <v>0</v>
      </c>
      <c r="X125" s="10">
        <f t="shared" si="30"/>
        <v>0</v>
      </c>
    </row>
    <row r="126" spans="1:24" s="9" customFormat="1" ht="13.5" customHeight="1" x14ac:dyDescent="0.2">
      <c r="A126" s="64">
        <f t="shared" si="31"/>
        <v>122</v>
      </c>
      <c r="B126" s="65" t="s">
        <v>1975</v>
      </c>
      <c r="C126" s="66" t="s">
        <v>261</v>
      </c>
      <c r="D126" s="175">
        <v>780000</v>
      </c>
      <c r="E126" s="175"/>
      <c r="F126" s="67">
        <f t="shared" si="36"/>
        <v>780000</v>
      </c>
      <c r="G126" s="67">
        <v>779000</v>
      </c>
      <c r="H126" s="67">
        <f t="shared" si="37"/>
        <v>1000</v>
      </c>
      <c r="I126" s="68">
        <v>5</v>
      </c>
      <c r="J126" s="68">
        <v>0.2</v>
      </c>
      <c r="K126" s="68">
        <v>0</v>
      </c>
      <c r="L126" s="110"/>
      <c r="M126" s="67">
        <f t="shared" si="35"/>
        <v>779000</v>
      </c>
      <c r="N126" s="110">
        <f t="shared" si="38"/>
        <v>1000</v>
      </c>
      <c r="O126" s="111" t="s">
        <v>1984</v>
      </c>
      <c r="P126" s="111">
        <v>3</v>
      </c>
      <c r="Q126" s="70"/>
      <c r="R126" s="23">
        <f t="shared" si="33"/>
        <v>200</v>
      </c>
      <c r="S126" s="10">
        <f t="shared" si="26"/>
        <v>39000</v>
      </c>
      <c r="T126" s="10">
        <f t="shared" si="27"/>
        <v>-38000</v>
      </c>
      <c r="U126" s="10">
        <f t="shared" si="39"/>
        <v>0</v>
      </c>
      <c r="V126" s="10">
        <f t="shared" si="28"/>
        <v>156000</v>
      </c>
      <c r="W126" s="10">
        <f t="shared" si="29"/>
        <v>0</v>
      </c>
      <c r="X126" s="10">
        <f t="shared" si="30"/>
        <v>0</v>
      </c>
    </row>
    <row r="127" spans="1:24" s="9" customFormat="1" ht="13.5" customHeight="1" x14ac:dyDescent="0.2">
      <c r="A127" s="734">
        <f t="shared" si="31"/>
        <v>123</v>
      </c>
      <c r="B127" s="724" t="s">
        <v>1986</v>
      </c>
      <c r="C127" s="735" t="s">
        <v>261</v>
      </c>
      <c r="D127" s="726">
        <v>0</v>
      </c>
      <c r="E127" s="726"/>
      <c r="F127" s="727">
        <f t="shared" si="36"/>
        <v>0</v>
      </c>
      <c r="G127" s="727"/>
      <c r="H127" s="727"/>
      <c r="I127" s="728">
        <v>5</v>
      </c>
      <c r="J127" s="728">
        <v>0.2</v>
      </c>
      <c r="K127" s="728">
        <v>0</v>
      </c>
      <c r="L127" s="729"/>
      <c r="M127" s="727"/>
      <c r="N127" s="729"/>
      <c r="O127" s="736" t="s">
        <v>1934</v>
      </c>
      <c r="P127" s="736">
        <v>1</v>
      </c>
      <c r="Q127" s="737" t="s">
        <v>2906</v>
      </c>
      <c r="R127" s="23">
        <f t="shared" si="33"/>
        <v>0</v>
      </c>
      <c r="S127" s="10">
        <f t="shared" si="26"/>
        <v>0</v>
      </c>
      <c r="T127" s="10">
        <f t="shared" si="27"/>
        <v>0</v>
      </c>
      <c r="U127" s="10">
        <f t="shared" si="39"/>
        <v>-1000</v>
      </c>
      <c r="V127" s="10">
        <f t="shared" si="28"/>
        <v>0</v>
      </c>
      <c r="W127" s="10">
        <f t="shared" si="29"/>
        <v>0</v>
      </c>
      <c r="X127" s="10">
        <f t="shared" si="30"/>
        <v>0</v>
      </c>
    </row>
    <row r="128" spans="1:24" s="9" customFormat="1" ht="13.5" customHeight="1" x14ac:dyDescent="0.2">
      <c r="A128" s="734">
        <f t="shared" si="31"/>
        <v>124</v>
      </c>
      <c r="B128" s="724" t="s">
        <v>1986</v>
      </c>
      <c r="C128" s="735" t="s">
        <v>261</v>
      </c>
      <c r="D128" s="726">
        <v>0</v>
      </c>
      <c r="E128" s="726"/>
      <c r="F128" s="727">
        <f t="shared" si="36"/>
        <v>0</v>
      </c>
      <c r="G128" s="727"/>
      <c r="H128" s="727"/>
      <c r="I128" s="728">
        <v>5</v>
      </c>
      <c r="J128" s="728">
        <v>0.2</v>
      </c>
      <c r="K128" s="728">
        <v>0</v>
      </c>
      <c r="L128" s="729"/>
      <c r="M128" s="727"/>
      <c r="N128" s="729"/>
      <c r="O128" s="736" t="s">
        <v>1934</v>
      </c>
      <c r="P128" s="736">
        <v>1</v>
      </c>
      <c r="Q128" s="737" t="s">
        <v>2906</v>
      </c>
      <c r="R128" s="23">
        <f t="shared" si="33"/>
        <v>0</v>
      </c>
      <c r="S128" s="10">
        <f t="shared" si="26"/>
        <v>0</v>
      </c>
      <c r="T128" s="10">
        <f t="shared" si="27"/>
        <v>0</v>
      </c>
      <c r="U128" s="10">
        <f t="shared" si="39"/>
        <v>-1000</v>
      </c>
      <c r="V128" s="10">
        <f t="shared" si="28"/>
        <v>0</v>
      </c>
      <c r="W128" s="10">
        <f t="shared" si="29"/>
        <v>0</v>
      </c>
      <c r="X128" s="10">
        <f t="shared" si="30"/>
        <v>0</v>
      </c>
    </row>
    <row r="129" spans="1:24" s="9" customFormat="1" ht="13.5" customHeight="1" x14ac:dyDescent="0.2">
      <c r="A129" s="64">
        <f t="shared" si="31"/>
        <v>125</v>
      </c>
      <c r="B129" s="65" t="s">
        <v>1987</v>
      </c>
      <c r="C129" s="66" t="s">
        <v>1988</v>
      </c>
      <c r="D129" s="175">
        <v>318182</v>
      </c>
      <c r="E129" s="175"/>
      <c r="F129" s="67">
        <f t="shared" si="36"/>
        <v>318182</v>
      </c>
      <c r="G129" s="67">
        <v>317182</v>
      </c>
      <c r="H129" s="67">
        <f t="shared" si="37"/>
        <v>1000</v>
      </c>
      <c r="I129" s="68">
        <v>5</v>
      </c>
      <c r="J129" s="68">
        <v>0.2</v>
      </c>
      <c r="K129" s="68">
        <v>0</v>
      </c>
      <c r="L129" s="110"/>
      <c r="M129" s="67">
        <f t="shared" si="35"/>
        <v>317182</v>
      </c>
      <c r="N129" s="110">
        <f t="shared" si="38"/>
        <v>1000</v>
      </c>
      <c r="O129" s="111" t="s">
        <v>1989</v>
      </c>
      <c r="P129" s="111">
        <v>1</v>
      </c>
      <c r="Q129" s="70"/>
      <c r="R129" s="23">
        <f t="shared" si="33"/>
        <v>200</v>
      </c>
      <c r="S129" s="10">
        <f t="shared" si="26"/>
        <v>15909.1</v>
      </c>
      <c r="T129" s="10">
        <f t="shared" si="27"/>
        <v>-14909.1</v>
      </c>
      <c r="U129" s="10">
        <f t="shared" si="39"/>
        <v>0</v>
      </c>
      <c r="V129" s="10">
        <f t="shared" si="28"/>
        <v>63636.4</v>
      </c>
      <c r="W129" s="10">
        <f t="shared" si="29"/>
        <v>0</v>
      </c>
      <c r="X129" s="10">
        <f t="shared" si="30"/>
        <v>0</v>
      </c>
    </row>
    <row r="130" spans="1:24" s="9" customFormat="1" ht="13.5" customHeight="1" x14ac:dyDescent="0.2">
      <c r="A130" s="64">
        <f t="shared" si="31"/>
        <v>126</v>
      </c>
      <c r="B130" s="65" t="s">
        <v>1990</v>
      </c>
      <c r="C130" s="66" t="s">
        <v>1991</v>
      </c>
      <c r="D130" s="175">
        <v>180000</v>
      </c>
      <c r="E130" s="175"/>
      <c r="F130" s="67">
        <f t="shared" si="36"/>
        <v>180000</v>
      </c>
      <c r="G130" s="67">
        <v>179000</v>
      </c>
      <c r="H130" s="67">
        <f t="shared" si="37"/>
        <v>1000</v>
      </c>
      <c r="I130" s="68">
        <v>5</v>
      </c>
      <c r="J130" s="68">
        <v>0.2</v>
      </c>
      <c r="K130" s="68">
        <v>0</v>
      </c>
      <c r="L130" s="110"/>
      <c r="M130" s="67">
        <f t="shared" si="35"/>
        <v>179000</v>
      </c>
      <c r="N130" s="110">
        <f t="shared" si="38"/>
        <v>1000</v>
      </c>
      <c r="O130" s="111" t="s">
        <v>1981</v>
      </c>
      <c r="P130" s="111">
        <v>1</v>
      </c>
      <c r="Q130" s="70"/>
      <c r="R130" s="23">
        <f t="shared" si="33"/>
        <v>200</v>
      </c>
      <c r="S130" s="10">
        <f t="shared" si="26"/>
        <v>9000</v>
      </c>
      <c r="T130" s="10">
        <f t="shared" si="27"/>
        <v>-8000</v>
      </c>
      <c r="U130" s="10">
        <f t="shared" si="39"/>
        <v>0</v>
      </c>
      <c r="V130" s="10">
        <f t="shared" si="28"/>
        <v>36000</v>
      </c>
      <c r="W130" s="10">
        <f t="shared" si="29"/>
        <v>0</v>
      </c>
      <c r="X130" s="10">
        <f t="shared" si="30"/>
        <v>0</v>
      </c>
    </row>
    <row r="131" spans="1:24" s="9" customFormat="1" ht="13.5" customHeight="1" x14ac:dyDescent="0.2">
      <c r="A131" s="64">
        <f t="shared" si="31"/>
        <v>127</v>
      </c>
      <c r="B131" s="65" t="s">
        <v>1992</v>
      </c>
      <c r="C131" s="66" t="s">
        <v>1993</v>
      </c>
      <c r="D131" s="175">
        <v>210000</v>
      </c>
      <c r="E131" s="175"/>
      <c r="F131" s="67">
        <f t="shared" si="36"/>
        <v>210000</v>
      </c>
      <c r="G131" s="67">
        <v>209000</v>
      </c>
      <c r="H131" s="67">
        <f t="shared" si="37"/>
        <v>1000</v>
      </c>
      <c r="I131" s="68">
        <v>5</v>
      </c>
      <c r="J131" s="68">
        <v>0.2</v>
      </c>
      <c r="K131" s="68">
        <v>0</v>
      </c>
      <c r="L131" s="110"/>
      <c r="M131" s="67">
        <f t="shared" si="35"/>
        <v>209000</v>
      </c>
      <c r="N131" s="110">
        <f t="shared" si="38"/>
        <v>1000</v>
      </c>
      <c r="O131" s="111" t="s">
        <v>1955</v>
      </c>
      <c r="P131" s="111">
        <v>2</v>
      </c>
      <c r="Q131" s="146" t="s">
        <v>1890</v>
      </c>
      <c r="R131" s="23">
        <f t="shared" si="33"/>
        <v>200</v>
      </c>
      <c r="S131" s="10">
        <f t="shared" si="26"/>
        <v>10500</v>
      </c>
      <c r="T131" s="10">
        <f t="shared" si="27"/>
        <v>-9500</v>
      </c>
      <c r="U131" s="10">
        <f t="shared" si="39"/>
        <v>0</v>
      </c>
      <c r="V131" s="10">
        <f t="shared" si="28"/>
        <v>42000</v>
      </c>
      <c r="W131" s="10">
        <f t="shared" si="29"/>
        <v>0</v>
      </c>
      <c r="X131" s="10">
        <f t="shared" si="30"/>
        <v>0</v>
      </c>
    </row>
    <row r="132" spans="1:24" s="9" customFormat="1" ht="13.5" customHeight="1" x14ac:dyDescent="0.2">
      <c r="A132" s="64">
        <f t="shared" si="31"/>
        <v>128</v>
      </c>
      <c r="B132" s="65" t="s">
        <v>1994</v>
      </c>
      <c r="C132" s="66" t="s">
        <v>1993</v>
      </c>
      <c r="D132" s="175">
        <v>75000</v>
      </c>
      <c r="E132" s="175"/>
      <c r="F132" s="67">
        <f t="shared" si="36"/>
        <v>75000</v>
      </c>
      <c r="G132" s="67">
        <v>74000</v>
      </c>
      <c r="H132" s="67">
        <f t="shared" si="37"/>
        <v>1000</v>
      </c>
      <c r="I132" s="68">
        <v>5</v>
      </c>
      <c r="J132" s="68">
        <v>0.2</v>
      </c>
      <c r="K132" s="68">
        <v>0</v>
      </c>
      <c r="L132" s="110"/>
      <c r="M132" s="67">
        <f t="shared" si="35"/>
        <v>74000</v>
      </c>
      <c r="N132" s="110">
        <f t="shared" si="38"/>
        <v>1000</v>
      </c>
      <c r="O132" s="111" t="s">
        <v>1932</v>
      </c>
      <c r="P132" s="111">
        <v>1</v>
      </c>
      <c r="Q132" s="146" t="s">
        <v>1935</v>
      </c>
      <c r="R132" s="23">
        <f t="shared" si="33"/>
        <v>200</v>
      </c>
      <c r="S132" s="10">
        <f t="shared" si="26"/>
        <v>3750</v>
      </c>
      <c r="T132" s="10">
        <f t="shared" si="27"/>
        <v>-2750</v>
      </c>
      <c r="U132" s="10">
        <f t="shared" si="39"/>
        <v>0</v>
      </c>
      <c r="V132" s="10">
        <f t="shared" si="28"/>
        <v>15000</v>
      </c>
      <c r="W132" s="10">
        <f t="shared" si="29"/>
        <v>0</v>
      </c>
      <c r="X132" s="10">
        <f t="shared" si="30"/>
        <v>0</v>
      </c>
    </row>
    <row r="133" spans="1:24" s="9" customFormat="1" ht="13.5" customHeight="1" x14ac:dyDescent="0.2">
      <c r="A133" s="64">
        <f t="shared" si="31"/>
        <v>129</v>
      </c>
      <c r="B133" s="65" t="s">
        <v>1995</v>
      </c>
      <c r="C133" s="66" t="s">
        <v>1996</v>
      </c>
      <c r="D133" s="175">
        <v>272727</v>
      </c>
      <c r="E133" s="175"/>
      <c r="F133" s="67">
        <f t="shared" si="36"/>
        <v>272727</v>
      </c>
      <c r="G133" s="67">
        <v>271727</v>
      </c>
      <c r="H133" s="67">
        <f t="shared" si="37"/>
        <v>1000</v>
      </c>
      <c r="I133" s="68">
        <v>5</v>
      </c>
      <c r="J133" s="68">
        <v>0.2</v>
      </c>
      <c r="K133" s="68">
        <v>0</v>
      </c>
      <c r="L133" s="110"/>
      <c r="M133" s="67">
        <f t="shared" si="35"/>
        <v>271727</v>
      </c>
      <c r="N133" s="110">
        <f t="shared" si="38"/>
        <v>1000</v>
      </c>
      <c r="O133" s="111" t="s">
        <v>1997</v>
      </c>
      <c r="P133" s="111">
        <v>2</v>
      </c>
      <c r="Q133" s="70"/>
      <c r="R133" s="23">
        <f t="shared" si="33"/>
        <v>200</v>
      </c>
      <c r="S133" s="10">
        <f t="shared" ref="S133:S196" si="40">D133*0.05</f>
        <v>13636.35</v>
      </c>
      <c r="T133" s="10">
        <f t="shared" ref="T133:T196" si="41">N133-S133</f>
        <v>-12636.35</v>
      </c>
      <c r="U133" s="10">
        <f t="shared" si="39"/>
        <v>0</v>
      </c>
      <c r="V133" s="10">
        <f t="shared" ref="V133:V196" si="42">F133/I133</f>
        <v>54545.4</v>
      </c>
      <c r="W133" s="10">
        <f t="shared" ref="W133:W196" si="43">ROUND(IF(H133&lt;=1000,0,V133/12*0),0)</f>
        <v>0</v>
      </c>
      <c r="X133" s="10">
        <f t="shared" ref="X133:X196" si="44">L133-W133</f>
        <v>0</v>
      </c>
    </row>
    <row r="134" spans="1:24" s="174" customFormat="1" ht="13.5" customHeight="1" x14ac:dyDescent="0.2">
      <c r="A134" s="164">
        <f t="shared" ref="A134:A197" si="45">A133+1</f>
        <v>130</v>
      </c>
      <c r="B134" s="165" t="s">
        <v>1998</v>
      </c>
      <c r="C134" s="607" t="s">
        <v>1999</v>
      </c>
      <c r="D134" s="500">
        <v>0</v>
      </c>
      <c r="E134" s="500"/>
      <c r="F134" s="167">
        <f t="shared" si="36"/>
        <v>0</v>
      </c>
      <c r="G134" s="167"/>
      <c r="H134" s="167">
        <v>0</v>
      </c>
      <c r="I134" s="169">
        <v>5</v>
      </c>
      <c r="J134" s="169">
        <v>0.2</v>
      </c>
      <c r="K134" s="169">
        <v>0</v>
      </c>
      <c r="L134" s="168"/>
      <c r="M134" s="167"/>
      <c r="N134" s="168">
        <f t="shared" si="38"/>
        <v>0</v>
      </c>
      <c r="O134" s="511" t="s">
        <v>2000</v>
      </c>
      <c r="P134" s="176">
        <v>1</v>
      </c>
      <c r="Q134" s="608" t="s">
        <v>2001</v>
      </c>
      <c r="R134" s="172">
        <f t="shared" si="33"/>
        <v>0</v>
      </c>
      <c r="S134" s="173">
        <f t="shared" si="40"/>
        <v>0</v>
      </c>
      <c r="T134" s="173">
        <f t="shared" si="41"/>
        <v>0</v>
      </c>
      <c r="U134" s="173">
        <f t="shared" si="39"/>
        <v>-1000</v>
      </c>
      <c r="V134" s="173">
        <f t="shared" si="42"/>
        <v>0</v>
      </c>
      <c r="W134" s="173">
        <f t="shared" si="43"/>
        <v>0</v>
      </c>
      <c r="X134" s="173">
        <f t="shared" si="44"/>
        <v>0</v>
      </c>
    </row>
    <row r="135" spans="1:24" s="9" customFormat="1" ht="13.5" customHeight="1" x14ac:dyDescent="0.2">
      <c r="A135" s="64">
        <f t="shared" si="45"/>
        <v>131</v>
      </c>
      <c r="B135" s="65" t="s">
        <v>2002</v>
      </c>
      <c r="C135" s="66" t="s">
        <v>2003</v>
      </c>
      <c r="D135" s="175">
        <v>1050000</v>
      </c>
      <c r="E135" s="175"/>
      <c r="F135" s="67">
        <f t="shared" si="36"/>
        <v>1050000</v>
      </c>
      <c r="G135" s="67">
        <v>1049000</v>
      </c>
      <c r="H135" s="67">
        <f>+F135-G135</f>
        <v>1000</v>
      </c>
      <c r="I135" s="68">
        <v>5</v>
      </c>
      <c r="J135" s="68">
        <v>0.2</v>
      </c>
      <c r="K135" s="68">
        <v>0</v>
      </c>
      <c r="L135" s="110"/>
      <c r="M135" s="67">
        <f>+G135+L135</f>
        <v>1049000</v>
      </c>
      <c r="N135" s="110">
        <f t="shared" si="38"/>
        <v>1000</v>
      </c>
      <c r="O135" s="111" t="s">
        <v>2004</v>
      </c>
      <c r="P135" s="111">
        <v>1</v>
      </c>
      <c r="Q135" s="70"/>
      <c r="R135" s="23">
        <f t="shared" si="33"/>
        <v>200</v>
      </c>
      <c r="S135" s="10">
        <f t="shared" si="40"/>
        <v>52500</v>
      </c>
      <c r="T135" s="10">
        <f t="shared" si="41"/>
        <v>-51500</v>
      </c>
      <c r="U135" s="10">
        <f t="shared" si="39"/>
        <v>0</v>
      </c>
      <c r="V135" s="10">
        <f t="shared" si="42"/>
        <v>210000</v>
      </c>
      <c r="W135" s="10">
        <f t="shared" si="43"/>
        <v>0</v>
      </c>
      <c r="X135" s="10">
        <f t="shared" si="44"/>
        <v>0</v>
      </c>
    </row>
    <row r="136" spans="1:24" s="9" customFormat="1" ht="13.5" customHeight="1" x14ac:dyDescent="0.2">
      <c r="A136" s="78">
        <f t="shared" si="45"/>
        <v>132</v>
      </c>
      <c r="B136" s="580" t="s">
        <v>2005</v>
      </c>
      <c r="C136" s="80" t="s">
        <v>2006</v>
      </c>
      <c r="D136" s="582">
        <v>0</v>
      </c>
      <c r="E136" s="582"/>
      <c r="F136" s="82">
        <f t="shared" si="36"/>
        <v>0</v>
      </c>
      <c r="G136" s="82">
        <v>0</v>
      </c>
      <c r="H136" s="82">
        <v>0</v>
      </c>
      <c r="I136" s="86">
        <v>5</v>
      </c>
      <c r="J136" s="86">
        <v>0.2</v>
      </c>
      <c r="K136" s="86">
        <v>0</v>
      </c>
      <c r="L136" s="112"/>
      <c r="M136" s="82">
        <v>0</v>
      </c>
      <c r="N136" s="112">
        <f t="shared" si="38"/>
        <v>0</v>
      </c>
      <c r="O136" s="114" t="s">
        <v>2007</v>
      </c>
      <c r="P136" s="114">
        <v>1</v>
      </c>
      <c r="Q136" s="609" t="s">
        <v>2008</v>
      </c>
      <c r="R136" s="23">
        <f t="shared" si="33"/>
        <v>0</v>
      </c>
      <c r="S136" s="10">
        <f t="shared" si="40"/>
        <v>0</v>
      </c>
      <c r="T136" s="10">
        <f t="shared" si="41"/>
        <v>0</v>
      </c>
      <c r="U136" s="10">
        <f>N136</f>
        <v>0</v>
      </c>
      <c r="V136" s="10">
        <f t="shared" si="42"/>
        <v>0</v>
      </c>
      <c r="W136" s="10">
        <f t="shared" si="43"/>
        <v>0</v>
      </c>
      <c r="X136" s="10">
        <f t="shared" si="44"/>
        <v>0</v>
      </c>
    </row>
    <row r="137" spans="1:24" s="9" customFormat="1" ht="13.5" customHeight="1" x14ac:dyDescent="0.2">
      <c r="A137" s="64">
        <f t="shared" si="45"/>
        <v>133</v>
      </c>
      <c r="B137" s="65" t="s">
        <v>2009</v>
      </c>
      <c r="C137" s="66" t="s">
        <v>2006</v>
      </c>
      <c r="D137" s="175">
        <v>380000</v>
      </c>
      <c r="E137" s="175"/>
      <c r="F137" s="67">
        <f t="shared" si="36"/>
        <v>380000</v>
      </c>
      <c r="G137" s="67">
        <v>379000</v>
      </c>
      <c r="H137" s="67">
        <f t="shared" ref="H137:H197" si="46">+F137-G137</f>
        <v>1000</v>
      </c>
      <c r="I137" s="68">
        <v>5</v>
      </c>
      <c r="J137" s="68">
        <v>0.2</v>
      </c>
      <c r="K137" s="68">
        <v>0</v>
      </c>
      <c r="L137" s="110"/>
      <c r="M137" s="67">
        <f t="shared" ref="M137:M197" si="47">+G137+L137</f>
        <v>379000</v>
      </c>
      <c r="N137" s="110">
        <f t="shared" si="38"/>
        <v>1000</v>
      </c>
      <c r="O137" s="111" t="s">
        <v>2010</v>
      </c>
      <c r="P137" s="111">
        <v>2</v>
      </c>
      <c r="Q137" s="70"/>
      <c r="R137" s="23">
        <f t="shared" si="33"/>
        <v>200</v>
      </c>
      <c r="S137" s="10">
        <f t="shared" si="40"/>
        <v>19000</v>
      </c>
      <c r="T137" s="10">
        <f t="shared" si="41"/>
        <v>-18000</v>
      </c>
      <c r="U137" s="10">
        <f t="shared" ref="U137:U197" si="48">N137-1000</f>
        <v>0</v>
      </c>
      <c r="V137" s="10">
        <f t="shared" si="42"/>
        <v>76000</v>
      </c>
      <c r="W137" s="10">
        <f t="shared" si="43"/>
        <v>0</v>
      </c>
      <c r="X137" s="10">
        <f t="shared" si="44"/>
        <v>0</v>
      </c>
    </row>
    <row r="138" spans="1:24" s="9" customFormat="1" ht="13.5" customHeight="1" x14ac:dyDescent="0.2">
      <c r="A138" s="64">
        <f t="shared" si="45"/>
        <v>134</v>
      </c>
      <c r="B138" s="65" t="s">
        <v>2011</v>
      </c>
      <c r="C138" s="66" t="s">
        <v>2006</v>
      </c>
      <c r="D138" s="175">
        <v>300000</v>
      </c>
      <c r="E138" s="175"/>
      <c r="F138" s="67">
        <f t="shared" si="36"/>
        <v>300000</v>
      </c>
      <c r="G138" s="67">
        <v>299000</v>
      </c>
      <c r="H138" s="67">
        <f t="shared" si="46"/>
        <v>1000</v>
      </c>
      <c r="I138" s="68">
        <v>5</v>
      </c>
      <c r="J138" s="68">
        <v>0.2</v>
      </c>
      <c r="K138" s="68">
        <v>0</v>
      </c>
      <c r="L138" s="110"/>
      <c r="M138" s="67">
        <f t="shared" si="47"/>
        <v>299000</v>
      </c>
      <c r="N138" s="110">
        <f t="shared" si="38"/>
        <v>1000</v>
      </c>
      <c r="O138" s="111" t="s">
        <v>2010</v>
      </c>
      <c r="P138" s="111">
        <v>2</v>
      </c>
      <c r="Q138" s="70"/>
      <c r="R138" s="23">
        <f t="shared" si="33"/>
        <v>200</v>
      </c>
      <c r="S138" s="10">
        <f t="shared" si="40"/>
        <v>15000</v>
      </c>
      <c r="T138" s="10">
        <f t="shared" si="41"/>
        <v>-14000</v>
      </c>
      <c r="U138" s="10">
        <f t="shared" si="48"/>
        <v>0</v>
      </c>
      <c r="V138" s="10">
        <f t="shared" si="42"/>
        <v>60000</v>
      </c>
      <c r="W138" s="10">
        <f t="shared" si="43"/>
        <v>0</v>
      </c>
      <c r="X138" s="10">
        <f t="shared" si="44"/>
        <v>0</v>
      </c>
    </row>
    <row r="139" spans="1:24" s="9" customFormat="1" ht="13.5" customHeight="1" x14ac:dyDescent="0.2">
      <c r="A139" s="64">
        <f t="shared" si="45"/>
        <v>135</v>
      </c>
      <c r="B139" s="65" t="s">
        <v>2012</v>
      </c>
      <c r="C139" s="66" t="s">
        <v>2013</v>
      </c>
      <c r="D139" s="175">
        <v>7000000</v>
      </c>
      <c r="E139" s="175"/>
      <c r="F139" s="67">
        <f t="shared" si="36"/>
        <v>7000000</v>
      </c>
      <c r="G139" s="67">
        <v>6999000</v>
      </c>
      <c r="H139" s="67">
        <f t="shared" si="46"/>
        <v>1000</v>
      </c>
      <c r="I139" s="68">
        <v>5</v>
      </c>
      <c r="J139" s="68">
        <v>0.2</v>
      </c>
      <c r="K139" s="68">
        <v>0</v>
      </c>
      <c r="L139" s="110"/>
      <c r="M139" s="67">
        <f t="shared" si="47"/>
        <v>6999000</v>
      </c>
      <c r="N139" s="110">
        <f t="shared" si="38"/>
        <v>1000</v>
      </c>
      <c r="O139" s="68" t="s">
        <v>2014</v>
      </c>
      <c r="P139" s="555">
        <v>1</v>
      </c>
      <c r="Q139" s="592"/>
      <c r="R139" s="23">
        <f t="shared" si="33"/>
        <v>200</v>
      </c>
      <c r="S139" s="10">
        <f t="shared" si="40"/>
        <v>350000</v>
      </c>
      <c r="T139" s="10">
        <f t="shared" si="41"/>
        <v>-349000</v>
      </c>
      <c r="U139" s="10">
        <f t="shared" si="48"/>
        <v>0</v>
      </c>
      <c r="V139" s="10">
        <f t="shared" si="42"/>
        <v>1400000</v>
      </c>
      <c r="W139" s="10">
        <f t="shared" si="43"/>
        <v>0</v>
      </c>
      <c r="X139" s="10">
        <f t="shared" si="44"/>
        <v>0</v>
      </c>
    </row>
    <row r="140" spans="1:24" s="9" customFormat="1" ht="13.5" customHeight="1" x14ac:dyDescent="0.2">
      <c r="A140" s="64">
        <f t="shared" si="45"/>
        <v>136</v>
      </c>
      <c r="B140" s="65" t="s">
        <v>2015</v>
      </c>
      <c r="C140" s="66" t="s">
        <v>2016</v>
      </c>
      <c r="D140" s="175">
        <v>440000</v>
      </c>
      <c r="E140" s="175"/>
      <c r="F140" s="67">
        <f t="shared" si="36"/>
        <v>440000</v>
      </c>
      <c r="G140" s="67">
        <v>439000</v>
      </c>
      <c r="H140" s="67">
        <f t="shared" si="46"/>
        <v>1000</v>
      </c>
      <c r="I140" s="68">
        <v>5</v>
      </c>
      <c r="J140" s="68">
        <v>0.2</v>
      </c>
      <c r="K140" s="68">
        <v>0</v>
      </c>
      <c r="L140" s="110"/>
      <c r="M140" s="67">
        <f t="shared" si="47"/>
        <v>439000</v>
      </c>
      <c r="N140" s="110">
        <f t="shared" si="38"/>
        <v>1000</v>
      </c>
      <c r="O140" s="68" t="s">
        <v>206</v>
      </c>
      <c r="P140" s="555">
        <v>1</v>
      </c>
      <c r="Q140" s="592"/>
      <c r="R140" s="23">
        <f t="shared" si="33"/>
        <v>200</v>
      </c>
      <c r="S140" s="10">
        <f t="shared" si="40"/>
        <v>22000</v>
      </c>
      <c r="T140" s="10">
        <f t="shared" si="41"/>
        <v>-21000</v>
      </c>
      <c r="U140" s="10">
        <f t="shared" si="48"/>
        <v>0</v>
      </c>
      <c r="V140" s="10">
        <f t="shared" si="42"/>
        <v>88000</v>
      </c>
      <c r="W140" s="10">
        <f t="shared" si="43"/>
        <v>0</v>
      </c>
      <c r="X140" s="10">
        <f t="shared" si="44"/>
        <v>0</v>
      </c>
    </row>
    <row r="141" spans="1:24" s="9" customFormat="1" ht="13.5" customHeight="1" x14ac:dyDescent="0.2">
      <c r="A141" s="64">
        <f t="shared" si="45"/>
        <v>137</v>
      </c>
      <c r="B141" s="65" t="s">
        <v>2017</v>
      </c>
      <c r="C141" s="66" t="s">
        <v>2018</v>
      </c>
      <c r="D141" s="175">
        <v>80000</v>
      </c>
      <c r="E141" s="175"/>
      <c r="F141" s="67">
        <f t="shared" si="36"/>
        <v>80000</v>
      </c>
      <c r="G141" s="67">
        <v>79000</v>
      </c>
      <c r="H141" s="67">
        <f t="shared" si="46"/>
        <v>1000</v>
      </c>
      <c r="I141" s="68">
        <v>5</v>
      </c>
      <c r="J141" s="68">
        <v>0.2</v>
      </c>
      <c r="K141" s="68">
        <v>0</v>
      </c>
      <c r="L141" s="110"/>
      <c r="M141" s="67">
        <f t="shared" si="47"/>
        <v>79000</v>
      </c>
      <c r="N141" s="110">
        <f t="shared" si="38"/>
        <v>1000</v>
      </c>
      <c r="O141" s="68" t="s">
        <v>1932</v>
      </c>
      <c r="P141" s="555">
        <v>1</v>
      </c>
      <c r="Q141" s="592"/>
      <c r="R141" s="23">
        <f t="shared" si="33"/>
        <v>200</v>
      </c>
      <c r="S141" s="10">
        <f t="shared" si="40"/>
        <v>4000</v>
      </c>
      <c r="T141" s="10">
        <f t="shared" si="41"/>
        <v>-3000</v>
      </c>
      <c r="U141" s="10">
        <f t="shared" si="48"/>
        <v>0</v>
      </c>
      <c r="V141" s="10">
        <f t="shared" si="42"/>
        <v>16000</v>
      </c>
      <c r="W141" s="10">
        <f t="shared" si="43"/>
        <v>0</v>
      </c>
      <c r="X141" s="10">
        <f t="shared" si="44"/>
        <v>0</v>
      </c>
    </row>
    <row r="142" spans="1:24" s="9" customFormat="1" ht="13.5" customHeight="1" x14ac:dyDescent="0.2">
      <c r="A142" s="64">
        <f t="shared" si="45"/>
        <v>138</v>
      </c>
      <c r="B142" s="65" t="s">
        <v>1855</v>
      </c>
      <c r="C142" s="66" t="s">
        <v>2018</v>
      </c>
      <c r="D142" s="175">
        <v>50000</v>
      </c>
      <c r="E142" s="175"/>
      <c r="F142" s="67">
        <f t="shared" si="36"/>
        <v>50000</v>
      </c>
      <c r="G142" s="67">
        <v>49000</v>
      </c>
      <c r="H142" s="67">
        <f t="shared" si="46"/>
        <v>1000</v>
      </c>
      <c r="I142" s="68">
        <v>5</v>
      </c>
      <c r="J142" s="68">
        <v>0.2</v>
      </c>
      <c r="K142" s="68">
        <v>0</v>
      </c>
      <c r="L142" s="110"/>
      <c r="M142" s="67">
        <f t="shared" si="47"/>
        <v>49000</v>
      </c>
      <c r="N142" s="110">
        <f t="shared" si="38"/>
        <v>1000</v>
      </c>
      <c r="O142" s="68" t="s">
        <v>1932</v>
      </c>
      <c r="P142" s="555">
        <v>1</v>
      </c>
      <c r="Q142" s="592"/>
      <c r="R142" s="23">
        <f t="shared" si="33"/>
        <v>200</v>
      </c>
      <c r="S142" s="10">
        <f t="shared" si="40"/>
        <v>2500</v>
      </c>
      <c r="T142" s="10">
        <f t="shared" si="41"/>
        <v>-1500</v>
      </c>
      <c r="U142" s="10">
        <f t="shared" si="48"/>
        <v>0</v>
      </c>
      <c r="V142" s="10">
        <f t="shared" si="42"/>
        <v>10000</v>
      </c>
      <c r="W142" s="10">
        <f t="shared" si="43"/>
        <v>0</v>
      </c>
      <c r="X142" s="10">
        <f t="shared" si="44"/>
        <v>0</v>
      </c>
    </row>
    <row r="143" spans="1:24" s="9" customFormat="1" ht="13.5" customHeight="1" x14ac:dyDescent="0.2">
      <c r="A143" s="64">
        <f t="shared" si="45"/>
        <v>139</v>
      </c>
      <c r="B143" s="65" t="s">
        <v>1873</v>
      </c>
      <c r="C143" s="66" t="s">
        <v>2018</v>
      </c>
      <c r="D143" s="175">
        <v>45000</v>
      </c>
      <c r="E143" s="175"/>
      <c r="F143" s="67">
        <f t="shared" si="36"/>
        <v>45000</v>
      </c>
      <c r="G143" s="67">
        <v>44000</v>
      </c>
      <c r="H143" s="67">
        <f t="shared" si="46"/>
        <v>1000</v>
      </c>
      <c r="I143" s="68">
        <v>5</v>
      </c>
      <c r="J143" s="68">
        <v>0.2</v>
      </c>
      <c r="K143" s="68">
        <v>0</v>
      </c>
      <c r="L143" s="110"/>
      <c r="M143" s="67">
        <f t="shared" si="47"/>
        <v>44000</v>
      </c>
      <c r="N143" s="110">
        <f t="shared" si="38"/>
        <v>1000</v>
      </c>
      <c r="O143" s="68" t="s">
        <v>1932</v>
      </c>
      <c r="P143" s="555">
        <v>1</v>
      </c>
      <c r="Q143" s="592"/>
      <c r="R143" s="23">
        <f t="shared" si="33"/>
        <v>200</v>
      </c>
      <c r="S143" s="10">
        <f t="shared" si="40"/>
        <v>2250</v>
      </c>
      <c r="T143" s="10">
        <f t="shared" si="41"/>
        <v>-1250</v>
      </c>
      <c r="U143" s="10">
        <f t="shared" si="48"/>
        <v>0</v>
      </c>
      <c r="V143" s="10">
        <f t="shared" si="42"/>
        <v>9000</v>
      </c>
      <c r="W143" s="10">
        <f t="shared" si="43"/>
        <v>0</v>
      </c>
      <c r="X143" s="10">
        <f t="shared" si="44"/>
        <v>0</v>
      </c>
    </row>
    <row r="144" spans="1:24" s="9" customFormat="1" ht="13.5" customHeight="1" x14ac:dyDescent="0.2">
      <c r="A144" s="64">
        <f t="shared" si="45"/>
        <v>140</v>
      </c>
      <c r="B144" s="65" t="s">
        <v>2019</v>
      </c>
      <c r="C144" s="66" t="s">
        <v>2018</v>
      </c>
      <c r="D144" s="175">
        <v>2070000</v>
      </c>
      <c r="E144" s="175"/>
      <c r="F144" s="67">
        <f t="shared" si="36"/>
        <v>2070000</v>
      </c>
      <c r="G144" s="67">
        <v>2069000</v>
      </c>
      <c r="H144" s="67">
        <f t="shared" si="46"/>
        <v>1000</v>
      </c>
      <c r="I144" s="68">
        <v>5</v>
      </c>
      <c r="J144" s="68">
        <v>0.2</v>
      </c>
      <c r="K144" s="68">
        <v>0</v>
      </c>
      <c r="L144" s="110"/>
      <c r="M144" s="67">
        <f t="shared" si="47"/>
        <v>2069000</v>
      </c>
      <c r="N144" s="110">
        <f t="shared" si="38"/>
        <v>1000</v>
      </c>
      <c r="O144" s="68" t="s">
        <v>2020</v>
      </c>
      <c r="P144" s="555">
        <v>9</v>
      </c>
      <c r="Q144" s="592"/>
      <c r="R144" s="23">
        <f t="shared" si="33"/>
        <v>200</v>
      </c>
      <c r="S144" s="10">
        <f t="shared" si="40"/>
        <v>103500</v>
      </c>
      <c r="T144" s="10">
        <f t="shared" si="41"/>
        <v>-102500</v>
      </c>
      <c r="U144" s="10">
        <f t="shared" si="48"/>
        <v>0</v>
      </c>
      <c r="V144" s="10">
        <f t="shared" si="42"/>
        <v>414000</v>
      </c>
      <c r="W144" s="10">
        <f t="shared" si="43"/>
        <v>0</v>
      </c>
      <c r="X144" s="10">
        <f t="shared" si="44"/>
        <v>0</v>
      </c>
    </row>
    <row r="145" spans="1:24" s="9" customFormat="1" ht="13.5" customHeight="1" x14ac:dyDescent="0.2">
      <c r="A145" s="64">
        <f t="shared" si="45"/>
        <v>141</v>
      </c>
      <c r="B145" s="65" t="s">
        <v>2021</v>
      </c>
      <c r="C145" s="66" t="s">
        <v>2022</v>
      </c>
      <c r="D145" s="175">
        <v>900000</v>
      </c>
      <c r="E145" s="175"/>
      <c r="F145" s="67">
        <f t="shared" si="36"/>
        <v>900000</v>
      </c>
      <c r="G145" s="67">
        <v>899000</v>
      </c>
      <c r="H145" s="67">
        <f t="shared" si="46"/>
        <v>1000</v>
      </c>
      <c r="I145" s="68">
        <v>5</v>
      </c>
      <c r="J145" s="68">
        <v>0.2</v>
      </c>
      <c r="K145" s="68">
        <v>0</v>
      </c>
      <c r="L145" s="110"/>
      <c r="M145" s="67">
        <f t="shared" si="47"/>
        <v>899000</v>
      </c>
      <c r="N145" s="110">
        <f t="shared" si="38"/>
        <v>1000</v>
      </c>
      <c r="O145" s="68" t="s">
        <v>2023</v>
      </c>
      <c r="P145" s="555">
        <v>1</v>
      </c>
      <c r="Q145" s="592"/>
      <c r="R145" s="23">
        <f t="shared" si="33"/>
        <v>200</v>
      </c>
      <c r="S145" s="10">
        <f t="shared" si="40"/>
        <v>45000</v>
      </c>
      <c r="T145" s="10">
        <f t="shared" si="41"/>
        <v>-44000</v>
      </c>
      <c r="U145" s="10">
        <f t="shared" si="48"/>
        <v>0</v>
      </c>
      <c r="V145" s="10">
        <f t="shared" si="42"/>
        <v>180000</v>
      </c>
      <c r="W145" s="10">
        <f t="shared" si="43"/>
        <v>0</v>
      </c>
      <c r="X145" s="10">
        <f t="shared" si="44"/>
        <v>0</v>
      </c>
    </row>
    <row r="146" spans="1:24" s="9" customFormat="1" ht="13.5" customHeight="1" x14ac:dyDescent="0.2">
      <c r="A146" s="64">
        <f t="shared" si="45"/>
        <v>142</v>
      </c>
      <c r="B146" s="65" t="s">
        <v>2024</v>
      </c>
      <c r="C146" s="66" t="s">
        <v>2022</v>
      </c>
      <c r="D146" s="175">
        <v>163636</v>
      </c>
      <c r="E146" s="175"/>
      <c r="F146" s="67">
        <f t="shared" si="36"/>
        <v>163636</v>
      </c>
      <c r="G146" s="67">
        <v>162636</v>
      </c>
      <c r="H146" s="67">
        <f t="shared" si="46"/>
        <v>1000</v>
      </c>
      <c r="I146" s="68">
        <v>5</v>
      </c>
      <c r="J146" s="68">
        <v>0.2</v>
      </c>
      <c r="K146" s="68">
        <v>0</v>
      </c>
      <c r="L146" s="110"/>
      <c r="M146" s="67">
        <f t="shared" si="47"/>
        <v>162636</v>
      </c>
      <c r="N146" s="110">
        <f t="shared" si="38"/>
        <v>1000</v>
      </c>
      <c r="O146" s="68" t="s">
        <v>2023</v>
      </c>
      <c r="P146" s="555">
        <v>1</v>
      </c>
      <c r="Q146" s="592"/>
      <c r="R146" s="23">
        <f t="shared" si="33"/>
        <v>200</v>
      </c>
      <c r="S146" s="10">
        <f t="shared" si="40"/>
        <v>8181.8</v>
      </c>
      <c r="T146" s="10">
        <f t="shared" si="41"/>
        <v>-7181.8</v>
      </c>
      <c r="U146" s="10">
        <f t="shared" si="48"/>
        <v>0</v>
      </c>
      <c r="V146" s="10">
        <f t="shared" si="42"/>
        <v>32727.200000000001</v>
      </c>
      <c r="W146" s="10">
        <f t="shared" si="43"/>
        <v>0</v>
      </c>
      <c r="X146" s="10">
        <f t="shared" si="44"/>
        <v>0</v>
      </c>
    </row>
    <row r="147" spans="1:24" s="9" customFormat="1" ht="13.5" customHeight="1" x14ac:dyDescent="0.2">
      <c r="A147" s="64">
        <f t="shared" si="45"/>
        <v>143</v>
      </c>
      <c r="B147" s="65" t="s">
        <v>1838</v>
      </c>
      <c r="C147" s="66" t="s">
        <v>1337</v>
      </c>
      <c r="D147" s="175">
        <v>4454545</v>
      </c>
      <c r="E147" s="175"/>
      <c r="F147" s="67">
        <f t="shared" si="36"/>
        <v>4454545</v>
      </c>
      <c r="G147" s="67">
        <v>4453545</v>
      </c>
      <c r="H147" s="67">
        <f t="shared" si="46"/>
        <v>1000</v>
      </c>
      <c r="I147" s="68">
        <v>5</v>
      </c>
      <c r="J147" s="68">
        <v>0.2</v>
      </c>
      <c r="K147" s="68">
        <v>0</v>
      </c>
      <c r="L147" s="110"/>
      <c r="M147" s="67">
        <f t="shared" si="47"/>
        <v>4453545</v>
      </c>
      <c r="N147" s="110">
        <f t="shared" si="38"/>
        <v>1000</v>
      </c>
      <c r="O147" s="68" t="s">
        <v>2025</v>
      </c>
      <c r="P147" s="555">
        <v>1</v>
      </c>
      <c r="Q147" s="592"/>
      <c r="R147" s="23">
        <f t="shared" si="33"/>
        <v>200</v>
      </c>
      <c r="S147" s="10">
        <f t="shared" si="40"/>
        <v>222727.25</v>
      </c>
      <c r="T147" s="10">
        <f t="shared" si="41"/>
        <v>-221727.25</v>
      </c>
      <c r="U147" s="10">
        <f t="shared" si="48"/>
        <v>0</v>
      </c>
      <c r="V147" s="10">
        <f t="shared" si="42"/>
        <v>890909</v>
      </c>
      <c r="W147" s="10">
        <f t="shared" si="43"/>
        <v>0</v>
      </c>
      <c r="X147" s="10">
        <f t="shared" si="44"/>
        <v>0</v>
      </c>
    </row>
    <row r="148" spans="1:24" s="9" customFormat="1" ht="13.5" customHeight="1" x14ac:dyDescent="0.2">
      <c r="A148" s="64">
        <f t="shared" si="45"/>
        <v>144</v>
      </c>
      <c r="B148" s="65" t="s">
        <v>1855</v>
      </c>
      <c r="C148" s="66" t="s">
        <v>2026</v>
      </c>
      <c r="D148" s="175">
        <v>50000</v>
      </c>
      <c r="E148" s="175"/>
      <c r="F148" s="67">
        <f t="shared" si="36"/>
        <v>50000</v>
      </c>
      <c r="G148" s="67">
        <v>49000</v>
      </c>
      <c r="H148" s="67">
        <f t="shared" si="46"/>
        <v>1000</v>
      </c>
      <c r="I148" s="68">
        <v>5</v>
      </c>
      <c r="J148" s="68">
        <v>0.2</v>
      </c>
      <c r="K148" s="68">
        <v>0</v>
      </c>
      <c r="L148" s="110"/>
      <c r="M148" s="67">
        <f t="shared" si="47"/>
        <v>49000</v>
      </c>
      <c r="N148" s="110">
        <f t="shared" si="38"/>
        <v>1000</v>
      </c>
      <c r="O148" s="68" t="s">
        <v>1932</v>
      </c>
      <c r="P148" s="555">
        <v>1</v>
      </c>
      <c r="Q148" s="592"/>
      <c r="R148" s="23">
        <f t="shared" si="33"/>
        <v>200</v>
      </c>
      <c r="S148" s="10">
        <f t="shared" si="40"/>
        <v>2500</v>
      </c>
      <c r="T148" s="10">
        <f t="shared" si="41"/>
        <v>-1500</v>
      </c>
      <c r="U148" s="10">
        <f t="shared" si="48"/>
        <v>0</v>
      </c>
      <c r="V148" s="10">
        <f t="shared" si="42"/>
        <v>10000</v>
      </c>
      <c r="W148" s="10">
        <f t="shared" si="43"/>
        <v>0</v>
      </c>
      <c r="X148" s="10">
        <f t="shared" si="44"/>
        <v>0</v>
      </c>
    </row>
    <row r="149" spans="1:24" s="9" customFormat="1" ht="13.5" customHeight="1" x14ac:dyDescent="0.2">
      <c r="A149" s="64">
        <f t="shared" si="45"/>
        <v>145</v>
      </c>
      <c r="B149" s="65" t="s">
        <v>1873</v>
      </c>
      <c r="C149" s="66" t="s">
        <v>2026</v>
      </c>
      <c r="D149" s="175">
        <v>45000</v>
      </c>
      <c r="E149" s="175"/>
      <c r="F149" s="67">
        <f t="shared" si="36"/>
        <v>45000</v>
      </c>
      <c r="G149" s="67">
        <v>44000</v>
      </c>
      <c r="H149" s="67">
        <f t="shared" si="46"/>
        <v>1000</v>
      </c>
      <c r="I149" s="68">
        <v>5</v>
      </c>
      <c r="J149" s="68">
        <v>0.2</v>
      </c>
      <c r="K149" s="68">
        <v>0</v>
      </c>
      <c r="L149" s="110"/>
      <c r="M149" s="67">
        <f t="shared" si="47"/>
        <v>44000</v>
      </c>
      <c r="N149" s="110">
        <f t="shared" si="38"/>
        <v>1000</v>
      </c>
      <c r="O149" s="68" t="s">
        <v>1932</v>
      </c>
      <c r="P149" s="555">
        <v>1</v>
      </c>
      <c r="Q149" s="592"/>
      <c r="R149" s="23">
        <f t="shared" si="33"/>
        <v>200</v>
      </c>
      <c r="S149" s="10">
        <f t="shared" si="40"/>
        <v>2250</v>
      </c>
      <c r="T149" s="10">
        <f t="shared" si="41"/>
        <v>-1250</v>
      </c>
      <c r="U149" s="10">
        <f t="shared" si="48"/>
        <v>0</v>
      </c>
      <c r="V149" s="10">
        <f t="shared" si="42"/>
        <v>9000</v>
      </c>
      <c r="W149" s="10">
        <f t="shared" si="43"/>
        <v>0</v>
      </c>
      <c r="X149" s="10">
        <f t="shared" si="44"/>
        <v>0</v>
      </c>
    </row>
    <row r="150" spans="1:24" s="9" customFormat="1" ht="13.5" customHeight="1" x14ac:dyDescent="0.2">
      <c r="A150" s="64">
        <f t="shared" si="45"/>
        <v>146</v>
      </c>
      <c r="B150" s="65" t="s">
        <v>2017</v>
      </c>
      <c r="C150" s="66" t="s">
        <v>2026</v>
      </c>
      <c r="D150" s="175">
        <v>100000</v>
      </c>
      <c r="E150" s="175"/>
      <c r="F150" s="67">
        <f t="shared" si="36"/>
        <v>100000</v>
      </c>
      <c r="G150" s="67">
        <v>99000</v>
      </c>
      <c r="H150" s="67">
        <f t="shared" si="46"/>
        <v>1000</v>
      </c>
      <c r="I150" s="68">
        <v>5</v>
      </c>
      <c r="J150" s="68">
        <v>0.2</v>
      </c>
      <c r="K150" s="68">
        <v>0</v>
      </c>
      <c r="L150" s="110"/>
      <c r="M150" s="67">
        <f t="shared" si="47"/>
        <v>99000</v>
      </c>
      <c r="N150" s="110">
        <f t="shared" si="38"/>
        <v>1000</v>
      </c>
      <c r="O150" s="68" t="s">
        <v>1932</v>
      </c>
      <c r="P150" s="555">
        <v>1</v>
      </c>
      <c r="Q150" s="592"/>
      <c r="R150" s="23">
        <f t="shared" si="33"/>
        <v>200</v>
      </c>
      <c r="S150" s="10">
        <f t="shared" si="40"/>
        <v>5000</v>
      </c>
      <c r="T150" s="10">
        <f t="shared" si="41"/>
        <v>-4000</v>
      </c>
      <c r="U150" s="10">
        <f t="shared" si="48"/>
        <v>0</v>
      </c>
      <c r="V150" s="10">
        <f t="shared" si="42"/>
        <v>20000</v>
      </c>
      <c r="W150" s="10">
        <f t="shared" si="43"/>
        <v>0</v>
      </c>
      <c r="X150" s="10">
        <f t="shared" si="44"/>
        <v>0</v>
      </c>
    </row>
    <row r="151" spans="1:24" s="9" customFormat="1" ht="13.5" customHeight="1" x14ac:dyDescent="0.2">
      <c r="A151" s="64">
        <f t="shared" si="45"/>
        <v>147</v>
      </c>
      <c r="B151" s="65" t="s">
        <v>2027</v>
      </c>
      <c r="C151" s="66" t="s">
        <v>2028</v>
      </c>
      <c r="D151" s="175">
        <v>480000</v>
      </c>
      <c r="E151" s="175"/>
      <c r="F151" s="67">
        <f t="shared" si="36"/>
        <v>480000</v>
      </c>
      <c r="G151" s="67">
        <v>479000</v>
      </c>
      <c r="H151" s="67">
        <f t="shared" si="46"/>
        <v>1000</v>
      </c>
      <c r="I151" s="68">
        <v>5</v>
      </c>
      <c r="J151" s="68">
        <v>0.2</v>
      </c>
      <c r="K151" s="68">
        <v>0</v>
      </c>
      <c r="L151" s="110"/>
      <c r="M151" s="67">
        <f t="shared" si="47"/>
        <v>479000</v>
      </c>
      <c r="N151" s="110">
        <f t="shared" si="38"/>
        <v>1000</v>
      </c>
      <c r="O151" s="68" t="s">
        <v>2029</v>
      </c>
      <c r="P151" s="555">
        <v>8</v>
      </c>
      <c r="Q151" s="592"/>
      <c r="R151" s="23">
        <f t="shared" si="33"/>
        <v>200</v>
      </c>
      <c r="S151" s="10">
        <f t="shared" si="40"/>
        <v>24000</v>
      </c>
      <c r="T151" s="10">
        <f t="shared" si="41"/>
        <v>-23000</v>
      </c>
      <c r="U151" s="10">
        <f t="shared" si="48"/>
        <v>0</v>
      </c>
      <c r="V151" s="10">
        <f t="shared" si="42"/>
        <v>96000</v>
      </c>
      <c r="W151" s="10">
        <f t="shared" si="43"/>
        <v>0</v>
      </c>
      <c r="X151" s="10">
        <f t="shared" si="44"/>
        <v>0</v>
      </c>
    </row>
    <row r="152" spans="1:24" s="9" customFormat="1" ht="13.5" customHeight="1" x14ac:dyDescent="0.2">
      <c r="A152" s="64">
        <f t="shared" si="45"/>
        <v>148</v>
      </c>
      <c r="B152" s="65" t="s">
        <v>2030</v>
      </c>
      <c r="C152" s="66" t="s">
        <v>2028</v>
      </c>
      <c r="D152" s="175">
        <v>180000</v>
      </c>
      <c r="E152" s="175"/>
      <c r="F152" s="67">
        <f t="shared" si="36"/>
        <v>180000</v>
      </c>
      <c r="G152" s="67">
        <v>179000</v>
      </c>
      <c r="H152" s="67">
        <f t="shared" si="46"/>
        <v>1000</v>
      </c>
      <c r="I152" s="68">
        <v>5</v>
      </c>
      <c r="J152" s="68">
        <v>0.2</v>
      </c>
      <c r="K152" s="68">
        <v>0</v>
      </c>
      <c r="L152" s="110"/>
      <c r="M152" s="67">
        <f t="shared" si="47"/>
        <v>179000</v>
      </c>
      <c r="N152" s="110">
        <f t="shared" si="38"/>
        <v>1000</v>
      </c>
      <c r="O152" s="68" t="s">
        <v>2029</v>
      </c>
      <c r="P152" s="555">
        <v>2</v>
      </c>
      <c r="Q152" s="592"/>
      <c r="R152" s="23">
        <f t="shared" si="33"/>
        <v>200</v>
      </c>
      <c r="S152" s="10">
        <f t="shared" si="40"/>
        <v>9000</v>
      </c>
      <c r="T152" s="10">
        <f t="shared" si="41"/>
        <v>-8000</v>
      </c>
      <c r="U152" s="10">
        <f t="shared" si="48"/>
        <v>0</v>
      </c>
      <c r="V152" s="10">
        <f t="shared" si="42"/>
        <v>36000</v>
      </c>
      <c r="W152" s="10">
        <f t="shared" si="43"/>
        <v>0</v>
      </c>
      <c r="X152" s="10">
        <f t="shared" si="44"/>
        <v>0</v>
      </c>
    </row>
    <row r="153" spans="1:24" s="9" customFormat="1" ht="13.5" customHeight="1" x14ac:dyDescent="0.2">
      <c r="A153" s="64">
        <f t="shared" si="45"/>
        <v>149</v>
      </c>
      <c r="B153" s="65" t="s">
        <v>1897</v>
      </c>
      <c r="C153" s="66" t="s">
        <v>823</v>
      </c>
      <c r="D153" s="175">
        <v>260000</v>
      </c>
      <c r="E153" s="175"/>
      <c r="F153" s="67">
        <f t="shared" si="36"/>
        <v>260000</v>
      </c>
      <c r="G153" s="67">
        <v>259000</v>
      </c>
      <c r="H153" s="67">
        <f t="shared" si="46"/>
        <v>1000</v>
      </c>
      <c r="I153" s="68">
        <v>5</v>
      </c>
      <c r="J153" s="68">
        <v>0.2</v>
      </c>
      <c r="K153" s="68">
        <v>0</v>
      </c>
      <c r="L153" s="110"/>
      <c r="M153" s="67">
        <f t="shared" si="47"/>
        <v>259000</v>
      </c>
      <c r="N153" s="110">
        <f t="shared" si="38"/>
        <v>1000</v>
      </c>
      <c r="O153" s="68" t="s">
        <v>1932</v>
      </c>
      <c r="P153" s="555">
        <v>4</v>
      </c>
      <c r="Q153" s="592"/>
      <c r="R153" s="23">
        <f t="shared" ref="R153:R191" si="49">+N153*J153</f>
        <v>200</v>
      </c>
      <c r="S153" s="10">
        <f t="shared" si="40"/>
        <v>13000</v>
      </c>
      <c r="T153" s="10">
        <f t="shared" si="41"/>
        <v>-12000</v>
      </c>
      <c r="U153" s="10">
        <f t="shared" si="48"/>
        <v>0</v>
      </c>
      <c r="V153" s="10">
        <f t="shared" si="42"/>
        <v>52000</v>
      </c>
      <c r="W153" s="10">
        <f t="shared" si="43"/>
        <v>0</v>
      </c>
      <c r="X153" s="10">
        <f t="shared" si="44"/>
        <v>0</v>
      </c>
    </row>
    <row r="154" spans="1:24" s="9" customFormat="1" ht="13.5" customHeight="1" x14ac:dyDescent="0.2">
      <c r="A154" s="64">
        <f t="shared" si="45"/>
        <v>150</v>
      </c>
      <c r="B154" s="65" t="s">
        <v>2031</v>
      </c>
      <c r="C154" s="66" t="s">
        <v>823</v>
      </c>
      <c r="D154" s="175">
        <v>65000</v>
      </c>
      <c r="E154" s="175"/>
      <c r="F154" s="67">
        <f t="shared" si="36"/>
        <v>65000</v>
      </c>
      <c r="G154" s="67">
        <v>64000</v>
      </c>
      <c r="H154" s="67">
        <f t="shared" si="46"/>
        <v>1000</v>
      </c>
      <c r="I154" s="68">
        <v>5</v>
      </c>
      <c r="J154" s="68">
        <v>0.2</v>
      </c>
      <c r="K154" s="68">
        <v>0</v>
      </c>
      <c r="L154" s="110"/>
      <c r="M154" s="67">
        <f t="shared" si="47"/>
        <v>64000</v>
      </c>
      <c r="N154" s="110">
        <f t="shared" si="38"/>
        <v>1000</v>
      </c>
      <c r="O154" s="68" t="s">
        <v>1932</v>
      </c>
      <c r="P154" s="555">
        <v>1</v>
      </c>
      <c r="Q154" s="592"/>
      <c r="R154" s="23">
        <f t="shared" si="49"/>
        <v>200</v>
      </c>
      <c r="S154" s="10">
        <f t="shared" si="40"/>
        <v>3250</v>
      </c>
      <c r="T154" s="10">
        <f t="shared" si="41"/>
        <v>-2250</v>
      </c>
      <c r="U154" s="10">
        <f t="shared" si="48"/>
        <v>0</v>
      </c>
      <c r="V154" s="10">
        <f t="shared" si="42"/>
        <v>13000</v>
      </c>
      <c r="W154" s="10">
        <f t="shared" si="43"/>
        <v>0</v>
      </c>
      <c r="X154" s="10">
        <f t="shared" si="44"/>
        <v>0</v>
      </c>
    </row>
    <row r="155" spans="1:24" s="9" customFormat="1" ht="13.5" customHeight="1" x14ac:dyDescent="0.2">
      <c r="A155" s="64">
        <f t="shared" si="45"/>
        <v>151</v>
      </c>
      <c r="B155" s="65" t="s">
        <v>1888</v>
      </c>
      <c r="C155" s="66" t="s">
        <v>1353</v>
      </c>
      <c r="D155" s="175">
        <v>1154545</v>
      </c>
      <c r="E155" s="175"/>
      <c r="F155" s="67">
        <f t="shared" si="36"/>
        <v>1154545</v>
      </c>
      <c r="G155" s="67">
        <v>1153545</v>
      </c>
      <c r="H155" s="67">
        <f t="shared" si="46"/>
        <v>1000</v>
      </c>
      <c r="I155" s="68">
        <v>5</v>
      </c>
      <c r="J155" s="68">
        <v>0.2</v>
      </c>
      <c r="K155" s="68">
        <v>0</v>
      </c>
      <c r="L155" s="110"/>
      <c r="M155" s="67">
        <f t="shared" si="47"/>
        <v>1153545</v>
      </c>
      <c r="N155" s="110">
        <f t="shared" si="38"/>
        <v>1000</v>
      </c>
      <c r="O155" s="68" t="s">
        <v>2023</v>
      </c>
      <c r="P155" s="555">
        <v>1</v>
      </c>
      <c r="Q155" s="592"/>
      <c r="R155" s="23">
        <f t="shared" si="49"/>
        <v>200</v>
      </c>
      <c r="S155" s="10">
        <f t="shared" si="40"/>
        <v>57727.25</v>
      </c>
      <c r="T155" s="10">
        <f t="shared" si="41"/>
        <v>-56727.25</v>
      </c>
      <c r="U155" s="10">
        <f t="shared" si="48"/>
        <v>0</v>
      </c>
      <c r="V155" s="10">
        <f t="shared" si="42"/>
        <v>230909</v>
      </c>
      <c r="W155" s="10">
        <f t="shared" si="43"/>
        <v>0</v>
      </c>
      <c r="X155" s="10">
        <f t="shared" si="44"/>
        <v>0</v>
      </c>
    </row>
    <row r="156" spans="1:24" s="9" customFormat="1" ht="13.5" customHeight="1" x14ac:dyDescent="0.2">
      <c r="A156" s="64">
        <f t="shared" si="45"/>
        <v>152</v>
      </c>
      <c r="B156" s="65" t="s">
        <v>2024</v>
      </c>
      <c r="C156" s="66" t="s">
        <v>1353</v>
      </c>
      <c r="D156" s="175">
        <v>145455</v>
      </c>
      <c r="E156" s="175"/>
      <c r="F156" s="67">
        <f t="shared" si="36"/>
        <v>145455</v>
      </c>
      <c r="G156" s="67">
        <v>144455</v>
      </c>
      <c r="H156" s="67">
        <f t="shared" si="46"/>
        <v>1000</v>
      </c>
      <c r="I156" s="68">
        <v>5</v>
      </c>
      <c r="J156" s="68">
        <v>0.2</v>
      </c>
      <c r="K156" s="68">
        <v>0</v>
      </c>
      <c r="L156" s="110"/>
      <c r="M156" s="67">
        <f t="shared" si="47"/>
        <v>144455</v>
      </c>
      <c r="N156" s="110">
        <f t="shared" si="38"/>
        <v>1000</v>
      </c>
      <c r="O156" s="68" t="s">
        <v>2023</v>
      </c>
      <c r="P156" s="555">
        <v>1</v>
      </c>
      <c r="Q156" s="592"/>
      <c r="R156" s="23">
        <f t="shared" si="49"/>
        <v>200</v>
      </c>
      <c r="S156" s="10">
        <f t="shared" si="40"/>
        <v>7272.75</v>
      </c>
      <c r="T156" s="10">
        <f t="shared" si="41"/>
        <v>-6272.75</v>
      </c>
      <c r="U156" s="10">
        <f t="shared" si="48"/>
        <v>0</v>
      </c>
      <c r="V156" s="10">
        <f t="shared" si="42"/>
        <v>29091</v>
      </c>
      <c r="W156" s="10">
        <f t="shared" si="43"/>
        <v>0</v>
      </c>
      <c r="X156" s="10">
        <f t="shared" si="44"/>
        <v>0</v>
      </c>
    </row>
    <row r="157" spans="1:24" s="9" customFormat="1" ht="13.5" customHeight="1" x14ac:dyDescent="0.2">
      <c r="A157" s="64">
        <f t="shared" si="45"/>
        <v>153</v>
      </c>
      <c r="B157" s="65" t="s">
        <v>2032</v>
      </c>
      <c r="C157" s="66" t="s">
        <v>282</v>
      </c>
      <c r="D157" s="175">
        <v>1800000</v>
      </c>
      <c r="E157" s="175"/>
      <c r="F157" s="67">
        <f t="shared" si="36"/>
        <v>1800000</v>
      </c>
      <c r="G157" s="67">
        <v>1799000</v>
      </c>
      <c r="H157" s="67">
        <f t="shared" si="46"/>
        <v>1000</v>
      </c>
      <c r="I157" s="68">
        <v>5</v>
      </c>
      <c r="J157" s="68">
        <v>0.2</v>
      </c>
      <c r="K157" s="68">
        <v>0</v>
      </c>
      <c r="L157" s="110"/>
      <c r="M157" s="67">
        <f t="shared" si="47"/>
        <v>1799000</v>
      </c>
      <c r="N157" s="110">
        <f t="shared" si="38"/>
        <v>1000</v>
      </c>
      <c r="O157" s="68" t="s">
        <v>2033</v>
      </c>
      <c r="P157" s="555">
        <v>1</v>
      </c>
      <c r="Q157" s="592"/>
      <c r="R157" s="23">
        <f t="shared" si="49"/>
        <v>200</v>
      </c>
      <c r="S157" s="10">
        <f t="shared" si="40"/>
        <v>90000</v>
      </c>
      <c r="T157" s="10">
        <f t="shared" si="41"/>
        <v>-89000</v>
      </c>
      <c r="U157" s="10">
        <f t="shared" si="48"/>
        <v>0</v>
      </c>
      <c r="V157" s="10">
        <f t="shared" si="42"/>
        <v>360000</v>
      </c>
      <c r="W157" s="10">
        <f t="shared" si="43"/>
        <v>0</v>
      </c>
      <c r="X157" s="10">
        <f t="shared" si="44"/>
        <v>0</v>
      </c>
    </row>
    <row r="158" spans="1:24" s="9" customFormat="1" ht="13.5" customHeight="1" x14ac:dyDescent="0.2">
      <c r="A158" s="64">
        <f t="shared" si="45"/>
        <v>154</v>
      </c>
      <c r="B158" s="65" t="s">
        <v>2027</v>
      </c>
      <c r="C158" s="66" t="s">
        <v>2034</v>
      </c>
      <c r="D158" s="175">
        <v>420000</v>
      </c>
      <c r="E158" s="175"/>
      <c r="F158" s="67">
        <f t="shared" si="36"/>
        <v>420000</v>
      </c>
      <c r="G158" s="67">
        <v>419000</v>
      </c>
      <c r="H158" s="67">
        <f t="shared" si="46"/>
        <v>1000</v>
      </c>
      <c r="I158" s="68">
        <v>5</v>
      </c>
      <c r="J158" s="68">
        <v>0.2</v>
      </c>
      <c r="K158" s="68">
        <v>0</v>
      </c>
      <c r="L158" s="110"/>
      <c r="M158" s="67">
        <f t="shared" si="47"/>
        <v>419000</v>
      </c>
      <c r="N158" s="110">
        <f t="shared" si="38"/>
        <v>1000</v>
      </c>
      <c r="O158" s="68" t="s">
        <v>2029</v>
      </c>
      <c r="P158" s="555">
        <v>7</v>
      </c>
      <c r="Q158" s="592"/>
      <c r="R158" s="23">
        <f t="shared" si="49"/>
        <v>200</v>
      </c>
      <c r="S158" s="10">
        <f t="shared" si="40"/>
        <v>21000</v>
      </c>
      <c r="T158" s="10">
        <f t="shared" si="41"/>
        <v>-20000</v>
      </c>
      <c r="U158" s="10">
        <f t="shared" si="48"/>
        <v>0</v>
      </c>
      <c r="V158" s="10">
        <f t="shared" si="42"/>
        <v>84000</v>
      </c>
      <c r="W158" s="10">
        <f t="shared" si="43"/>
        <v>0</v>
      </c>
      <c r="X158" s="10">
        <f t="shared" si="44"/>
        <v>0</v>
      </c>
    </row>
    <row r="159" spans="1:24" s="9" customFormat="1" ht="13.5" customHeight="1" x14ac:dyDescent="0.2">
      <c r="A159" s="64">
        <f t="shared" si="45"/>
        <v>155</v>
      </c>
      <c r="B159" s="65" t="s">
        <v>1838</v>
      </c>
      <c r="C159" s="66" t="s">
        <v>2035</v>
      </c>
      <c r="D159" s="175">
        <v>3100000</v>
      </c>
      <c r="E159" s="175"/>
      <c r="F159" s="67">
        <f t="shared" si="36"/>
        <v>3100000</v>
      </c>
      <c r="G159" s="67">
        <v>3099000</v>
      </c>
      <c r="H159" s="67">
        <f t="shared" si="46"/>
        <v>1000</v>
      </c>
      <c r="I159" s="68">
        <v>5</v>
      </c>
      <c r="J159" s="68">
        <v>0.2</v>
      </c>
      <c r="K159" s="68">
        <v>0</v>
      </c>
      <c r="L159" s="110"/>
      <c r="M159" s="67">
        <f t="shared" si="47"/>
        <v>3099000</v>
      </c>
      <c r="N159" s="110">
        <f t="shared" si="38"/>
        <v>1000</v>
      </c>
      <c r="O159" s="68" t="s">
        <v>767</v>
      </c>
      <c r="P159" s="555">
        <v>1</v>
      </c>
      <c r="Q159" s="592"/>
      <c r="R159" s="23">
        <f t="shared" si="49"/>
        <v>200</v>
      </c>
      <c r="S159" s="10">
        <f t="shared" si="40"/>
        <v>155000</v>
      </c>
      <c r="T159" s="10">
        <f t="shared" si="41"/>
        <v>-154000</v>
      </c>
      <c r="U159" s="10">
        <f t="shared" si="48"/>
        <v>0</v>
      </c>
      <c r="V159" s="10">
        <f t="shared" si="42"/>
        <v>620000</v>
      </c>
      <c r="W159" s="10">
        <f t="shared" si="43"/>
        <v>0</v>
      </c>
      <c r="X159" s="10">
        <f t="shared" si="44"/>
        <v>0</v>
      </c>
    </row>
    <row r="160" spans="1:24" s="9" customFormat="1" ht="13.5" customHeight="1" x14ac:dyDescent="0.2">
      <c r="A160" s="64">
        <f t="shared" si="45"/>
        <v>156</v>
      </c>
      <c r="B160" s="65" t="s">
        <v>2036</v>
      </c>
      <c r="C160" s="66" t="s">
        <v>2037</v>
      </c>
      <c r="D160" s="175">
        <v>320000</v>
      </c>
      <c r="E160" s="175"/>
      <c r="F160" s="67">
        <f t="shared" si="36"/>
        <v>320000</v>
      </c>
      <c r="G160" s="67">
        <v>319000</v>
      </c>
      <c r="H160" s="67">
        <f t="shared" si="46"/>
        <v>1000</v>
      </c>
      <c r="I160" s="68">
        <v>5</v>
      </c>
      <c r="J160" s="68">
        <v>0.2</v>
      </c>
      <c r="K160" s="68">
        <v>0</v>
      </c>
      <c r="L160" s="110"/>
      <c r="M160" s="67">
        <f t="shared" si="47"/>
        <v>319000</v>
      </c>
      <c r="N160" s="110">
        <f t="shared" si="38"/>
        <v>1000</v>
      </c>
      <c r="O160" s="68" t="s">
        <v>2029</v>
      </c>
      <c r="P160" s="555">
        <v>2</v>
      </c>
      <c r="Q160" s="592"/>
      <c r="R160" s="23">
        <f t="shared" si="49"/>
        <v>200</v>
      </c>
      <c r="S160" s="10">
        <f t="shared" si="40"/>
        <v>16000</v>
      </c>
      <c r="T160" s="10">
        <f t="shared" si="41"/>
        <v>-15000</v>
      </c>
      <c r="U160" s="10">
        <f t="shared" si="48"/>
        <v>0</v>
      </c>
      <c r="V160" s="10">
        <f t="shared" si="42"/>
        <v>64000</v>
      </c>
      <c r="W160" s="10">
        <f t="shared" si="43"/>
        <v>0</v>
      </c>
      <c r="X160" s="10">
        <f t="shared" si="44"/>
        <v>0</v>
      </c>
    </row>
    <row r="161" spans="1:24" s="9" customFormat="1" ht="13.5" customHeight="1" x14ac:dyDescent="0.2">
      <c r="A161" s="64">
        <f t="shared" si="45"/>
        <v>157</v>
      </c>
      <c r="B161" s="65" t="s">
        <v>1888</v>
      </c>
      <c r="C161" s="66" t="s">
        <v>2038</v>
      </c>
      <c r="D161" s="175">
        <v>2309090</v>
      </c>
      <c r="E161" s="175"/>
      <c r="F161" s="67">
        <f t="shared" si="36"/>
        <v>2309090</v>
      </c>
      <c r="G161" s="67">
        <v>2308090</v>
      </c>
      <c r="H161" s="67">
        <f t="shared" si="46"/>
        <v>1000</v>
      </c>
      <c r="I161" s="68">
        <v>5</v>
      </c>
      <c r="J161" s="68">
        <v>0.2</v>
      </c>
      <c r="K161" s="68">
        <v>0</v>
      </c>
      <c r="L161" s="110"/>
      <c r="M161" s="67">
        <f t="shared" si="47"/>
        <v>2308090</v>
      </c>
      <c r="N161" s="110">
        <f t="shared" si="38"/>
        <v>1000</v>
      </c>
      <c r="O161" s="68" t="s">
        <v>2023</v>
      </c>
      <c r="P161" s="555">
        <v>2</v>
      </c>
      <c r="Q161" s="592"/>
      <c r="R161" s="23">
        <f t="shared" si="49"/>
        <v>200</v>
      </c>
      <c r="S161" s="10">
        <f t="shared" si="40"/>
        <v>115454.5</v>
      </c>
      <c r="T161" s="10">
        <f t="shared" si="41"/>
        <v>-114454.5</v>
      </c>
      <c r="U161" s="10">
        <f t="shared" si="48"/>
        <v>0</v>
      </c>
      <c r="V161" s="10">
        <f t="shared" si="42"/>
        <v>461818</v>
      </c>
      <c r="W161" s="10">
        <f t="shared" si="43"/>
        <v>0</v>
      </c>
      <c r="X161" s="10">
        <f t="shared" si="44"/>
        <v>0</v>
      </c>
    </row>
    <row r="162" spans="1:24" s="9" customFormat="1" ht="13.5" customHeight="1" x14ac:dyDescent="0.2">
      <c r="A162" s="64">
        <f t="shared" si="45"/>
        <v>158</v>
      </c>
      <c r="B162" s="65" t="s">
        <v>2039</v>
      </c>
      <c r="C162" s="66" t="s">
        <v>2040</v>
      </c>
      <c r="D162" s="175">
        <v>250000</v>
      </c>
      <c r="E162" s="175"/>
      <c r="F162" s="67">
        <f t="shared" si="36"/>
        <v>250000</v>
      </c>
      <c r="G162" s="67">
        <v>249000</v>
      </c>
      <c r="H162" s="67">
        <f t="shared" si="46"/>
        <v>1000</v>
      </c>
      <c r="I162" s="68">
        <v>5</v>
      </c>
      <c r="J162" s="68">
        <v>0.2</v>
      </c>
      <c r="K162" s="68">
        <v>0</v>
      </c>
      <c r="L162" s="110"/>
      <c r="M162" s="67">
        <f t="shared" si="47"/>
        <v>249000</v>
      </c>
      <c r="N162" s="110">
        <f t="shared" si="38"/>
        <v>1000</v>
      </c>
      <c r="O162" s="68" t="s">
        <v>1932</v>
      </c>
      <c r="P162" s="555">
        <v>1</v>
      </c>
      <c r="Q162" s="610" t="s">
        <v>2041</v>
      </c>
      <c r="R162" s="23">
        <f t="shared" si="49"/>
        <v>200</v>
      </c>
      <c r="S162" s="10">
        <f t="shared" si="40"/>
        <v>12500</v>
      </c>
      <c r="T162" s="10">
        <f t="shared" si="41"/>
        <v>-11500</v>
      </c>
      <c r="U162" s="10">
        <f t="shared" si="48"/>
        <v>0</v>
      </c>
      <c r="V162" s="10">
        <f t="shared" si="42"/>
        <v>50000</v>
      </c>
      <c r="W162" s="10">
        <f t="shared" si="43"/>
        <v>0</v>
      </c>
      <c r="X162" s="10">
        <f t="shared" si="44"/>
        <v>0</v>
      </c>
    </row>
    <row r="163" spans="1:24" s="9" customFormat="1" ht="13.5" customHeight="1" x14ac:dyDescent="0.2">
      <c r="A163" s="64">
        <f t="shared" si="45"/>
        <v>159</v>
      </c>
      <c r="B163" s="65" t="s">
        <v>2042</v>
      </c>
      <c r="C163" s="66" t="s">
        <v>2040</v>
      </c>
      <c r="D163" s="175">
        <v>350000</v>
      </c>
      <c r="E163" s="175"/>
      <c r="F163" s="67">
        <f t="shared" si="36"/>
        <v>350000</v>
      </c>
      <c r="G163" s="67">
        <v>349000</v>
      </c>
      <c r="H163" s="67">
        <f t="shared" si="46"/>
        <v>1000</v>
      </c>
      <c r="I163" s="68">
        <v>5</v>
      </c>
      <c r="J163" s="68">
        <v>0.2</v>
      </c>
      <c r="K163" s="68">
        <v>0</v>
      </c>
      <c r="L163" s="110"/>
      <c r="M163" s="67">
        <f t="shared" si="47"/>
        <v>349000</v>
      </c>
      <c r="N163" s="110">
        <f t="shared" si="38"/>
        <v>1000</v>
      </c>
      <c r="O163" s="68" t="s">
        <v>1932</v>
      </c>
      <c r="P163" s="555">
        <v>1</v>
      </c>
      <c r="Q163" s="610" t="s">
        <v>2041</v>
      </c>
      <c r="R163" s="23">
        <f t="shared" si="49"/>
        <v>200</v>
      </c>
      <c r="S163" s="10">
        <f t="shared" si="40"/>
        <v>17500</v>
      </c>
      <c r="T163" s="10">
        <f t="shared" si="41"/>
        <v>-16500</v>
      </c>
      <c r="U163" s="10">
        <f t="shared" si="48"/>
        <v>0</v>
      </c>
      <c r="V163" s="10">
        <f t="shared" si="42"/>
        <v>70000</v>
      </c>
      <c r="W163" s="10">
        <f t="shared" si="43"/>
        <v>0</v>
      </c>
      <c r="X163" s="10">
        <f t="shared" si="44"/>
        <v>0</v>
      </c>
    </row>
    <row r="164" spans="1:24" s="9" customFormat="1" ht="13.5" customHeight="1" x14ac:dyDescent="0.2">
      <c r="A164" s="64">
        <f t="shared" si="45"/>
        <v>160</v>
      </c>
      <c r="B164" s="65" t="s">
        <v>1873</v>
      </c>
      <c r="C164" s="66" t="s">
        <v>2043</v>
      </c>
      <c r="D164" s="175">
        <v>90000</v>
      </c>
      <c r="E164" s="175"/>
      <c r="F164" s="67">
        <f t="shared" si="36"/>
        <v>90000</v>
      </c>
      <c r="G164" s="67">
        <v>89000</v>
      </c>
      <c r="H164" s="67">
        <f t="shared" si="46"/>
        <v>1000</v>
      </c>
      <c r="I164" s="68">
        <v>5</v>
      </c>
      <c r="J164" s="68">
        <v>0.2</v>
      </c>
      <c r="K164" s="68">
        <v>0</v>
      </c>
      <c r="L164" s="110"/>
      <c r="M164" s="67">
        <f t="shared" si="47"/>
        <v>89000</v>
      </c>
      <c r="N164" s="110">
        <f t="shared" si="38"/>
        <v>1000</v>
      </c>
      <c r="O164" s="68" t="s">
        <v>1932</v>
      </c>
      <c r="P164" s="555">
        <v>2</v>
      </c>
      <c r="Q164" s="592"/>
      <c r="R164" s="23">
        <f t="shared" si="49"/>
        <v>200</v>
      </c>
      <c r="S164" s="10">
        <f t="shared" si="40"/>
        <v>4500</v>
      </c>
      <c r="T164" s="10">
        <f t="shared" si="41"/>
        <v>-3500</v>
      </c>
      <c r="U164" s="10">
        <f t="shared" si="48"/>
        <v>0</v>
      </c>
      <c r="V164" s="10">
        <f t="shared" si="42"/>
        <v>18000</v>
      </c>
      <c r="W164" s="10">
        <f t="shared" si="43"/>
        <v>0</v>
      </c>
      <c r="X164" s="10">
        <f t="shared" si="44"/>
        <v>0</v>
      </c>
    </row>
    <row r="165" spans="1:24" s="9" customFormat="1" ht="13.5" customHeight="1" x14ac:dyDescent="0.2">
      <c r="A165" s="64">
        <f t="shared" si="45"/>
        <v>161</v>
      </c>
      <c r="B165" s="65" t="s">
        <v>1855</v>
      </c>
      <c r="C165" s="66" t="s">
        <v>2043</v>
      </c>
      <c r="D165" s="175">
        <v>100000</v>
      </c>
      <c r="E165" s="175"/>
      <c r="F165" s="67">
        <f t="shared" si="36"/>
        <v>100000</v>
      </c>
      <c r="G165" s="67">
        <v>99000</v>
      </c>
      <c r="H165" s="67">
        <f t="shared" si="46"/>
        <v>1000</v>
      </c>
      <c r="I165" s="68">
        <v>5</v>
      </c>
      <c r="J165" s="68">
        <v>0.2</v>
      </c>
      <c r="K165" s="68">
        <v>0</v>
      </c>
      <c r="L165" s="110"/>
      <c r="M165" s="67">
        <f t="shared" si="47"/>
        <v>99000</v>
      </c>
      <c r="N165" s="110">
        <f t="shared" si="38"/>
        <v>1000</v>
      </c>
      <c r="O165" s="68" t="s">
        <v>1932</v>
      </c>
      <c r="P165" s="555">
        <v>2</v>
      </c>
      <c r="Q165" s="592"/>
      <c r="R165" s="23">
        <f t="shared" si="49"/>
        <v>200</v>
      </c>
      <c r="S165" s="10">
        <f t="shared" si="40"/>
        <v>5000</v>
      </c>
      <c r="T165" s="10">
        <f t="shared" si="41"/>
        <v>-4000</v>
      </c>
      <c r="U165" s="10">
        <f t="shared" si="48"/>
        <v>0</v>
      </c>
      <c r="V165" s="10">
        <f t="shared" si="42"/>
        <v>20000</v>
      </c>
      <c r="W165" s="10">
        <f t="shared" si="43"/>
        <v>0</v>
      </c>
      <c r="X165" s="10">
        <f t="shared" si="44"/>
        <v>0</v>
      </c>
    </row>
    <row r="166" spans="1:24" s="9" customFormat="1" ht="13.5" customHeight="1" x14ac:dyDescent="0.2">
      <c r="A166" s="64">
        <f t="shared" si="45"/>
        <v>162</v>
      </c>
      <c r="B166" s="65" t="s">
        <v>1877</v>
      </c>
      <c r="C166" s="66" t="s">
        <v>2043</v>
      </c>
      <c r="D166" s="175">
        <v>160000</v>
      </c>
      <c r="E166" s="175"/>
      <c r="F166" s="67">
        <f t="shared" si="36"/>
        <v>160000</v>
      </c>
      <c r="G166" s="67">
        <v>159000</v>
      </c>
      <c r="H166" s="67">
        <f t="shared" si="46"/>
        <v>1000</v>
      </c>
      <c r="I166" s="68">
        <v>5</v>
      </c>
      <c r="J166" s="68">
        <v>0.2</v>
      </c>
      <c r="K166" s="68">
        <v>0</v>
      </c>
      <c r="L166" s="110"/>
      <c r="M166" s="67">
        <f t="shared" si="47"/>
        <v>159000</v>
      </c>
      <c r="N166" s="110">
        <f t="shared" si="38"/>
        <v>1000</v>
      </c>
      <c r="O166" s="68" t="s">
        <v>1932</v>
      </c>
      <c r="P166" s="555">
        <v>2</v>
      </c>
      <c r="Q166" s="592"/>
      <c r="R166" s="23">
        <f t="shared" si="49"/>
        <v>200</v>
      </c>
      <c r="S166" s="10">
        <f t="shared" si="40"/>
        <v>8000</v>
      </c>
      <c r="T166" s="10">
        <f t="shared" si="41"/>
        <v>-7000</v>
      </c>
      <c r="U166" s="10">
        <f t="shared" si="48"/>
        <v>0</v>
      </c>
      <c r="V166" s="10">
        <f t="shared" si="42"/>
        <v>32000</v>
      </c>
      <c r="W166" s="10">
        <f t="shared" si="43"/>
        <v>0</v>
      </c>
      <c r="X166" s="10">
        <f t="shared" si="44"/>
        <v>0</v>
      </c>
    </row>
    <row r="167" spans="1:24" s="9" customFormat="1" ht="13.5" customHeight="1" x14ac:dyDescent="0.2">
      <c r="A167" s="64">
        <f t="shared" si="45"/>
        <v>163</v>
      </c>
      <c r="B167" s="65" t="s">
        <v>2044</v>
      </c>
      <c r="C167" s="66" t="s">
        <v>2045</v>
      </c>
      <c r="D167" s="175">
        <v>350000</v>
      </c>
      <c r="E167" s="175"/>
      <c r="F167" s="67">
        <f t="shared" si="36"/>
        <v>350000</v>
      </c>
      <c r="G167" s="67">
        <v>349000</v>
      </c>
      <c r="H167" s="67">
        <f t="shared" si="46"/>
        <v>1000</v>
      </c>
      <c r="I167" s="68">
        <v>5</v>
      </c>
      <c r="J167" s="68">
        <v>0.2</v>
      </c>
      <c r="K167" s="68">
        <v>0</v>
      </c>
      <c r="L167" s="110"/>
      <c r="M167" s="67">
        <f t="shared" si="47"/>
        <v>349000</v>
      </c>
      <c r="N167" s="110">
        <f t="shared" si="38"/>
        <v>1000</v>
      </c>
      <c r="O167" s="68" t="s">
        <v>2010</v>
      </c>
      <c r="P167" s="555">
        <v>5</v>
      </c>
      <c r="Q167" s="592"/>
      <c r="R167" s="23">
        <f t="shared" si="49"/>
        <v>200</v>
      </c>
      <c r="S167" s="10">
        <f t="shared" si="40"/>
        <v>17500</v>
      </c>
      <c r="T167" s="10">
        <f t="shared" si="41"/>
        <v>-16500</v>
      </c>
      <c r="U167" s="10">
        <f t="shared" si="48"/>
        <v>0</v>
      </c>
      <c r="V167" s="10">
        <f t="shared" si="42"/>
        <v>70000</v>
      </c>
      <c r="W167" s="10">
        <f t="shared" si="43"/>
        <v>0</v>
      </c>
      <c r="X167" s="10">
        <f t="shared" si="44"/>
        <v>0</v>
      </c>
    </row>
    <row r="168" spans="1:24" s="9" customFormat="1" ht="13.5" customHeight="1" x14ac:dyDescent="0.2">
      <c r="A168" s="64">
        <f t="shared" si="45"/>
        <v>164</v>
      </c>
      <c r="B168" s="65" t="s">
        <v>2046</v>
      </c>
      <c r="C168" s="66" t="s">
        <v>2045</v>
      </c>
      <c r="D168" s="175">
        <v>400000</v>
      </c>
      <c r="E168" s="175"/>
      <c r="F168" s="67">
        <f t="shared" si="36"/>
        <v>400000</v>
      </c>
      <c r="G168" s="67">
        <v>399000</v>
      </c>
      <c r="H168" s="67">
        <f t="shared" si="46"/>
        <v>1000</v>
      </c>
      <c r="I168" s="68">
        <v>5</v>
      </c>
      <c r="J168" s="68">
        <v>0.2</v>
      </c>
      <c r="K168" s="68">
        <v>0</v>
      </c>
      <c r="L168" s="110"/>
      <c r="M168" s="67">
        <f t="shared" si="47"/>
        <v>399000</v>
      </c>
      <c r="N168" s="110">
        <f t="shared" si="38"/>
        <v>1000</v>
      </c>
      <c r="O168" s="68" t="s">
        <v>2010</v>
      </c>
      <c r="P168" s="555">
        <v>5</v>
      </c>
      <c r="Q168" s="592"/>
      <c r="R168" s="23">
        <f t="shared" si="49"/>
        <v>200</v>
      </c>
      <c r="S168" s="10">
        <f t="shared" si="40"/>
        <v>20000</v>
      </c>
      <c r="T168" s="10">
        <f t="shared" si="41"/>
        <v>-19000</v>
      </c>
      <c r="U168" s="10">
        <f t="shared" si="48"/>
        <v>0</v>
      </c>
      <c r="V168" s="10">
        <f t="shared" si="42"/>
        <v>80000</v>
      </c>
      <c r="W168" s="10">
        <f t="shared" si="43"/>
        <v>0</v>
      </c>
      <c r="X168" s="10">
        <f t="shared" si="44"/>
        <v>0</v>
      </c>
    </row>
    <row r="169" spans="1:24" s="9" customFormat="1" ht="13.5" customHeight="1" x14ac:dyDescent="0.2">
      <c r="A169" s="64">
        <f t="shared" si="45"/>
        <v>165</v>
      </c>
      <c r="B169" s="65" t="s">
        <v>2047</v>
      </c>
      <c r="C169" s="66" t="s">
        <v>2045</v>
      </c>
      <c r="D169" s="175">
        <v>150000</v>
      </c>
      <c r="E169" s="175"/>
      <c r="F169" s="67">
        <f t="shared" si="36"/>
        <v>150000</v>
      </c>
      <c r="G169" s="67">
        <v>149000</v>
      </c>
      <c r="H169" s="67">
        <f t="shared" si="46"/>
        <v>1000</v>
      </c>
      <c r="I169" s="68">
        <v>5</v>
      </c>
      <c r="J169" s="68">
        <v>0.2</v>
      </c>
      <c r="K169" s="68">
        <v>0</v>
      </c>
      <c r="L169" s="110"/>
      <c r="M169" s="67">
        <f t="shared" si="47"/>
        <v>149000</v>
      </c>
      <c r="N169" s="110">
        <f t="shared" si="38"/>
        <v>1000</v>
      </c>
      <c r="O169" s="68" t="s">
        <v>2010</v>
      </c>
      <c r="P169" s="555">
        <v>6</v>
      </c>
      <c r="Q169" s="592"/>
      <c r="R169" s="23">
        <f t="shared" si="49"/>
        <v>200</v>
      </c>
      <c r="S169" s="10">
        <f t="shared" si="40"/>
        <v>7500</v>
      </c>
      <c r="T169" s="10">
        <f t="shared" si="41"/>
        <v>-6500</v>
      </c>
      <c r="U169" s="10">
        <f t="shared" si="48"/>
        <v>0</v>
      </c>
      <c r="V169" s="10">
        <f t="shared" si="42"/>
        <v>30000</v>
      </c>
      <c r="W169" s="10">
        <f t="shared" si="43"/>
        <v>0</v>
      </c>
      <c r="X169" s="10">
        <f t="shared" si="44"/>
        <v>0</v>
      </c>
    </row>
    <row r="170" spans="1:24" s="9" customFormat="1" ht="13.5" customHeight="1" x14ac:dyDescent="0.2">
      <c r="A170" s="64">
        <f t="shared" si="45"/>
        <v>166</v>
      </c>
      <c r="B170" s="65" t="s">
        <v>1876</v>
      </c>
      <c r="C170" s="66" t="s">
        <v>2045</v>
      </c>
      <c r="D170" s="175">
        <v>340910</v>
      </c>
      <c r="E170" s="175"/>
      <c r="F170" s="67">
        <f t="shared" si="36"/>
        <v>340910</v>
      </c>
      <c r="G170" s="67">
        <v>339910</v>
      </c>
      <c r="H170" s="67">
        <f t="shared" si="46"/>
        <v>1000</v>
      </c>
      <c r="I170" s="68">
        <v>5</v>
      </c>
      <c r="J170" s="68">
        <v>0.2</v>
      </c>
      <c r="K170" s="68">
        <v>0</v>
      </c>
      <c r="L170" s="110"/>
      <c r="M170" s="67">
        <f t="shared" si="47"/>
        <v>339910</v>
      </c>
      <c r="N170" s="110">
        <f t="shared" si="38"/>
        <v>1000</v>
      </c>
      <c r="O170" s="68" t="s">
        <v>2048</v>
      </c>
      <c r="P170" s="555">
        <v>1</v>
      </c>
      <c r="Q170" s="610" t="s">
        <v>2041</v>
      </c>
      <c r="R170" s="23">
        <f t="shared" si="49"/>
        <v>200</v>
      </c>
      <c r="S170" s="10">
        <f t="shared" si="40"/>
        <v>17045.5</v>
      </c>
      <c r="T170" s="10">
        <f t="shared" si="41"/>
        <v>-16045.5</v>
      </c>
      <c r="U170" s="10">
        <f t="shared" si="48"/>
        <v>0</v>
      </c>
      <c r="V170" s="10">
        <f t="shared" si="42"/>
        <v>68182</v>
      </c>
      <c r="W170" s="10">
        <f t="shared" si="43"/>
        <v>0</v>
      </c>
      <c r="X170" s="10">
        <f t="shared" si="44"/>
        <v>0</v>
      </c>
    </row>
    <row r="171" spans="1:24" s="9" customFormat="1" ht="13.5" customHeight="1" x14ac:dyDescent="0.2">
      <c r="A171" s="64">
        <f t="shared" si="45"/>
        <v>167</v>
      </c>
      <c r="B171" s="65" t="s">
        <v>1998</v>
      </c>
      <c r="C171" s="66" t="s">
        <v>2045</v>
      </c>
      <c r="D171" s="175">
        <v>318182</v>
      </c>
      <c r="E171" s="175"/>
      <c r="F171" s="67">
        <f t="shared" si="36"/>
        <v>318182</v>
      </c>
      <c r="G171" s="67">
        <v>317182</v>
      </c>
      <c r="H171" s="67">
        <f t="shared" si="46"/>
        <v>1000</v>
      </c>
      <c r="I171" s="68">
        <v>5</v>
      </c>
      <c r="J171" s="68">
        <v>0.2</v>
      </c>
      <c r="K171" s="68">
        <v>0</v>
      </c>
      <c r="L171" s="110"/>
      <c r="M171" s="67">
        <f t="shared" si="47"/>
        <v>317182</v>
      </c>
      <c r="N171" s="110">
        <f t="shared" si="38"/>
        <v>1000</v>
      </c>
      <c r="O171" s="68" t="s">
        <v>2048</v>
      </c>
      <c r="P171" s="555">
        <v>1</v>
      </c>
      <c r="Q171" s="610" t="s">
        <v>2041</v>
      </c>
      <c r="R171" s="23">
        <f t="shared" si="49"/>
        <v>200</v>
      </c>
      <c r="S171" s="10">
        <f t="shared" si="40"/>
        <v>15909.1</v>
      </c>
      <c r="T171" s="10">
        <f t="shared" si="41"/>
        <v>-14909.1</v>
      </c>
      <c r="U171" s="10">
        <f t="shared" si="48"/>
        <v>0</v>
      </c>
      <c r="V171" s="10">
        <f t="shared" si="42"/>
        <v>63636.4</v>
      </c>
      <c r="W171" s="10">
        <f t="shared" si="43"/>
        <v>0</v>
      </c>
      <c r="X171" s="10">
        <f t="shared" si="44"/>
        <v>0</v>
      </c>
    </row>
    <row r="172" spans="1:24" s="9" customFormat="1" ht="13.5" customHeight="1" x14ac:dyDescent="0.2">
      <c r="A172" s="64">
        <f t="shared" si="45"/>
        <v>168</v>
      </c>
      <c r="B172" s="65" t="s">
        <v>2049</v>
      </c>
      <c r="C172" s="66" t="s">
        <v>2045</v>
      </c>
      <c r="D172" s="175">
        <v>322728</v>
      </c>
      <c r="E172" s="175"/>
      <c r="F172" s="67">
        <f t="shared" si="36"/>
        <v>322728</v>
      </c>
      <c r="G172" s="67">
        <v>321728</v>
      </c>
      <c r="H172" s="67">
        <f t="shared" si="46"/>
        <v>1000</v>
      </c>
      <c r="I172" s="68">
        <v>5</v>
      </c>
      <c r="J172" s="68">
        <v>0.2</v>
      </c>
      <c r="K172" s="68">
        <v>0</v>
      </c>
      <c r="L172" s="110"/>
      <c r="M172" s="67">
        <f t="shared" si="47"/>
        <v>321728</v>
      </c>
      <c r="N172" s="110">
        <f t="shared" si="38"/>
        <v>1000</v>
      </c>
      <c r="O172" s="68" t="s">
        <v>2048</v>
      </c>
      <c r="P172" s="555">
        <v>1</v>
      </c>
      <c r="Q172" s="610" t="s">
        <v>2041</v>
      </c>
      <c r="R172" s="23">
        <f t="shared" si="49"/>
        <v>200</v>
      </c>
      <c r="S172" s="10">
        <f t="shared" si="40"/>
        <v>16136.400000000001</v>
      </c>
      <c r="T172" s="10">
        <f t="shared" si="41"/>
        <v>-15136.400000000001</v>
      </c>
      <c r="U172" s="10">
        <f t="shared" si="48"/>
        <v>0</v>
      </c>
      <c r="V172" s="10">
        <f t="shared" si="42"/>
        <v>64545.599999999999</v>
      </c>
      <c r="W172" s="10">
        <f t="shared" si="43"/>
        <v>0</v>
      </c>
      <c r="X172" s="10">
        <f t="shared" si="44"/>
        <v>0</v>
      </c>
    </row>
    <row r="173" spans="1:24" s="9" customFormat="1" ht="13.5" customHeight="1" x14ac:dyDescent="0.2">
      <c r="A173" s="64">
        <f t="shared" si="45"/>
        <v>169</v>
      </c>
      <c r="B173" s="65" t="s">
        <v>2050</v>
      </c>
      <c r="C173" s="66" t="s">
        <v>2045</v>
      </c>
      <c r="D173" s="175">
        <v>209091</v>
      </c>
      <c r="E173" s="175"/>
      <c r="F173" s="67">
        <f t="shared" si="36"/>
        <v>209091</v>
      </c>
      <c r="G173" s="67">
        <v>208091</v>
      </c>
      <c r="H173" s="67">
        <f t="shared" si="46"/>
        <v>1000</v>
      </c>
      <c r="I173" s="68">
        <v>5</v>
      </c>
      <c r="J173" s="68">
        <v>0.2</v>
      </c>
      <c r="K173" s="68">
        <v>0</v>
      </c>
      <c r="L173" s="110"/>
      <c r="M173" s="67">
        <f t="shared" si="47"/>
        <v>208091</v>
      </c>
      <c r="N173" s="110">
        <f t="shared" si="38"/>
        <v>1000</v>
      </c>
      <c r="O173" s="68" t="s">
        <v>2048</v>
      </c>
      <c r="P173" s="555">
        <v>1</v>
      </c>
      <c r="Q173" s="610" t="s">
        <v>2041</v>
      </c>
      <c r="R173" s="23">
        <f t="shared" si="49"/>
        <v>200</v>
      </c>
      <c r="S173" s="10">
        <f t="shared" si="40"/>
        <v>10454.550000000001</v>
      </c>
      <c r="T173" s="10">
        <f t="shared" si="41"/>
        <v>-9454.5500000000011</v>
      </c>
      <c r="U173" s="10">
        <f t="shared" si="48"/>
        <v>0</v>
      </c>
      <c r="V173" s="10">
        <f t="shared" si="42"/>
        <v>41818.199999999997</v>
      </c>
      <c r="W173" s="10">
        <f t="shared" si="43"/>
        <v>0</v>
      </c>
      <c r="X173" s="10">
        <f t="shared" si="44"/>
        <v>0</v>
      </c>
    </row>
    <row r="174" spans="1:24" s="9" customFormat="1" ht="13.5" customHeight="1" x14ac:dyDescent="0.2">
      <c r="A174" s="64">
        <f t="shared" si="45"/>
        <v>170</v>
      </c>
      <c r="B174" s="65" t="s">
        <v>1858</v>
      </c>
      <c r="C174" s="66" t="s">
        <v>2045</v>
      </c>
      <c r="D174" s="175">
        <v>1004545</v>
      </c>
      <c r="E174" s="175"/>
      <c r="F174" s="67">
        <f t="shared" si="36"/>
        <v>1004545</v>
      </c>
      <c r="G174" s="67">
        <v>1003545</v>
      </c>
      <c r="H174" s="67">
        <f t="shared" si="46"/>
        <v>1000</v>
      </c>
      <c r="I174" s="68">
        <v>5</v>
      </c>
      <c r="J174" s="68">
        <v>0.2</v>
      </c>
      <c r="K174" s="68">
        <v>0</v>
      </c>
      <c r="L174" s="110"/>
      <c r="M174" s="67">
        <f t="shared" si="47"/>
        <v>1003545</v>
      </c>
      <c r="N174" s="110">
        <f t="shared" si="38"/>
        <v>1000</v>
      </c>
      <c r="O174" s="68" t="s">
        <v>2048</v>
      </c>
      <c r="P174" s="555">
        <v>1</v>
      </c>
      <c r="Q174" s="610" t="s">
        <v>2041</v>
      </c>
      <c r="R174" s="23">
        <f t="shared" si="49"/>
        <v>200</v>
      </c>
      <c r="S174" s="10">
        <f t="shared" si="40"/>
        <v>50227.25</v>
      </c>
      <c r="T174" s="10">
        <f t="shared" si="41"/>
        <v>-49227.25</v>
      </c>
      <c r="U174" s="10">
        <f t="shared" si="48"/>
        <v>0</v>
      </c>
      <c r="V174" s="10">
        <f t="shared" si="42"/>
        <v>200909</v>
      </c>
      <c r="W174" s="10">
        <f t="shared" si="43"/>
        <v>0</v>
      </c>
      <c r="X174" s="10">
        <f t="shared" si="44"/>
        <v>0</v>
      </c>
    </row>
    <row r="175" spans="1:24" s="9" customFormat="1" ht="13.5" customHeight="1" x14ac:dyDescent="0.2">
      <c r="A175" s="64">
        <f t="shared" si="45"/>
        <v>171</v>
      </c>
      <c r="B175" s="65" t="s">
        <v>2051</v>
      </c>
      <c r="C175" s="66" t="s">
        <v>2045</v>
      </c>
      <c r="D175" s="175">
        <v>127274</v>
      </c>
      <c r="E175" s="175"/>
      <c r="F175" s="67">
        <f t="shared" si="36"/>
        <v>127274</v>
      </c>
      <c r="G175" s="67">
        <v>126274</v>
      </c>
      <c r="H175" s="67">
        <f t="shared" si="46"/>
        <v>1000</v>
      </c>
      <c r="I175" s="68">
        <v>5</v>
      </c>
      <c r="J175" s="68">
        <v>0.2</v>
      </c>
      <c r="K175" s="68">
        <v>0</v>
      </c>
      <c r="L175" s="110"/>
      <c r="M175" s="67">
        <f t="shared" si="47"/>
        <v>126274</v>
      </c>
      <c r="N175" s="110">
        <f t="shared" si="38"/>
        <v>1000</v>
      </c>
      <c r="O175" s="68" t="s">
        <v>2048</v>
      </c>
      <c r="P175" s="555">
        <v>1</v>
      </c>
      <c r="Q175" s="610" t="s">
        <v>2041</v>
      </c>
      <c r="R175" s="23">
        <f t="shared" si="49"/>
        <v>200</v>
      </c>
      <c r="S175" s="10">
        <f t="shared" si="40"/>
        <v>6363.7000000000007</v>
      </c>
      <c r="T175" s="10">
        <f t="shared" si="41"/>
        <v>-5363.7000000000007</v>
      </c>
      <c r="U175" s="10">
        <f t="shared" si="48"/>
        <v>0</v>
      </c>
      <c r="V175" s="10">
        <f t="shared" si="42"/>
        <v>25454.799999999999</v>
      </c>
      <c r="W175" s="10">
        <f t="shared" si="43"/>
        <v>0</v>
      </c>
      <c r="X175" s="10">
        <f t="shared" si="44"/>
        <v>0</v>
      </c>
    </row>
    <row r="176" spans="1:24" s="9" customFormat="1" ht="13.5" customHeight="1" x14ac:dyDescent="0.2">
      <c r="A176" s="64">
        <f t="shared" si="45"/>
        <v>172</v>
      </c>
      <c r="B176" s="65" t="s">
        <v>2052</v>
      </c>
      <c r="C176" s="66" t="s">
        <v>2045</v>
      </c>
      <c r="D176" s="175">
        <v>40910</v>
      </c>
      <c r="E176" s="175"/>
      <c r="F176" s="67">
        <f t="shared" si="36"/>
        <v>40910</v>
      </c>
      <c r="G176" s="67">
        <v>39910</v>
      </c>
      <c r="H176" s="67">
        <f t="shared" si="46"/>
        <v>1000</v>
      </c>
      <c r="I176" s="68">
        <v>5</v>
      </c>
      <c r="J176" s="68">
        <v>0.2</v>
      </c>
      <c r="K176" s="68">
        <v>0</v>
      </c>
      <c r="L176" s="110"/>
      <c r="M176" s="67">
        <f t="shared" si="47"/>
        <v>39910</v>
      </c>
      <c r="N176" s="110">
        <f t="shared" si="38"/>
        <v>1000</v>
      </c>
      <c r="O176" s="68" t="s">
        <v>2048</v>
      </c>
      <c r="P176" s="555">
        <v>1</v>
      </c>
      <c r="Q176" s="610" t="s">
        <v>2041</v>
      </c>
      <c r="R176" s="23">
        <f t="shared" si="49"/>
        <v>200</v>
      </c>
      <c r="S176" s="10">
        <f t="shared" si="40"/>
        <v>2045.5</v>
      </c>
      <c r="T176" s="10">
        <f t="shared" si="41"/>
        <v>-1045.5</v>
      </c>
      <c r="U176" s="10">
        <f t="shared" si="48"/>
        <v>0</v>
      </c>
      <c r="V176" s="10">
        <f t="shared" si="42"/>
        <v>8182</v>
      </c>
      <c r="W176" s="10">
        <f t="shared" si="43"/>
        <v>0</v>
      </c>
      <c r="X176" s="10">
        <f t="shared" si="44"/>
        <v>0</v>
      </c>
    </row>
    <row r="177" spans="1:24" s="9" customFormat="1" ht="13.5" customHeight="1" x14ac:dyDescent="0.2">
      <c r="A177" s="64">
        <f t="shared" si="45"/>
        <v>173</v>
      </c>
      <c r="B177" s="65" t="s">
        <v>1840</v>
      </c>
      <c r="C177" s="66" t="s">
        <v>2053</v>
      </c>
      <c r="D177" s="175">
        <v>2136366</v>
      </c>
      <c r="E177" s="175"/>
      <c r="F177" s="67">
        <f t="shared" si="36"/>
        <v>2136366</v>
      </c>
      <c r="G177" s="67">
        <v>2135366</v>
      </c>
      <c r="H177" s="67">
        <f t="shared" si="46"/>
        <v>1000</v>
      </c>
      <c r="I177" s="68">
        <v>5</v>
      </c>
      <c r="J177" s="68">
        <v>0.2</v>
      </c>
      <c r="K177" s="68">
        <v>0</v>
      </c>
      <c r="L177" s="110"/>
      <c r="M177" s="67">
        <f t="shared" si="47"/>
        <v>2135366</v>
      </c>
      <c r="N177" s="110">
        <f t="shared" si="38"/>
        <v>1000</v>
      </c>
      <c r="O177" s="68" t="s">
        <v>2048</v>
      </c>
      <c r="P177" s="555">
        <v>1</v>
      </c>
      <c r="Q177" s="592"/>
      <c r="R177" s="23">
        <f t="shared" si="49"/>
        <v>200</v>
      </c>
      <c r="S177" s="10">
        <f t="shared" si="40"/>
        <v>106818.3</v>
      </c>
      <c r="T177" s="10">
        <f t="shared" si="41"/>
        <v>-105818.3</v>
      </c>
      <c r="U177" s="10">
        <f t="shared" si="48"/>
        <v>0</v>
      </c>
      <c r="V177" s="10">
        <f t="shared" si="42"/>
        <v>427273.2</v>
      </c>
      <c r="W177" s="10">
        <f t="shared" si="43"/>
        <v>0</v>
      </c>
      <c r="X177" s="10">
        <f t="shared" si="44"/>
        <v>0</v>
      </c>
    </row>
    <row r="178" spans="1:24" s="9" customFormat="1" ht="13.5" customHeight="1" x14ac:dyDescent="0.2">
      <c r="A178" s="64">
        <f t="shared" si="45"/>
        <v>174</v>
      </c>
      <c r="B178" s="65" t="s">
        <v>2054</v>
      </c>
      <c r="C178" s="66" t="s">
        <v>2055</v>
      </c>
      <c r="D178" s="175">
        <v>354000</v>
      </c>
      <c r="E178" s="175"/>
      <c r="F178" s="67">
        <f t="shared" si="36"/>
        <v>354000</v>
      </c>
      <c r="G178" s="67">
        <v>353000</v>
      </c>
      <c r="H178" s="67">
        <f t="shared" si="46"/>
        <v>1000</v>
      </c>
      <c r="I178" s="68">
        <v>5</v>
      </c>
      <c r="J178" s="68">
        <v>0.2</v>
      </c>
      <c r="K178" s="68">
        <v>0</v>
      </c>
      <c r="L178" s="110"/>
      <c r="M178" s="67">
        <f t="shared" si="47"/>
        <v>353000</v>
      </c>
      <c r="N178" s="110">
        <f t="shared" si="38"/>
        <v>1000</v>
      </c>
      <c r="O178" s="68" t="s">
        <v>2010</v>
      </c>
      <c r="P178" s="555">
        <v>1</v>
      </c>
      <c r="Q178" s="592"/>
      <c r="R178" s="23">
        <f t="shared" si="49"/>
        <v>200</v>
      </c>
      <c r="S178" s="10">
        <f t="shared" si="40"/>
        <v>17700</v>
      </c>
      <c r="T178" s="10">
        <f t="shared" si="41"/>
        <v>-16700</v>
      </c>
      <c r="U178" s="10">
        <f t="shared" si="48"/>
        <v>0</v>
      </c>
      <c r="V178" s="10">
        <f t="shared" si="42"/>
        <v>70800</v>
      </c>
      <c r="W178" s="10">
        <f t="shared" si="43"/>
        <v>0</v>
      </c>
      <c r="X178" s="10">
        <f t="shared" si="44"/>
        <v>0</v>
      </c>
    </row>
    <row r="179" spans="1:24" s="9" customFormat="1" ht="13.5" customHeight="1" x14ac:dyDescent="0.2">
      <c r="A179" s="64">
        <f t="shared" si="45"/>
        <v>175</v>
      </c>
      <c r="B179" s="65" t="s">
        <v>2044</v>
      </c>
      <c r="C179" s="66" t="s">
        <v>2055</v>
      </c>
      <c r="D179" s="175">
        <v>70000</v>
      </c>
      <c r="E179" s="175"/>
      <c r="F179" s="67">
        <f t="shared" si="36"/>
        <v>70000</v>
      </c>
      <c r="G179" s="67">
        <v>69000</v>
      </c>
      <c r="H179" s="67">
        <f t="shared" si="46"/>
        <v>1000</v>
      </c>
      <c r="I179" s="68">
        <v>5</v>
      </c>
      <c r="J179" s="68">
        <v>0.2</v>
      </c>
      <c r="K179" s="68">
        <v>0</v>
      </c>
      <c r="L179" s="110"/>
      <c r="M179" s="67">
        <f t="shared" si="47"/>
        <v>69000</v>
      </c>
      <c r="N179" s="110">
        <f t="shared" si="38"/>
        <v>1000</v>
      </c>
      <c r="O179" s="68" t="s">
        <v>2010</v>
      </c>
      <c r="P179" s="555">
        <v>1</v>
      </c>
      <c r="Q179" s="592"/>
      <c r="R179" s="23">
        <f t="shared" si="49"/>
        <v>200</v>
      </c>
      <c r="S179" s="10">
        <f t="shared" si="40"/>
        <v>3500</v>
      </c>
      <c r="T179" s="10">
        <f t="shared" si="41"/>
        <v>-2500</v>
      </c>
      <c r="U179" s="10">
        <f t="shared" si="48"/>
        <v>0</v>
      </c>
      <c r="V179" s="10">
        <f t="shared" si="42"/>
        <v>14000</v>
      </c>
      <c r="W179" s="10">
        <f t="shared" si="43"/>
        <v>0</v>
      </c>
      <c r="X179" s="10">
        <f t="shared" si="44"/>
        <v>0</v>
      </c>
    </row>
    <row r="180" spans="1:24" s="9" customFormat="1" ht="13.5" customHeight="1" x14ac:dyDescent="0.2">
      <c r="A180" s="64">
        <f t="shared" si="45"/>
        <v>176</v>
      </c>
      <c r="B180" s="65" t="s">
        <v>2056</v>
      </c>
      <c r="C180" s="66" t="s">
        <v>2055</v>
      </c>
      <c r="D180" s="175">
        <v>318000</v>
      </c>
      <c r="E180" s="175"/>
      <c r="F180" s="67">
        <f t="shared" si="36"/>
        <v>318000</v>
      </c>
      <c r="G180" s="67">
        <v>317000</v>
      </c>
      <c r="H180" s="67">
        <f t="shared" si="46"/>
        <v>1000</v>
      </c>
      <c r="I180" s="68">
        <v>5</v>
      </c>
      <c r="J180" s="68">
        <v>0.2</v>
      </c>
      <c r="K180" s="68">
        <v>0</v>
      </c>
      <c r="L180" s="110"/>
      <c r="M180" s="67">
        <f t="shared" si="47"/>
        <v>317000</v>
      </c>
      <c r="N180" s="110">
        <f t="shared" si="38"/>
        <v>1000</v>
      </c>
      <c r="O180" s="68" t="s">
        <v>2010</v>
      </c>
      <c r="P180" s="555">
        <v>1</v>
      </c>
      <c r="Q180" s="592"/>
      <c r="R180" s="23">
        <f t="shared" si="49"/>
        <v>200</v>
      </c>
      <c r="S180" s="10">
        <f t="shared" si="40"/>
        <v>15900</v>
      </c>
      <c r="T180" s="10">
        <f t="shared" si="41"/>
        <v>-14900</v>
      </c>
      <c r="U180" s="10">
        <f t="shared" si="48"/>
        <v>0</v>
      </c>
      <c r="V180" s="10">
        <f t="shared" si="42"/>
        <v>63600</v>
      </c>
      <c r="W180" s="10">
        <f t="shared" si="43"/>
        <v>0</v>
      </c>
      <c r="X180" s="10">
        <f t="shared" si="44"/>
        <v>0</v>
      </c>
    </row>
    <row r="181" spans="1:24" s="9" customFormat="1" ht="13.5" customHeight="1" x14ac:dyDescent="0.2">
      <c r="A181" s="64">
        <f t="shared" si="45"/>
        <v>177</v>
      </c>
      <c r="B181" s="65" t="s">
        <v>1888</v>
      </c>
      <c r="C181" s="66" t="s">
        <v>288</v>
      </c>
      <c r="D181" s="175">
        <v>1263639</v>
      </c>
      <c r="E181" s="175"/>
      <c r="F181" s="67">
        <f t="shared" si="36"/>
        <v>1263639</v>
      </c>
      <c r="G181" s="67">
        <v>1262639</v>
      </c>
      <c r="H181" s="67">
        <f t="shared" si="46"/>
        <v>1000</v>
      </c>
      <c r="I181" s="68">
        <v>5</v>
      </c>
      <c r="J181" s="68">
        <v>0.2</v>
      </c>
      <c r="K181" s="68">
        <v>0</v>
      </c>
      <c r="L181" s="110"/>
      <c r="M181" s="67">
        <f t="shared" si="47"/>
        <v>1262639</v>
      </c>
      <c r="N181" s="110">
        <f t="shared" si="38"/>
        <v>1000</v>
      </c>
      <c r="O181" s="68" t="s">
        <v>2048</v>
      </c>
      <c r="P181" s="555">
        <v>1</v>
      </c>
      <c r="Q181" s="592"/>
      <c r="R181" s="23">
        <f t="shared" si="49"/>
        <v>200</v>
      </c>
      <c r="S181" s="10">
        <f t="shared" si="40"/>
        <v>63181.950000000004</v>
      </c>
      <c r="T181" s="10">
        <f t="shared" si="41"/>
        <v>-62181.950000000004</v>
      </c>
      <c r="U181" s="10">
        <f t="shared" si="48"/>
        <v>0</v>
      </c>
      <c r="V181" s="10">
        <f t="shared" si="42"/>
        <v>252727.8</v>
      </c>
      <c r="W181" s="10">
        <f t="shared" si="43"/>
        <v>0</v>
      </c>
      <c r="X181" s="10">
        <f t="shared" si="44"/>
        <v>0</v>
      </c>
    </row>
    <row r="182" spans="1:24" s="9" customFormat="1" ht="13.5" customHeight="1" x14ac:dyDescent="0.2">
      <c r="A182" s="64">
        <f t="shared" si="45"/>
        <v>178</v>
      </c>
      <c r="B182" s="65" t="s">
        <v>1891</v>
      </c>
      <c r="C182" s="66" t="s">
        <v>2057</v>
      </c>
      <c r="D182" s="175">
        <v>272000</v>
      </c>
      <c r="E182" s="175"/>
      <c r="F182" s="67">
        <f t="shared" si="36"/>
        <v>272000</v>
      </c>
      <c r="G182" s="67">
        <v>271000</v>
      </c>
      <c r="H182" s="67">
        <f t="shared" si="46"/>
        <v>1000</v>
      </c>
      <c r="I182" s="68">
        <v>5</v>
      </c>
      <c r="J182" s="68">
        <v>0.2</v>
      </c>
      <c r="K182" s="68">
        <v>0</v>
      </c>
      <c r="L182" s="110"/>
      <c r="M182" s="67">
        <f t="shared" si="47"/>
        <v>271000</v>
      </c>
      <c r="N182" s="110">
        <f t="shared" si="38"/>
        <v>1000</v>
      </c>
      <c r="O182" s="68" t="s">
        <v>1932</v>
      </c>
      <c r="P182" s="555">
        <v>8</v>
      </c>
      <c r="Q182" s="592"/>
      <c r="R182" s="23">
        <f t="shared" si="49"/>
        <v>200</v>
      </c>
      <c r="S182" s="10">
        <f t="shared" si="40"/>
        <v>13600</v>
      </c>
      <c r="T182" s="10">
        <f t="shared" si="41"/>
        <v>-12600</v>
      </c>
      <c r="U182" s="10">
        <f t="shared" si="48"/>
        <v>0</v>
      </c>
      <c r="V182" s="10">
        <f t="shared" si="42"/>
        <v>54400</v>
      </c>
      <c r="W182" s="10">
        <f t="shared" si="43"/>
        <v>0</v>
      </c>
      <c r="X182" s="10">
        <f t="shared" si="44"/>
        <v>0</v>
      </c>
    </row>
    <row r="183" spans="1:24" s="9" customFormat="1" ht="13.5" customHeight="1" x14ac:dyDescent="0.2">
      <c r="A183" s="64">
        <f t="shared" si="45"/>
        <v>179</v>
      </c>
      <c r="B183" s="65" t="s">
        <v>2058</v>
      </c>
      <c r="C183" s="66" t="s">
        <v>2059</v>
      </c>
      <c r="D183" s="175">
        <v>15430000</v>
      </c>
      <c r="E183" s="175"/>
      <c r="F183" s="67">
        <f t="shared" si="36"/>
        <v>15430000</v>
      </c>
      <c r="G183" s="67">
        <v>15429000</v>
      </c>
      <c r="H183" s="67">
        <f t="shared" si="46"/>
        <v>1000</v>
      </c>
      <c r="I183" s="68">
        <v>5</v>
      </c>
      <c r="J183" s="68">
        <v>0.2</v>
      </c>
      <c r="K183" s="68">
        <v>0</v>
      </c>
      <c r="L183" s="110"/>
      <c r="M183" s="67">
        <f t="shared" si="47"/>
        <v>15429000</v>
      </c>
      <c r="N183" s="110">
        <f t="shared" si="38"/>
        <v>1000</v>
      </c>
      <c r="O183" s="68" t="s">
        <v>2060</v>
      </c>
      <c r="P183" s="555">
        <v>1</v>
      </c>
      <c r="Q183" s="592"/>
      <c r="R183" s="23">
        <f t="shared" si="49"/>
        <v>200</v>
      </c>
      <c r="S183" s="10">
        <f t="shared" si="40"/>
        <v>771500</v>
      </c>
      <c r="T183" s="10">
        <f t="shared" si="41"/>
        <v>-770500</v>
      </c>
      <c r="U183" s="10">
        <f t="shared" si="48"/>
        <v>0</v>
      </c>
      <c r="V183" s="10">
        <f t="shared" si="42"/>
        <v>3086000</v>
      </c>
      <c r="W183" s="10">
        <f t="shared" si="43"/>
        <v>0</v>
      </c>
      <c r="X183" s="10">
        <f t="shared" si="44"/>
        <v>0</v>
      </c>
    </row>
    <row r="184" spans="1:24" s="9" customFormat="1" ht="13.5" customHeight="1" x14ac:dyDescent="0.2">
      <c r="A184" s="64">
        <f t="shared" si="45"/>
        <v>180</v>
      </c>
      <c r="B184" s="65" t="s">
        <v>1838</v>
      </c>
      <c r="C184" s="66" t="s">
        <v>2059</v>
      </c>
      <c r="D184" s="175">
        <v>5200000</v>
      </c>
      <c r="E184" s="175"/>
      <c r="F184" s="67">
        <f t="shared" si="36"/>
        <v>5200000</v>
      </c>
      <c r="G184" s="67">
        <v>5199000</v>
      </c>
      <c r="H184" s="67">
        <f t="shared" si="46"/>
        <v>1000</v>
      </c>
      <c r="I184" s="68">
        <v>5</v>
      </c>
      <c r="J184" s="68">
        <v>0.2</v>
      </c>
      <c r="K184" s="68">
        <v>0</v>
      </c>
      <c r="L184" s="110"/>
      <c r="M184" s="67">
        <f t="shared" si="47"/>
        <v>5199000</v>
      </c>
      <c r="N184" s="110">
        <f t="shared" si="38"/>
        <v>1000</v>
      </c>
      <c r="O184" s="68" t="s">
        <v>767</v>
      </c>
      <c r="P184" s="555">
        <v>1</v>
      </c>
      <c r="Q184" s="592"/>
      <c r="R184" s="23">
        <f t="shared" si="49"/>
        <v>200</v>
      </c>
      <c r="S184" s="10">
        <f t="shared" si="40"/>
        <v>260000</v>
      </c>
      <c r="T184" s="10">
        <f t="shared" si="41"/>
        <v>-259000</v>
      </c>
      <c r="U184" s="10">
        <f t="shared" si="48"/>
        <v>0</v>
      </c>
      <c r="V184" s="10">
        <f t="shared" si="42"/>
        <v>1040000</v>
      </c>
      <c r="W184" s="10">
        <f t="shared" si="43"/>
        <v>0</v>
      </c>
      <c r="X184" s="10">
        <f t="shared" si="44"/>
        <v>0</v>
      </c>
    </row>
    <row r="185" spans="1:24" s="9" customFormat="1" ht="13.5" customHeight="1" x14ac:dyDescent="0.2">
      <c r="A185" s="64">
        <f t="shared" si="45"/>
        <v>181</v>
      </c>
      <c r="B185" s="65" t="s">
        <v>1873</v>
      </c>
      <c r="C185" s="66" t="s">
        <v>296</v>
      </c>
      <c r="D185" s="175">
        <v>95000</v>
      </c>
      <c r="E185" s="175"/>
      <c r="F185" s="67">
        <f t="shared" si="36"/>
        <v>95000</v>
      </c>
      <c r="G185" s="67">
        <v>94000</v>
      </c>
      <c r="H185" s="67">
        <f t="shared" si="46"/>
        <v>1000</v>
      </c>
      <c r="I185" s="68">
        <v>5</v>
      </c>
      <c r="J185" s="68">
        <v>0.2</v>
      </c>
      <c r="K185" s="68">
        <v>0</v>
      </c>
      <c r="L185" s="110"/>
      <c r="M185" s="67">
        <f t="shared" si="47"/>
        <v>94000</v>
      </c>
      <c r="N185" s="110">
        <f t="shared" si="38"/>
        <v>1000</v>
      </c>
      <c r="O185" s="68" t="s">
        <v>1932</v>
      </c>
      <c r="P185" s="555">
        <v>1</v>
      </c>
      <c r="Q185" s="592"/>
      <c r="R185" s="23">
        <f t="shared" si="49"/>
        <v>200</v>
      </c>
      <c r="S185" s="10">
        <f t="shared" si="40"/>
        <v>4750</v>
      </c>
      <c r="T185" s="10">
        <f t="shared" si="41"/>
        <v>-3750</v>
      </c>
      <c r="U185" s="10">
        <f t="shared" si="48"/>
        <v>0</v>
      </c>
      <c r="V185" s="10">
        <f t="shared" si="42"/>
        <v>19000</v>
      </c>
      <c r="W185" s="10">
        <f t="shared" si="43"/>
        <v>0</v>
      </c>
      <c r="X185" s="10">
        <f t="shared" si="44"/>
        <v>0</v>
      </c>
    </row>
    <row r="186" spans="1:24" s="9" customFormat="1" ht="13.5" customHeight="1" x14ac:dyDescent="0.2">
      <c r="A186" s="64">
        <f t="shared" si="45"/>
        <v>182</v>
      </c>
      <c r="B186" s="65" t="s">
        <v>1873</v>
      </c>
      <c r="C186" s="66" t="s">
        <v>296</v>
      </c>
      <c r="D186" s="175">
        <v>90000</v>
      </c>
      <c r="E186" s="175"/>
      <c r="F186" s="67">
        <f t="shared" ref="F186:F249" si="50">+D186+E186</f>
        <v>90000</v>
      </c>
      <c r="G186" s="67">
        <v>89000</v>
      </c>
      <c r="H186" s="67">
        <f t="shared" si="46"/>
        <v>1000</v>
      </c>
      <c r="I186" s="68">
        <v>5</v>
      </c>
      <c r="J186" s="68">
        <v>0.2</v>
      </c>
      <c r="K186" s="68">
        <v>0</v>
      </c>
      <c r="L186" s="110"/>
      <c r="M186" s="67">
        <f t="shared" si="47"/>
        <v>89000</v>
      </c>
      <c r="N186" s="110">
        <f t="shared" ref="N186:N249" si="51">+F186-M186</f>
        <v>1000</v>
      </c>
      <c r="O186" s="68" t="s">
        <v>1932</v>
      </c>
      <c r="P186" s="555">
        <v>2</v>
      </c>
      <c r="Q186" s="592"/>
      <c r="R186" s="23">
        <f t="shared" si="49"/>
        <v>200</v>
      </c>
      <c r="S186" s="10">
        <f t="shared" si="40"/>
        <v>4500</v>
      </c>
      <c r="T186" s="10">
        <f t="shared" si="41"/>
        <v>-3500</v>
      </c>
      <c r="U186" s="10">
        <f t="shared" si="48"/>
        <v>0</v>
      </c>
      <c r="V186" s="10">
        <f t="shared" si="42"/>
        <v>18000</v>
      </c>
      <c r="W186" s="10">
        <f t="shared" si="43"/>
        <v>0</v>
      </c>
      <c r="X186" s="10">
        <f t="shared" si="44"/>
        <v>0</v>
      </c>
    </row>
    <row r="187" spans="1:24" s="9" customFormat="1" ht="13.5" customHeight="1" x14ac:dyDescent="0.2">
      <c r="A187" s="64">
        <f t="shared" si="45"/>
        <v>183</v>
      </c>
      <c r="B187" s="65" t="s">
        <v>1855</v>
      </c>
      <c r="C187" s="66" t="s">
        <v>296</v>
      </c>
      <c r="D187" s="175">
        <v>100000</v>
      </c>
      <c r="E187" s="175"/>
      <c r="F187" s="67">
        <f t="shared" si="50"/>
        <v>100000</v>
      </c>
      <c r="G187" s="67">
        <v>99000</v>
      </c>
      <c r="H187" s="67">
        <f t="shared" si="46"/>
        <v>1000</v>
      </c>
      <c r="I187" s="68">
        <v>5</v>
      </c>
      <c r="J187" s="68">
        <v>0.2</v>
      </c>
      <c r="K187" s="68">
        <v>0</v>
      </c>
      <c r="L187" s="110"/>
      <c r="M187" s="67">
        <f t="shared" si="47"/>
        <v>99000</v>
      </c>
      <c r="N187" s="110">
        <f t="shared" si="51"/>
        <v>1000</v>
      </c>
      <c r="O187" s="68" t="s">
        <v>1932</v>
      </c>
      <c r="P187" s="555">
        <v>2</v>
      </c>
      <c r="Q187" s="592"/>
      <c r="R187" s="23">
        <f t="shared" si="49"/>
        <v>200</v>
      </c>
      <c r="S187" s="10">
        <f t="shared" si="40"/>
        <v>5000</v>
      </c>
      <c r="T187" s="10">
        <f t="shared" si="41"/>
        <v>-4000</v>
      </c>
      <c r="U187" s="10">
        <f t="shared" si="48"/>
        <v>0</v>
      </c>
      <c r="V187" s="10">
        <f t="shared" si="42"/>
        <v>20000</v>
      </c>
      <c r="W187" s="10">
        <f t="shared" si="43"/>
        <v>0</v>
      </c>
      <c r="X187" s="10">
        <f t="shared" si="44"/>
        <v>0</v>
      </c>
    </row>
    <row r="188" spans="1:24" s="9" customFormat="1" ht="13.5" customHeight="1" x14ac:dyDescent="0.2">
      <c r="A188" s="64">
        <f t="shared" si="45"/>
        <v>184</v>
      </c>
      <c r="B188" s="65" t="s">
        <v>1877</v>
      </c>
      <c r="C188" s="66" t="s">
        <v>296</v>
      </c>
      <c r="D188" s="175">
        <v>160000</v>
      </c>
      <c r="E188" s="175"/>
      <c r="F188" s="67">
        <f t="shared" si="50"/>
        <v>160000</v>
      </c>
      <c r="G188" s="67">
        <v>159000</v>
      </c>
      <c r="H188" s="67">
        <f t="shared" si="46"/>
        <v>1000</v>
      </c>
      <c r="I188" s="68">
        <v>5</v>
      </c>
      <c r="J188" s="68">
        <v>0.2</v>
      </c>
      <c r="K188" s="68">
        <v>0</v>
      </c>
      <c r="L188" s="110"/>
      <c r="M188" s="67">
        <f t="shared" si="47"/>
        <v>159000</v>
      </c>
      <c r="N188" s="110">
        <f t="shared" si="51"/>
        <v>1000</v>
      </c>
      <c r="O188" s="68" t="s">
        <v>1932</v>
      </c>
      <c r="P188" s="555">
        <v>2</v>
      </c>
      <c r="Q188" s="592"/>
      <c r="R188" s="23">
        <f t="shared" si="49"/>
        <v>200</v>
      </c>
      <c r="S188" s="10">
        <f t="shared" si="40"/>
        <v>8000</v>
      </c>
      <c r="T188" s="10">
        <f t="shared" si="41"/>
        <v>-7000</v>
      </c>
      <c r="U188" s="10">
        <f t="shared" si="48"/>
        <v>0</v>
      </c>
      <c r="V188" s="10">
        <f t="shared" si="42"/>
        <v>32000</v>
      </c>
      <c r="W188" s="10">
        <f t="shared" si="43"/>
        <v>0</v>
      </c>
      <c r="X188" s="10">
        <f t="shared" si="44"/>
        <v>0</v>
      </c>
    </row>
    <row r="189" spans="1:24" s="9" customFormat="1" ht="13.5" customHeight="1" x14ac:dyDescent="0.2">
      <c r="A189" s="64">
        <f t="shared" si="45"/>
        <v>185</v>
      </c>
      <c r="B189" s="65" t="s">
        <v>2061</v>
      </c>
      <c r="C189" s="66" t="s">
        <v>296</v>
      </c>
      <c r="D189" s="175">
        <v>1545454</v>
      </c>
      <c r="E189" s="175"/>
      <c r="F189" s="67">
        <f t="shared" si="50"/>
        <v>1545454</v>
      </c>
      <c r="G189" s="67">
        <v>1544454</v>
      </c>
      <c r="H189" s="67">
        <f t="shared" si="46"/>
        <v>1000</v>
      </c>
      <c r="I189" s="68">
        <v>5</v>
      </c>
      <c r="J189" s="68">
        <v>0.2</v>
      </c>
      <c r="K189" s="68">
        <v>0</v>
      </c>
      <c r="L189" s="110"/>
      <c r="M189" s="67">
        <f t="shared" si="47"/>
        <v>1544454</v>
      </c>
      <c r="N189" s="110">
        <f t="shared" si="51"/>
        <v>1000</v>
      </c>
      <c r="O189" s="68" t="s">
        <v>2062</v>
      </c>
      <c r="P189" s="555">
        <v>1</v>
      </c>
      <c r="Q189" s="592"/>
      <c r="R189" s="23">
        <f t="shared" si="49"/>
        <v>200</v>
      </c>
      <c r="S189" s="10">
        <f t="shared" si="40"/>
        <v>77272.7</v>
      </c>
      <c r="T189" s="10">
        <f t="shared" si="41"/>
        <v>-76272.7</v>
      </c>
      <c r="U189" s="10">
        <f t="shared" si="48"/>
        <v>0</v>
      </c>
      <c r="V189" s="10">
        <f t="shared" si="42"/>
        <v>309090.8</v>
      </c>
      <c r="W189" s="10">
        <f t="shared" si="43"/>
        <v>0</v>
      </c>
      <c r="X189" s="10">
        <f t="shared" si="44"/>
        <v>0</v>
      </c>
    </row>
    <row r="190" spans="1:24" s="9" customFormat="1" ht="13.5" customHeight="1" x14ac:dyDescent="0.2">
      <c r="A190" s="64">
        <f t="shared" si="45"/>
        <v>186</v>
      </c>
      <c r="B190" s="65" t="s">
        <v>2063</v>
      </c>
      <c r="C190" s="66" t="s">
        <v>2064</v>
      </c>
      <c r="D190" s="175">
        <v>100000</v>
      </c>
      <c r="E190" s="175"/>
      <c r="F190" s="67">
        <f t="shared" si="50"/>
        <v>100000</v>
      </c>
      <c r="G190" s="67">
        <v>99000</v>
      </c>
      <c r="H190" s="67">
        <f t="shared" si="46"/>
        <v>1000</v>
      </c>
      <c r="I190" s="68">
        <v>5</v>
      </c>
      <c r="J190" s="68">
        <v>0.2</v>
      </c>
      <c r="K190" s="68">
        <v>0</v>
      </c>
      <c r="L190" s="110"/>
      <c r="M190" s="67">
        <f t="shared" si="47"/>
        <v>99000</v>
      </c>
      <c r="N190" s="110">
        <f t="shared" si="51"/>
        <v>1000</v>
      </c>
      <c r="O190" s="68" t="s">
        <v>1932</v>
      </c>
      <c r="P190" s="555">
        <v>2</v>
      </c>
      <c r="Q190" s="592"/>
      <c r="R190" s="23">
        <f t="shared" si="49"/>
        <v>200</v>
      </c>
      <c r="S190" s="10">
        <f t="shared" si="40"/>
        <v>5000</v>
      </c>
      <c r="T190" s="10">
        <f t="shared" si="41"/>
        <v>-4000</v>
      </c>
      <c r="U190" s="10">
        <f t="shared" si="48"/>
        <v>0</v>
      </c>
      <c r="V190" s="10">
        <f t="shared" si="42"/>
        <v>20000</v>
      </c>
      <c r="W190" s="10">
        <f t="shared" si="43"/>
        <v>0</v>
      </c>
      <c r="X190" s="10">
        <f t="shared" si="44"/>
        <v>0</v>
      </c>
    </row>
    <row r="191" spans="1:24" s="9" customFormat="1" ht="13.5" customHeight="1" x14ac:dyDescent="0.2">
      <c r="A191" s="64">
        <f t="shared" si="45"/>
        <v>187</v>
      </c>
      <c r="B191" s="65" t="s">
        <v>1873</v>
      </c>
      <c r="C191" s="66" t="s">
        <v>2064</v>
      </c>
      <c r="D191" s="175">
        <v>432000</v>
      </c>
      <c r="E191" s="175"/>
      <c r="F191" s="67">
        <f t="shared" si="50"/>
        <v>432000</v>
      </c>
      <c r="G191" s="67">
        <v>431000</v>
      </c>
      <c r="H191" s="67">
        <f t="shared" si="46"/>
        <v>1000</v>
      </c>
      <c r="I191" s="68">
        <v>5</v>
      </c>
      <c r="J191" s="68">
        <v>0.2</v>
      </c>
      <c r="K191" s="68">
        <v>0</v>
      </c>
      <c r="L191" s="110"/>
      <c r="M191" s="67">
        <f t="shared" si="47"/>
        <v>431000</v>
      </c>
      <c r="N191" s="110">
        <f t="shared" si="51"/>
        <v>1000</v>
      </c>
      <c r="O191" s="68" t="s">
        <v>1932</v>
      </c>
      <c r="P191" s="555">
        <v>12</v>
      </c>
      <c r="Q191" s="592"/>
      <c r="R191" s="23">
        <f t="shared" si="49"/>
        <v>200</v>
      </c>
      <c r="S191" s="10">
        <f t="shared" si="40"/>
        <v>21600</v>
      </c>
      <c r="T191" s="10">
        <f t="shared" si="41"/>
        <v>-20600</v>
      </c>
      <c r="U191" s="10">
        <f t="shared" si="48"/>
        <v>0</v>
      </c>
      <c r="V191" s="10">
        <f t="shared" si="42"/>
        <v>86400</v>
      </c>
      <c r="W191" s="10">
        <f t="shared" si="43"/>
        <v>0</v>
      </c>
      <c r="X191" s="10">
        <f t="shared" si="44"/>
        <v>0</v>
      </c>
    </row>
    <row r="192" spans="1:24" s="9" customFormat="1" ht="13.5" customHeight="1" x14ac:dyDescent="0.2">
      <c r="A192" s="64">
        <f t="shared" si="45"/>
        <v>188</v>
      </c>
      <c r="B192" s="65" t="s">
        <v>2065</v>
      </c>
      <c r="C192" s="163">
        <v>38733</v>
      </c>
      <c r="D192" s="175">
        <v>690000</v>
      </c>
      <c r="E192" s="175"/>
      <c r="F192" s="67">
        <f t="shared" si="50"/>
        <v>690000</v>
      </c>
      <c r="G192" s="67">
        <v>689000</v>
      </c>
      <c r="H192" s="67">
        <f t="shared" si="46"/>
        <v>1000</v>
      </c>
      <c r="I192" s="68">
        <v>5</v>
      </c>
      <c r="J192" s="68">
        <v>0.2</v>
      </c>
      <c r="K192" s="68">
        <v>0</v>
      </c>
      <c r="L192" s="110"/>
      <c r="M192" s="67">
        <f t="shared" si="47"/>
        <v>689000</v>
      </c>
      <c r="N192" s="110">
        <f t="shared" si="51"/>
        <v>1000</v>
      </c>
      <c r="O192" s="68" t="s">
        <v>2066</v>
      </c>
      <c r="P192" s="555">
        <v>1</v>
      </c>
      <c r="Q192" s="592"/>
      <c r="R192" s="23"/>
      <c r="S192" s="10">
        <f t="shared" si="40"/>
        <v>34500</v>
      </c>
      <c r="T192" s="10">
        <f t="shared" si="41"/>
        <v>-33500</v>
      </c>
      <c r="U192" s="10">
        <f t="shared" si="48"/>
        <v>0</v>
      </c>
      <c r="V192" s="10">
        <f t="shared" si="42"/>
        <v>138000</v>
      </c>
      <c r="W192" s="10">
        <f t="shared" si="43"/>
        <v>0</v>
      </c>
      <c r="X192" s="10">
        <f t="shared" si="44"/>
        <v>0</v>
      </c>
    </row>
    <row r="193" spans="1:24" s="9" customFormat="1" ht="13.5" customHeight="1" x14ac:dyDescent="0.2">
      <c r="A193" s="64">
        <f t="shared" si="45"/>
        <v>189</v>
      </c>
      <c r="B193" s="65" t="s">
        <v>2067</v>
      </c>
      <c r="C193" s="163">
        <v>38751</v>
      </c>
      <c r="D193" s="175">
        <v>120000</v>
      </c>
      <c r="E193" s="175"/>
      <c r="F193" s="67">
        <f t="shared" si="50"/>
        <v>120000</v>
      </c>
      <c r="G193" s="67">
        <v>119000</v>
      </c>
      <c r="H193" s="67">
        <f t="shared" si="46"/>
        <v>1000</v>
      </c>
      <c r="I193" s="68">
        <v>5</v>
      </c>
      <c r="J193" s="68">
        <v>0.2</v>
      </c>
      <c r="K193" s="68">
        <v>0</v>
      </c>
      <c r="L193" s="110">
        <f>ROUND(IF(F193*J193*K193/12&gt;=H193,H193-1000,F193*J193*K193/12),0)</f>
        <v>0</v>
      </c>
      <c r="M193" s="67">
        <f t="shared" si="47"/>
        <v>119000</v>
      </c>
      <c r="N193" s="110">
        <f t="shared" si="51"/>
        <v>1000</v>
      </c>
      <c r="O193" s="68" t="s">
        <v>2029</v>
      </c>
      <c r="P193" s="555">
        <v>2</v>
      </c>
      <c r="Q193" s="592"/>
      <c r="R193" s="23"/>
      <c r="S193" s="10">
        <f t="shared" si="40"/>
        <v>6000</v>
      </c>
      <c r="T193" s="10">
        <f t="shared" si="41"/>
        <v>-5000</v>
      </c>
      <c r="U193" s="10">
        <f t="shared" si="48"/>
        <v>0</v>
      </c>
      <c r="V193" s="10">
        <f t="shared" si="42"/>
        <v>24000</v>
      </c>
      <c r="W193" s="10">
        <f t="shared" si="43"/>
        <v>0</v>
      </c>
      <c r="X193" s="10">
        <f t="shared" si="44"/>
        <v>0</v>
      </c>
    </row>
    <row r="194" spans="1:24" s="9" customFormat="1" ht="13.5" customHeight="1" x14ac:dyDescent="0.2">
      <c r="A194" s="64">
        <f t="shared" si="45"/>
        <v>190</v>
      </c>
      <c r="B194" s="65" t="s">
        <v>2068</v>
      </c>
      <c r="C194" s="163">
        <v>38761</v>
      </c>
      <c r="D194" s="175">
        <v>400000</v>
      </c>
      <c r="E194" s="175"/>
      <c r="F194" s="67">
        <f t="shared" si="50"/>
        <v>400000</v>
      </c>
      <c r="G194" s="67">
        <v>399000</v>
      </c>
      <c r="H194" s="67">
        <f t="shared" si="46"/>
        <v>1000</v>
      </c>
      <c r="I194" s="68">
        <v>5</v>
      </c>
      <c r="J194" s="68">
        <v>0.2</v>
      </c>
      <c r="K194" s="68">
        <v>0</v>
      </c>
      <c r="L194" s="110">
        <f>ROUND(IF(F194*J194*K194/12&gt;=H194,H194-1000,F194*J194*K194/12),0)</f>
        <v>0</v>
      </c>
      <c r="M194" s="67">
        <f t="shared" si="47"/>
        <v>399000</v>
      </c>
      <c r="N194" s="110">
        <f t="shared" si="51"/>
        <v>1000</v>
      </c>
      <c r="O194" s="68" t="s">
        <v>1932</v>
      </c>
      <c r="P194" s="555">
        <v>4</v>
      </c>
      <c r="Q194" s="592"/>
      <c r="R194" s="23">
        <f>SUM(L170:L176,L163,L162,L134,L132,L131,L111,L110,L109,L108,L89,L88,L87,L86,L85,L84,L83,L66,L65,L64,L63,L62,L58,L57,L55)</f>
        <v>0</v>
      </c>
      <c r="S194" s="10">
        <f t="shared" si="40"/>
        <v>20000</v>
      </c>
      <c r="T194" s="10">
        <f t="shared" si="41"/>
        <v>-19000</v>
      </c>
      <c r="U194" s="10">
        <f t="shared" si="48"/>
        <v>0</v>
      </c>
      <c r="V194" s="10">
        <f t="shared" si="42"/>
        <v>80000</v>
      </c>
      <c r="W194" s="10">
        <f t="shared" si="43"/>
        <v>0</v>
      </c>
      <c r="X194" s="10">
        <f t="shared" si="44"/>
        <v>0</v>
      </c>
    </row>
    <row r="195" spans="1:24" s="9" customFormat="1" ht="13.5" customHeight="1" x14ac:dyDescent="0.2">
      <c r="A195" s="64">
        <f t="shared" si="45"/>
        <v>191</v>
      </c>
      <c r="B195" s="65" t="s">
        <v>1877</v>
      </c>
      <c r="C195" s="163">
        <v>38766</v>
      </c>
      <c r="D195" s="175">
        <v>300000</v>
      </c>
      <c r="E195" s="175"/>
      <c r="F195" s="67">
        <f t="shared" si="50"/>
        <v>300000</v>
      </c>
      <c r="G195" s="67">
        <v>299000</v>
      </c>
      <c r="H195" s="67">
        <f t="shared" si="46"/>
        <v>1000</v>
      </c>
      <c r="I195" s="68">
        <v>5</v>
      </c>
      <c r="J195" s="68">
        <v>0.2</v>
      </c>
      <c r="K195" s="68">
        <v>0</v>
      </c>
      <c r="L195" s="110">
        <f>ROUND(IF(F195*J195*K195/12&gt;=H195,H195-1000,F195*J195*K195/12),0)</f>
        <v>0</v>
      </c>
      <c r="M195" s="67">
        <f t="shared" si="47"/>
        <v>299000</v>
      </c>
      <c r="N195" s="110">
        <f t="shared" si="51"/>
        <v>1000</v>
      </c>
      <c r="O195" s="68" t="s">
        <v>1932</v>
      </c>
      <c r="P195" s="555">
        <v>3</v>
      </c>
      <c r="Q195" s="592"/>
      <c r="R195" s="23"/>
      <c r="S195" s="10">
        <f t="shared" si="40"/>
        <v>15000</v>
      </c>
      <c r="T195" s="10">
        <f t="shared" si="41"/>
        <v>-14000</v>
      </c>
      <c r="U195" s="10">
        <f t="shared" si="48"/>
        <v>0</v>
      </c>
      <c r="V195" s="10">
        <f t="shared" si="42"/>
        <v>60000</v>
      </c>
      <c r="W195" s="10">
        <f t="shared" si="43"/>
        <v>0</v>
      </c>
      <c r="X195" s="10">
        <f t="shared" si="44"/>
        <v>0</v>
      </c>
    </row>
    <row r="196" spans="1:24" s="9" customFormat="1" ht="13.5" customHeight="1" x14ac:dyDescent="0.2">
      <c r="A196" s="64">
        <f t="shared" si="45"/>
        <v>192</v>
      </c>
      <c r="B196" s="65" t="s">
        <v>1855</v>
      </c>
      <c r="C196" s="163">
        <v>38766</v>
      </c>
      <c r="D196" s="175">
        <v>150000</v>
      </c>
      <c r="E196" s="175"/>
      <c r="F196" s="67">
        <f t="shared" si="50"/>
        <v>150000</v>
      </c>
      <c r="G196" s="67">
        <v>149000</v>
      </c>
      <c r="H196" s="67">
        <f t="shared" si="46"/>
        <v>1000</v>
      </c>
      <c r="I196" s="68">
        <v>5</v>
      </c>
      <c r="J196" s="68">
        <v>0.2</v>
      </c>
      <c r="K196" s="68">
        <v>0</v>
      </c>
      <c r="L196" s="110">
        <f>ROUND(IF(F196*J196*K196/12&gt;=H196,H196-1000,F196*J196*K196/12),0)</f>
        <v>0</v>
      </c>
      <c r="M196" s="67">
        <f t="shared" si="47"/>
        <v>149000</v>
      </c>
      <c r="N196" s="110">
        <f t="shared" si="51"/>
        <v>1000</v>
      </c>
      <c r="O196" s="68" t="s">
        <v>1932</v>
      </c>
      <c r="P196" s="555">
        <v>3</v>
      </c>
      <c r="Q196" s="592"/>
      <c r="R196" s="23"/>
      <c r="S196" s="10">
        <f t="shared" si="40"/>
        <v>7500</v>
      </c>
      <c r="T196" s="10">
        <f t="shared" si="41"/>
        <v>-6500</v>
      </c>
      <c r="U196" s="10">
        <f t="shared" si="48"/>
        <v>0</v>
      </c>
      <c r="V196" s="10">
        <f t="shared" si="42"/>
        <v>30000</v>
      </c>
      <c r="W196" s="10">
        <f t="shared" si="43"/>
        <v>0</v>
      </c>
      <c r="X196" s="10">
        <f t="shared" si="44"/>
        <v>0</v>
      </c>
    </row>
    <row r="197" spans="1:24" s="9" customFormat="1" ht="13.5" customHeight="1" x14ac:dyDescent="0.2">
      <c r="A197" s="64">
        <f t="shared" si="45"/>
        <v>193</v>
      </c>
      <c r="B197" s="65" t="s">
        <v>1873</v>
      </c>
      <c r="C197" s="163">
        <v>38766</v>
      </c>
      <c r="D197" s="175">
        <v>135000</v>
      </c>
      <c r="E197" s="175"/>
      <c r="F197" s="67">
        <f t="shared" si="50"/>
        <v>135000</v>
      </c>
      <c r="G197" s="67">
        <v>134000</v>
      </c>
      <c r="H197" s="67">
        <f t="shared" si="46"/>
        <v>1000</v>
      </c>
      <c r="I197" s="68">
        <v>5</v>
      </c>
      <c r="J197" s="68">
        <v>0.2</v>
      </c>
      <c r="K197" s="68">
        <v>0</v>
      </c>
      <c r="L197" s="110">
        <f>ROUND(IF(F197*J197*K197/12&gt;=H197,H197-1000,F197*J197*K197/12),0)</f>
        <v>0</v>
      </c>
      <c r="M197" s="67">
        <f t="shared" si="47"/>
        <v>134000</v>
      </c>
      <c r="N197" s="110">
        <f t="shared" si="51"/>
        <v>1000</v>
      </c>
      <c r="O197" s="68" t="s">
        <v>1932</v>
      </c>
      <c r="P197" s="555">
        <v>3</v>
      </c>
      <c r="Q197" s="592"/>
      <c r="R197" s="23"/>
      <c r="S197" s="10">
        <f t="shared" ref="S197:S260" si="52">D197*0.05</f>
        <v>6750</v>
      </c>
      <c r="T197" s="10">
        <f t="shared" ref="T197:T260" si="53">N197-S197</f>
        <v>-5750</v>
      </c>
      <c r="U197" s="10">
        <f t="shared" si="48"/>
        <v>0</v>
      </c>
      <c r="V197" s="10">
        <f t="shared" ref="V197:V260" si="54">F197/I197</f>
        <v>27000</v>
      </c>
      <c r="W197" s="10">
        <f t="shared" ref="W197:W260" si="55">ROUND(IF(H197&lt;=1000,0,V197/12*0),0)</f>
        <v>0</v>
      </c>
      <c r="X197" s="10">
        <f t="shared" ref="X197:X260" si="56">L197-W197</f>
        <v>0</v>
      </c>
    </row>
    <row r="198" spans="1:24" s="190" customFormat="1" ht="13.5" customHeight="1" x14ac:dyDescent="0.2">
      <c r="A198" s="611">
        <f t="shared" ref="A198:A261" si="57">A197+1</f>
        <v>194</v>
      </c>
      <c r="B198" s="575" t="s">
        <v>1846</v>
      </c>
      <c r="C198" s="194">
        <v>38776</v>
      </c>
      <c r="D198" s="576">
        <v>0</v>
      </c>
      <c r="E198" s="576"/>
      <c r="F198" s="195">
        <f t="shared" si="50"/>
        <v>0</v>
      </c>
      <c r="G198" s="195">
        <v>0</v>
      </c>
      <c r="H198" s="195">
        <v>0</v>
      </c>
      <c r="I198" s="197">
        <v>5</v>
      </c>
      <c r="J198" s="197">
        <v>0.2</v>
      </c>
      <c r="K198" s="197">
        <v>0</v>
      </c>
      <c r="L198" s="196">
        <v>0</v>
      </c>
      <c r="M198" s="195">
        <v>0</v>
      </c>
      <c r="N198" s="196">
        <f t="shared" si="51"/>
        <v>0</v>
      </c>
      <c r="O198" s="197" t="s">
        <v>1965</v>
      </c>
      <c r="P198" s="612">
        <v>3</v>
      </c>
      <c r="Q198" s="613"/>
      <c r="R198" s="200"/>
      <c r="S198" s="201">
        <f t="shared" si="52"/>
        <v>0</v>
      </c>
      <c r="T198" s="201">
        <f t="shared" si="53"/>
        <v>0</v>
      </c>
      <c r="U198" s="201">
        <v>0</v>
      </c>
      <c r="V198" s="201">
        <f t="shared" si="54"/>
        <v>0</v>
      </c>
      <c r="W198" s="201">
        <f t="shared" si="55"/>
        <v>0</v>
      </c>
      <c r="X198" s="201">
        <f t="shared" si="56"/>
        <v>0</v>
      </c>
    </row>
    <row r="199" spans="1:24" s="9" customFormat="1" ht="13.5" customHeight="1" x14ac:dyDescent="0.2">
      <c r="A199" s="64">
        <f t="shared" si="57"/>
        <v>195</v>
      </c>
      <c r="B199" s="65" t="s">
        <v>1855</v>
      </c>
      <c r="C199" s="163">
        <v>38787</v>
      </c>
      <c r="D199" s="175">
        <v>100000</v>
      </c>
      <c r="E199" s="175"/>
      <c r="F199" s="67">
        <f t="shared" si="50"/>
        <v>100000</v>
      </c>
      <c r="G199" s="67">
        <v>99000</v>
      </c>
      <c r="H199" s="67">
        <f t="shared" ref="H199:H262" si="58">+F199-G199</f>
        <v>1000</v>
      </c>
      <c r="I199" s="68">
        <v>5</v>
      </c>
      <c r="J199" s="68">
        <v>0.2</v>
      </c>
      <c r="K199" s="68">
        <v>0</v>
      </c>
      <c r="L199" s="110">
        <f t="shared" ref="L199:L211" si="59">ROUND(IF(F199*J199*K199/12&gt;=H199,H199-1000,F199*J199*K199/12),0)</f>
        <v>0</v>
      </c>
      <c r="M199" s="67">
        <f t="shared" ref="M199:M262" si="60">+G199+L199</f>
        <v>99000</v>
      </c>
      <c r="N199" s="110">
        <f t="shared" si="51"/>
        <v>1000</v>
      </c>
      <c r="O199" s="68" t="s">
        <v>1932</v>
      </c>
      <c r="P199" s="555">
        <v>2</v>
      </c>
      <c r="Q199" s="592"/>
      <c r="R199" s="23"/>
      <c r="S199" s="10">
        <f t="shared" si="52"/>
        <v>5000</v>
      </c>
      <c r="T199" s="10">
        <f t="shared" si="53"/>
        <v>-4000</v>
      </c>
      <c r="U199" s="10">
        <f t="shared" ref="U199:U262" si="61">N199-1000</f>
        <v>0</v>
      </c>
      <c r="V199" s="10">
        <f t="shared" si="54"/>
        <v>20000</v>
      </c>
      <c r="W199" s="10">
        <f t="shared" si="55"/>
        <v>0</v>
      </c>
      <c r="X199" s="10">
        <f t="shared" si="56"/>
        <v>0</v>
      </c>
    </row>
    <row r="200" spans="1:24" s="9" customFormat="1" ht="13.5" customHeight="1" x14ac:dyDescent="0.2">
      <c r="A200" s="64">
        <f t="shared" si="57"/>
        <v>196</v>
      </c>
      <c r="B200" s="65" t="s">
        <v>2069</v>
      </c>
      <c r="C200" s="163">
        <v>38787</v>
      </c>
      <c r="D200" s="175">
        <v>90000</v>
      </c>
      <c r="E200" s="175"/>
      <c r="F200" s="67">
        <f t="shared" si="50"/>
        <v>90000</v>
      </c>
      <c r="G200" s="67">
        <v>89000</v>
      </c>
      <c r="H200" s="67">
        <f t="shared" si="58"/>
        <v>1000</v>
      </c>
      <c r="I200" s="68">
        <v>5</v>
      </c>
      <c r="J200" s="68">
        <v>0.2</v>
      </c>
      <c r="K200" s="68">
        <v>0</v>
      </c>
      <c r="L200" s="110">
        <f t="shared" si="59"/>
        <v>0</v>
      </c>
      <c r="M200" s="67">
        <f t="shared" si="60"/>
        <v>89000</v>
      </c>
      <c r="N200" s="110">
        <f t="shared" si="51"/>
        <v>1000</v>
      </c>
      <c r="O200" s="68" t="s">
        <v>2070</v>
      </c>
      <c r="P200" s="555">
        <v>2</v>
      </c>
      <c r="Q200" s="592"/>
      <c r="R200" s="23"/>
      <c r="S200" s="10">
        <f t="shared" si="52"/>
        <v>4500</v>
      </c>
      <c r="T200" s="10">
        <f t="shared" si="53"/>
        <v>-3500</v>
      </c>
      <c r="U200" s="10">
        <f t="shared" si="61"/>
        <v>0</v>
      </c>
      <c r="V200" s="10">
        <f t="shared" si="54"/>
        <v>18000</v>
      </c>
      <c r="W200" s="10">
        <f t="shared" si="55"/>
        <v>0</v>
      </c>
      <c r="X200" s="10">
        <f t="shared" si="56"/>
        <v>0</v>
      </c>
    </row>
    <row r="201" spans="1:24" s="9" customFormat="1" ht="13.5" customHeight="1" x14ac:dyDescent="0.2">
      <c r="A201" s="64">
        <f t="shared" si="57"/>
        <v>197</v>
      </c>
      <c r="B201" s="65" t="s">
        <v>2071</v>
      </c>
      <c r="C201" s="163">
        <v>38787</v>
      </c>
      <c r="D201" s="175">
        <v>100000</v>
      </c>
      <c r="E201" s="175"/>
      <c r="F201" s="67">
        <f t="shared" si="50"/>
        <v>100000</v>
      </c>
      <c r="G201" s="67">
        <v>99000</v>
      </c>
      <c r="H201" s="67">
        <f t="shared" si="58"/>
        <v>1000</v>
      </c>
      <c r="I201" s="68">
        <v>5</v>
      </c>
      <c r="J201" s="68">
        <v>0.2</v>
      </c>
      <c r="K201" s="68">
        <v>0</v>
      </c>
      <c r="L201" s="110">
        <f t="shared" si="59"/>
        <v>0</v>
      </c>
      <c r="M201" s="67">
        <f t="shared" si="60"/>
        <v>99000</v>
      </c>
      <c r="N201" s="110">
        <f t="shared" si="51"/>
        <v>1000</v>
      </c>
      <c r="O201" s="68" t="s">
        <v>2070</v>
      </c>
      <c r="P201" s="555">
        <v>1</v>
      </c>
      <c r="Q201" s="592"/>
      <c r="R201" s="23"/>
      <c r="S201" s="10">
        <f t="shared" si="52"/>
        <v>5000</v>
      </c>
      <c r="T201" s="10">
        <f t="shared" si="53"/>
        <v>-4000</v>
      </c>
      <c r="U201" s="10">
        <f t="shared" si="61"/>
        <v>0</v>
      </c>
      <c r="V201" s="10">
        <f t="shared" si="54"/>
        <v>20000</v>
      </c>
      <c r="W201" s="10">
        <f t="shared" si="55"/>
        <v>0</v>
      </c>
      <c r="X201" s="10">
        <f t="shared" si="56"/>
        <v>0</v>
      </c>
    </row>
    <row r="202" spans="1:24" s="9" customFormat="1" ht="13.5" customHeight="1" x14ac:dyDescent="0.2">
      <c r="A202" s="64">
        <f t="shared" si="57"/>
        <v>198</v>
      </c>
      <c r="B202" s="65" t="s">
        <v>2072</v>
      </c>
      <c r="C202" s="163">
        <v>38787</v>
      </c>
      <c r="D202" s="175">
        <v>50000</v>
      </c>
      <c r="E202" s="175"/>
      <c r="F202" s="67">
        <f t="shared" si="50"/>
        <v>50000</v>
      </c>
      <c r="G202" s="67">
        <v>49000</v>
      </c>
      <c r="H202" s="67">
        <f t="shared" si="58"/>
        <v>1000</v>
      </c>
      <c r="I202" s="68">
        <v>5</v>
      </c>
      <c r="J202" s="68">
        <v>0.2</v>
      </c>
      <c r="K202" s="68">
        <v>0</v>
      </c>
      <c r="L202" s="110">
        <f t="shared" si="59"/>
        <v>0</v>
      </c>
      <c r="M202" s="67">
        <f t="shared" si="60"/>
        <v>49000</v>
      </c>
      <c r="N202" s="110">
        <f t="shared" si="51"/>
        <v>1000</v>
      </c>
      <c r="O202" s="68" t="s">
        <v>2070</v>
      </c>
      <c r="P202" s="555">
        <v>1</v>
      </c>
      <c r="Q202" s="592" t="s">
        <v>2073</v>
      </c>
      <c r="R202" s="23"/>
      <c r="S202" s="10">
        <f t="shared" si="52"/>
        <v>2500</v>
      </c>
      <c r="T202" s="10">
        <f t="shared" si="53"/>
        <v>-1500</v>
      </c>
      <c r="U202" s="10">
        <f t="shared" si="61"/>
        <v>0</v>
      </c>
      <c r="V202" s="10">
        <f t="shared" si="54"/>
        <v>10000</v>
      </c>
      <c r="W202" s="10">
        <f t="shared" si="55"/>
        <v>0</v>
      </c>
      <c r="X202" s="10">
        <f t="shared" si="56"/>
        <v>0</v>
      </c>
    </row>
    <row r="203" spans="1:24" s="9" customFormat="1" ht="13.5" customHeight="1" x14ac:dyDescent="0.2">
      <c r="A203" s="64">
        <f t="shared" si="57"/>
        <v>199</v>
      </c>
      <c r="B203" s="65" t="s">
        <v>1873</v>
      </c>
      <c r="C203" s="163">
        <v>38787</v>
      </c>
      <c r="D203" s="175">
        <v>45000</v>
      </c>
      <c r="E203" s="175"/>
      <c r="F203" s="67">
        <f t="shared" si="50"/>
        <v>45000</v>
      </c>
      <c r="G203" s="67">
        <v>44000</v>
      </c>
      <c r="H203" s="67">
        <f t="shared" si="58"/>
        <v>1000</v>
      </c>
      <c r="I203" s="68">
        <v>5</v>
      </c>
      <c r="J203" s="68">
        <v>0.2</v>
      </c>
      <c r="K203" s="68">
        <v>0</v>
      </c>
      <c r="L203" s="110">
        <f t="shared" si="59"/>
        <v>0</v>
      </c>
      <c r="M203" s="67">
        <f t="shared" si="60"/>
        <v>44000</v>
      </c>
      <c r="N203" s="110">
        <f t="shared" si="51"/>
        <v>1000</v>
      </c>
      <c r="O203" s="68" t="s">
        <v>2070</v>
      </c>
      <c r="P203" s="555">
        <v>1</v>
      </c>
      <c r="Q203" s="592" t="s">
        <v>2073</v>
      </c>
      <c r="R203" s="23"/>
      <c r="S203" s="10">
        <f t="shared" si="52"/>
        <v>2250</v>
      </c>
      <c r="T203" s="10">
        <f t="shared" si="53"/>
        <v>-1250</v>
      </c>
      <c r="U203" s="10">
        <f t="shared" si="61"/>
        <v>0</v>
      </c>
      <c r="V203" s="10">
        <f t="shared" si="54"/>
        <v>9000</v>
      </c>
      <c r="W203" s="10">
        <f t="shared" si="55"/>
        <v>0</v>
      </c>
      <c r="X203" s="10">
        <f t="shared" si="56"/>
        <v>0</v>
      </c>
    </row>
    <row r="204" spans="1:24" s="9" customFormat="1" ht="13.5" customHeight="1" x14ac:dyDescent="0.2">
      <c r="A204" s="64">
        <f t="shared" si="57"/>
        <v>200</v>
      </c>
      <c r="B204" s="65" t="s">
        <v>2071</v>
      </c>
      <c r="C204" s="163">
        <v>38787</v>
      </c>
      <c r="D204" s="175">
        <v>120000</v>
      </c>
      <c r="E204" s="175"/>
      <c r="F204" s="67">
        <f t="shared" si="50"/>
        <v>120000</v>
      </c>
      <c r="G204" s="67">
        <v>119000</v>
      </c>
      <c r="H204" s="67">
        <f t="shared" si="58"/>
        <v>1000</v>
      </c>
      <c r="I204" s="68">
        <v>5</v>
      </c>
      <c r="J204" s="68">
        <v>0.2</v>
      </c>
      <c r="K204" s="68">
        <v>0</v>
      </c>
      <c r="L204" s="110">
        <f t="shared" si="59"/>
        <v>0</v>
      </c>
      <c r="M204" s="67">
        <f t="shared" si="60"/>
        <v>119000</v>
      </c>
      <c r="N204" s="110">
        <f t="shared" si="51"/>
        <v>1000</v>
      </c>
      <c r="O204" s="68" t="s">
        <v>2070</v>
      </c>
      <c r="P204" s="555">
        <v>1</v>
      </c>
      <c r="Q204" s="592" t="s">
        <v>1890</v>
      </c>
      <c r="R204" s="23"/>
      <c r="S204" s="10">
        <f t="shared" si="52"/>
        <v>6000</v>
      </c>
      <c r="T204" s="10">
        <f t="shared" si="53"/>
        <v>-5000</v>
      </c>
      <c r="U204" s="10">
        <f t="shared" si="61"/>
        <v>0</v>
      </c>
      <c r="V204" s="10">
        <f t="shared" si="54"/>
        <v>24000</v>
      </c>
      <c r="W204" s="10">
        <f t="shared" si="55"/>
        <v>0</v>
      </c>
      <c r="X204" s="10">
        <f t="shared" si="56"/>
        <v>0</v>
      </c>
    </row>
    <row r="205" spans="1:24" s="190" customFormat="1" ht="13.5" customHeight="1" x14ac:dyDescent="0.2">
      <c r="A205" s="272">
        <f t="shared" si="57"/>
        <v>201</v>
      </c>
      <c r="B205" s="182" t="s">
        <v>2074</v>
      </c>
      <c r="C205" s="183">
        <v>38792</v>
      </c>
      <c r="D205" s="359">
        <v>1270000</v>
      </c>
      <c r="E205" s="359"/>
      <c r="F205" s="184">
        <f t="shared" si="50"/>
        <v>1270000</v>
      </c>
      <c r="G205" s="184">
        <v>1269000</v>
      </c>
      <c r="H205" s="184">
        <f t="shared" si="58"/>
        <v>1000</v>
      </c>
      <c r="I205" s="186">
        <v>5</v>
      </c>
      <c r="J205" s="186">
        <v>0.2</v>
      </c>
      <c r="K205" s="186">
        <v>0</v>
      </c>
      <c r="L205" s="185">
        <f t="shared" si="59"/>
        <v>0</v>
      </c>
      <c r="M205" s="184">
        <f t="shared" si="60"/>
        <v>1269000</v>
      </c>
      <c r="N205" s="185">
        <f t="shared" si="51"/>
        <v>1000</v>
      </c>
      <c r="O205" s="186" t="s">
        <v>2075</v>
      </c>
      <c r="P205" s="614">
        <v>1</v>
      </c>
      <c r="Q205" s="615" t="s">
        <v>2073</v>
      </c>
      <c r="R205" s="189">
        <f>SUM(L202:L205)</f>
        <v>0</v>
      </c>
      <c r="S205" s="10">
        <f t="shared" si="52"/>
        <v>63500</v>
      </c>
      <c r="T205" s="10">
        <f t="shared" si="53"/>
        <v>-62500</v>
      </c>
      <c r="U205" s="10">
        <f t="shared" si="61"/>
        <v>0</v>
      </c>
      <c r="V205" s="10">
        <f t="shared" si="54"/>
        <v>254000</v>
      </c>
      <c r="W205" s="10">
        <f t="shared" si="55"/>
        <v>0</v>
      </c>
      <c r="X205" s="10">
        <f t="shared" si="56"/>
        <v>0</v>
      </c>
    </row>
    <row r="206" spans="1:24" s="9" customFormat="1" ht="13.5" customHeight="1" x14ac:dyDescent="0.2">
      <c r="A206" s="64">
        <f t="shared" si="57"/>
        <v>202</v>
      </c>
      <c r="B206" s="65" t="s">
        <v>2072</v>
      </c>
      <c r="C206" s="163">
        <v>38808</v>
      </c>
      <c r="D206" s="175">
        <v>50000</v>
      </c>
      <c r="E206" s="175"/>
      <c r="F206" s="67">
        <f t="shared" si="50"/>
        <v>50000</v>
      </c>
      <c r="G206" s="67">
        <v>49000</v>
      </c>
      <c r="H206" s="67">
        <f t="shared" si="58"/>
        <v>1000</v>
      </c>
      <c r="I206" s="68">
        <v>5</v>
      </c>
      <c r="J206" s="68">
        <v>0.2</v>
      </c>
      <c r="K206" s="68">
        <v>0</v>
      </c>
      <c r="L206" s="110">
        <f t="shared" si="59"/>
        <v>0</v>
      </c>
      <c r="M206" s="67">
        <f t="shared" si="60"/>
        <v>49000</v>
      </c>
      <c r="N206" s="110">
        <f t="shared" si="51"/>
        <v>1000</v>
      </c>
      <c r="O206" s="68" t="s">
        <v>2070</v>
      </c>
      <c r="P206" s="555">
        <v>1</v>
      </c>
      <c r="Q206" s="592"/>
      <c r="R206" s="23"/>
      <c r="S206" s="10">
        <f t="shared" si="52"/>
        <v>2500</v>
      </c>
      <c r="T206" s="10">
        <f t="shared" si="53"/>
        <v>-1500</v>
      </c>
      <c r="U206" s="10">
        <f t="shared" si="61"/>
        <v>0</v>
      </c>
      <c r="V206" s="10">
        <f t="shared" si="54"/>
        <v>10000</v>
      </c>
      <c r="W206" s="10">
        <f t="shared" si="55"/>
        <v>0</v>
      </c>
      <c r="X206" s="10">
        <f t="shared" si="56"/>
        <v>0</v>
      </c>
    </row>
    <row r="207" spans="1:24" s="9" customFormat="1" ht="13.5" customHeight="1" x14ac:dyDescent="0.2">
      <c r="A207" s="64">
        <f t="shared" si="57"/>
        <v>203</v>
      </c>
      <c r="B207" s="65" t="s">
        <v>2069</v>
      </c>
      <c r="C207" s="163">
        <v>38808</v>
      </c>
      <c r="D207" s="175">
        <v>45000</v>
      </c>
      <c r="E207" s="175"/>
      <c r="F207" s="67">
        <f t="shared" si="50"/>
        <v>45000</v>
      </c>
      <c r="G207" s="67">
        <v>44000</v>
      </c>
      <c r="H207" s="67">
        <f t="shared" si="58"/>
        <v>1000</v>
      </c>
      <c r="I207" s="68">
        <v>5</v>
      </c>
      <c r="J207" s="68">
        <v>0.2</v>
      </c>
      <c r="K207" s="68">
        <v>0</v>
      </c>
      <c r="L207" s="110">
        <f t="shared" si="59"/>
        <v>0</v>
      </c>
      <c r="M207" s="67">
        <f t="shared" si="60"/>
        <v>44000</v>
      </c>
      <c r="N207" s="110">
        <f t="shared" si="51"/>
        <v>1000</v>
      </c>
      <c r="O207" s="68" t="s">
        <v>2070</v>
      </c>
      <c r="P207" s="555">
        <v>1</v>
      </c>
      <c r="Q207" s="592"/>
      <c r="R207" s="23"/>
      <c r="S207" s="10">
        <f t="shared" si="52"/>
        <v>2250</v>
      </c>
      <c r="T207" s="10">
        <f t="shared" si="53"/>
        <v>-1250</v>
      </c>
      <c r="U207" s="10">
        <f t="shared" si="61"/>
        <v>0</v>
      </c>
      <c r="V207" s="10">
        <f t="shared" si="54"/>
        <v>9000</v>
      </c>
      <c r="W207" s="10">
        <f t="shared" si="55"/>
        <v>0</v>
      </c>
      <c r="X207" s="10">
        <f t="shared" si="56"/>
        <v>0</v>
      </c>
    </row>
    <row r="208" spans="1:24" s="9" customFormat="1" ht="13.5" customHeight="1" x14ac:dyDescent="0.2">
      <c r="A208" s="64">
        <f t="shared" si="57"/>
        <v>204</v>
      </c>
      <c r="B208" s="65" t="s">
        <v>2071</v>
      </c>
      <c r="C208" s="163">
        <v>38808</v>
      </c>
      <c r="D208" s="175">
        <v>100000</v>
      </c>
      <c r="E208" s="175"/>
      <c r="F208" s="67">
        <f t="shared" si="50"/>
        <v>100000</v>
      </c>
      <c r="G208" s="67">
        <v>99000</v>
      </c>
      <c r="H208" s="67">
        <f t="shared" si="58"/>
        <v>1000</v>
      </c>
      <c r="I208" s="68">
        <v>5</v>
      </c>
      <c r="J208" s="68">
        <v>0.2</v>
      </c>
      <c r="K208" s="68">
        <v>0</v>
      </c>
      <c r="L208" s="110">
        <f t="shared" si="59"/>
        <v>0</v>
      </c>
      <c r="M208" s="67">
        <f t="shared" si="60"/>
        <v>99000</v>
      </c>
      <c r="N208" s="110">
        <f t="shared" si="51"/>
        <v>1000</v>
      </c>
      <c r="O208" s="68" t="s">
        <v>1932</v>
      </c>
      <c r="P208" s="555">
        <v>1</v>
      </c>
      <c r="Q208" s="592"/>
      <c r="R208" s="23"/>
      <c r="S208" s="10">
        <f t="shared" si="52"/>
        <v>5000</v>
      </c>
      <c r="T208" s="10">
        <f t="shared" si="53"/>
        <v>-4000</v>
      </c>
      <c r="U208" s="10">
        <f t="shared" si="61"/>
        <v>0</v>
      </c>
      <c r="V208" s="10">
        <f t="shared" si="54"/>
        <v>20000</v>
      </c>
      <c r="W208" s="10">
        <f t="shared" si="55"/>
        <v>0</v>
      </c>
      <c r="X208" s="10">
        <f t="shared" si="56"/>
        <v>0</v>
      </c>
    </row>
    <row r="209" spans="1:24" s="9" customFormat="1" ht="13.5" customHeight="1" x14ac:dyDescent="0.2">
      <c r="A209" s="64">
        <f t="shared" si="57"/>
        <v>205</v>
      </c>
      <c r="B209" s="65" t="s">
        <v>2076</v>
      </c>
      <c r="C209" s="163">
        <v>38819</v>
      </c>
      <c r="D209" s="175">
        <v>2050000</v>
      </c>
      <c r="E209" s="175"/>
      <c r="F209" s="67">
        <f t="shared" si="50"/>
        <v>2050000</v>
      </c>
      <c r="G209" s="67">
        <v>2049000</v>
      </c>
      <c r="H209" s="67">
        <f t="shared" si="58"/>
        <v>1000</v>
      </c>
      <c r="I209" s="68">
        <v>5</v>
      </c>
      <c r="J209" s="68">
        <v>0.2</v>
      </c>
      <c r="K209" s="68">
        <v>0</v>
      </c>
      <c r="L209" s="110">
        <f t="shared" si="59"/>
        <v>0</v>
      </c>
      <c r="M209" s="67">
        <f t="shared" si="60"/>
        <v>2049000</v>
      </c>
      <c r="N209" s="110">
        <f t="shared" si="51"/>
        <v>1000</v>
      </c>
      <c r="O209" s="68" t="s">
        <v>2010</v>
      </c>
      <c r="P209" s="555">
        <v>1</v>
      </c>
      <c r="Q209" s="592"/>
      <c r="R209" s="23"/>
      <c r="S209" s="10">
        <f t="shared" si="52"/>
        <v>102500</v>
      </c>
      <c r="T209" s="10">
        <f t="shared" si="53"/>
        <v>-101500</v>
      </c>
      <c r="U209" s="10">
        <f t="shared" si="61"/>
        <v>0</v>
      </c>
      <c r="V209" s="10">
        <f t="shared" si="54"/>
        <v>410000</v>
      </c>
      <c r="W209" s="10">
        <f t="shared" si="55"/>
        <v>0</v>
      </c>
      <c r="X209" s="10">
        <f t="shared" si="56"/>
        <v>0</v>
      </c>
    </row>
    <row r="210" spans="1:24" s="9" customFormat="1" ht="13.5" customHeight="1" x14ac:dyDescent="0.2">
      <c r="A210" s="64">
        <f t="shared" si="57"/>
        <v>206</v>
      </c>
      <c r="B210" s="65" t="s">
        <v>2077</v>
      </c>
      <c r="C210" s="163">
        <v>38829</v>
      </c>
      <c r="D210" s="175">
        <v>390000</v>
      </c>
      <c r="E210" s="175"/>
      <c r="F210" s="67">
        <f t="shared" si="50"/>
        <v>390000</v>
      </c>
      <c r="G210" s="67">
        <v>389000</v>
      </c>
      <c r="H210" s="67">
        <f t="shared" si="58"/>
        <v>1000</v>
      </c>
      <c r="I210" s="68">
        <v>5</v>
      </c>
      <c r="J210" s="68">
        <v>0.2</v>
      </c>
      <c r="K210" s="68">
        <v>0</v>
      </c>
      <c r="L210" s="110">
        <f t="shared" si="59"/>
        <v>0</v>
      </c>
      <c r="M210" s="67">
        <f t="shared" si="60"/>
        <v>389000</v>
      </c>
      <c r="N210" s="110">
        <f t="shared" si="51"/>
        <v>1000</v>
      </c>
      <c r="O210" s="68" t="s">
        <v>2078</v>
      </c>
      <c r="P210" s="555">
        <v>2</v>
      </c>
      <c r="Q210" s="592"/>
      <c r="R210" s="23"/>
      <c r="S210" s="10">
        <f t="shared" si="52"/>
        <v>19500</v>
      </c>
      <c r="T210" s="10">
        <f t="shared" si="53"/>
        <v>-18500</v>
      </c>
      <c r="U210" s="10">
        <f t="shared" si="61"/>
        <v>0</v>
      </c>
      <c r="V210" s="10">
        <f t="shared" si="54"/>
        <v>78000</v>
      </c>
      <c r="W210" s="10">
        <f t="shared" si="55"/>
        <v>0</v>
      </c>
      <c r="X210" s="10">
        <f t="shared" si="56"/>
        <v>0</v>
      </c>
    </row>
    <row r="211" spans="1:24" s="9" customFormat="1" ht="13.5" customHeight="1" x14ac:dyDescent="0.2">
      <c r="A211" s="64">
        <f t="shared" si="57"/>
        <v>207</v>
      </c>
      <c r="B211" s="65" t="s">
        <v>2079</v>
      </c>
      <c r="C211" s="163">
        <v>38829</v>
      </c>
      <c r="D211" s="175">
        <v>200000</v>
      </c>
      <c r="E211" s="175"/>
      <c r="F211" s="67">
        <f t="shared" si="50"/>
        <v>200000</v>
      </c>
      <c r="G211" s="67">
        <v>199000</v>
      </c>
      <c r="H211" s="67">
        <f t="shared" si="58"/>
        <v>1000</v>
      </c>
      <c r="I211" s="68">
        <v>5</v>
      </c>
      <c r="J211" s="68">
        <v>0.2</v>
      </c>
      <c r="K211" s="68">
        <v>0</v>
      </c>
      <c r="L211" s="110">
        <f t="shared" si="59"/>
        <v>0</v>
      </c>
      <c r="M211" s="67">
        <f t="shared" si="60"/>
        <v>199000</v>
      </c>
      <c r="N211" s="110">
        <f t="shared" si="51"/>
        <v>1000</v>
      </c>
      <c r="O211" s="68" t="s">
        <v>2078</v>
      </c>
      <c r="P211" s="555">
        <v>2</v>
      </c>
      <c r="Q211" s="592"/>
      <c r="R211" s="23"/>
      <c r="S211" s="10">
        <f t="shared" si="52"/>
        <v>10000</v>
      </c>
      <c r="T211" s="10">
        <f t="shared" si="53"/>
        <v>-9000</v>
      </c>
      <c r="U211" s="10">
        <f t="shared" si="61"/>
        <v>0</v>
      </c>
      <c r="V211" s="10">
        <f t="shared" si="54"/>
        <v>40000</v>
      </c>
      <c r="W211" s="10">
        <f t="shared" si="55"/>
        <v>0</v>
      </c>
      <c r="X211" s="10">
        <f t="shared" si="56"/>
        <v>0</v>
      </c>
    </row>
    <row r="212" spans="1:24" s="9" customFormat="1" ht="13.5" customHeight="1" x14ac:dyDescent="0.2">
      <c r="A212" s="64">
        <f t="shared" si="57"/>
        <v>208</v>
      </c>
      <c r="B212" s="65" t="s">
        <v>2080</v>
      </c>
      <c r="C212" s="163">
        <v>38835</v>
      </c>
      <c r="D212" s="175">
        <v>259091</v>
      </c>
      <c r="E212" s="175"/>
      <c r="F212" s="67">
        <f t="shared" si="50"/>
        <v>259091</v>
      </c>
      <c r="G212" s="67">
        <v>258091</v>
      </c>
      <c r="H212" s="67">
        <f t="shared" si="58"/>
        <v>1000</v>
      </c>
      <c r="I212" s="68">
        <v>5</v>
      </c>
      <c r="J212" s="68">
        <v>0.2</v>
      </c>
      <c r="K212" s="68">
        <v>0</v>
      </c>
      <c r="L212" s="110">
        <v>0</v>
      </c>
      <c r="M212" s="67">
        <f t="shared" si="60"/>
        <v>258091</v>
      </c>
      <c r="N212" s="110">
        <f t="shared" si="51"/>
        <v>1000</v>
      </c>
      <c r="O212" s="68" t="s">
        <v>2081</v>
      </c>
      <c r="P212" s="555">
        <v>1</v>
      </c>
      <c r="Q212" s="592"/>
      <c r="R212" s="23"/>
      <c r="S212" s="10">
        <f t="shared" si="52"/>
        <v>12954.550000000001</v>
      </c>
      <c r="T212" s="10">
        <f t="shared" si="53"/>
        <v>-11954.550000000001</v>
      </c>
      <c r="U212" s="10">
        <f t="shared" si="61"/>
        <v>0</v>
      </c>
      <c r="V212" s="10">
        <f t="shared" si="54"/>
        <v>51818.2</v>
      </c>
      <c r="W212" s="10">
        <f t="shared" si="55"/>
        <v>0</v>
      </c>
      <c r="X212" s="10">
        <f t="shared" si="56"/>
        <v>0</v>
      </c>
    </row>
    <row r="213" spans="1:24" s="9" customFormat="1" ht="13.5" customHeight="1" x14ac:dyDescent="0.2">
      <c r="A213" s="64">
        <f t="shared" si="57"/>
        <v>209</v>
      </c>
      <c r="B213" s="65" t="s">
        <v>1846</v>
      </c>
      <c r="C213" s="163">
        <v>38837</v>
      </c>
      <c r="D213" s="175">
        <v>3950000</v>
      </c>
      <c r="E213" s="175"/>
      <c r="F213" s="67">
        <f t="shared" si="50"/>
        <v>3950000</v>
      </c>
      <c r="G213" s="67">
        <v>3949000</v>
      </c>
      <c r="H213" s="67">
        <f t="shared" si="58"/>
        <v>1000</v>
      </c>
      <c r="I213" s="68">
        <v>5</v>
      </c>
      <c r="J213" s="68">
        <v>0.2</v>
      </c>
      <c r="K213" s="68">
        <v>0</v>
      </c>
      <c r="L213" s="110">
        <f t="shared" ref="L213:L276" si="62">ROUND(IF(F213*J213*K213/12&gt;=H213,H213-1000,F213*J213*K213/12),0)</f>
        <v>0</v>
      </c>
      <c r="M213" s="67">
        <f t="shared" si="60"/>
        <v>3949000</v>
      </c>
      <c r="N213" s="110">
        <f t="shared" si="51"/>
        <v>1000</v>
      </c>
      <c r="O213" s="68" t="s">
        <v>2082</v>
      </c>
      <c r="P213" s="555">
        <v>3</v>
      </c>
      <c r="Q213" s="592"/>
      <c r="R213" s="23"/>
      <c r="S213" s="10">
        <f t="shared" si="52"/>
        <v>197500</v>
      </c>
      <c r="T213" s="10">
        <f t="shared" si="53"/>
        <v>-196500</v>
      </c>
      <c r="U213" s="10">
        <f t="shared" si="61"/>
        <v>0</v>
      </c>
      <c r="V213" s="10">
        <f t="shared" si="54"/>
        <v>790000</v>
      </c>
      <c r="W213" s="10">
        <f t="shared" si="55"/>
        <v>0</v>
      </c>
      <c r="X213" s="10">
        <f t="shared" si="56"/>
        <v>0</v>
      </c>
    </row>
    <row r="214" spans="1:24" s="9" customFormat="1" ht="13.5" customHeight="1" x14ac:dyDescent="0.2">
      <c r="A214" s="64">
        <f t="shared" si="57"/>
        <v>210</v>
      </c>
      <c r="B214" s="65" t="s">
        <v>2083</v>
      </c>
      <c r="C214" s="163">
        <v>38839</v>
      </c>
      <c r="D214" s="175">
        <v>270000</v>
      </c>
      <c r="E214" s="175"/>
      <c r="F214" s="67">
        <f t="shared" si="50"/>
        <v>270000</v>
      </c>
      <c r="G214" s="67">
        <v>269000</v>
      </c>
      <c r="H214" s="67">
        <f t="shared" si="58"/>
        <v>1000</v>
      </c>
      <c r="I214" s="68">
        <v>5</v>
      </c>
      <c r="J214" s="68">
        <v>0.2</v>
      </c>
      <c r="K214" s="68">
        <v>0</v>
      </c>
      <c r="L214" s="110">
        <f t="shared" si="62"/>
        <v>0</v>
      </c>
      <c r="M214" s="67">
        <f t="shared" si="60"/>
        <v>269000</v>
      </c>
      <c r="N214" s="110">
        <f t="shared" si="51"/>
        <v>1000</v>
      </c>
      <c r="O214" s="68" t="s">
        <v>2084</v>
      </c>
      <c r="P214" s="555">
        <v>1</v>
      </c>
      <c r="Q214" s="592"/>
      <c r="R214" s="23"/>
      <c r="S214" s="10">
        <f t="shared" si="52"/>
        <v>13500</v>
      </c>
      <c r="T214" s="10">
        <f t="shared" si="53"/>
        <v>-12500</v>
      </c>
      <c r="U214" s="10">
        <f t="shared" si="61"/>
        <v>0</v>
      </c>
      <c r="V214" s="10">
        <f t="shared" si="54"/>
        <v>54000</v>
      </c>
      <c r="W214" s="10">
        <f t="shared" si="55"/>
        <v>0</v>
      </c>
      <c r="X214" s="10">
        <f t="shared" si="56"/>
        <v>0</v>
      </c>
    </row>
    <row r="215" spans="1:24" s="9" customFormat="1" ht="13.5" customHeight="1" x14ac:dyDescent="0.2">
      <c r="A215" s="64">
        <f t="shared" si="57"/>
        <v>211</v>
      </c>
      <c r="B215" s="65" t="s">
        <v>2085</v>
      </c>
      <c r="C215" s="163">
        <v>38868</v>
      </c>
      <c r="D215" s="175">
        <v>1200000</v>
      </c>
      <c r="E215" s="175"/>
      <c r="F215" s="67">
        <f t="shared" si="50"/>
        <v>1200000</v>
      </c>
      <c r="G215" s="67">
        <v>1199000</v>
      </c>
      <c r="H215" s="67">
        <f t="shared" si="58"/>
        <v>1000</v>
      </c>
      <c r="I215" s="68">
        <v>5</v>
      </c>
      <c r="J215" s="68">
        <v>0.2</v>
      </c>
      <c r="K215" s="68">
        <v>0</v>
      </c>
      <c r="L215" s="110">
        <f t="shared" si="62"/>
        <v>0</v>
      </c>
      <c r="M215" s="67">
        <f t="shared" si="60"/>
        <v>1199000</v>
      </c>
      <c r="N215" s="110">
        <f t="shared" si="51"/>
        <v>1000</v>
      </c>
      <c r="O215" s="68" t="s">
        <v>2086</v>
      </c>
      <c r="P215" s="555">
        <v>3</v>
      </c>
      <c r="Q215" s="592"/>
      <c r="R215" s="23"/>
      <c r="S215" s="10">
        <f t="shared" si="52"/>
        <v>60000</v>
      </c>
      <c r="T215" s="10">
        <f t="shared" si="53"/>
        <v>-59000</v>
      </c>
      <c r="U215" s="10">
        <f t="shared" si="61"/>
        <v>0</v>
      </c>
      <c r="V215" s="10">
        <f t="shared" si="54"/>
        <v>240000</v>
      </c>
      <c r="W215" s="10">
        <f t="shared" si="55"/>
        <v>0</v>
      </c>
      <c r="X215" s="10">
        <f t="shared" si="56"/>
        <v>0</v>
      </c>
    </row>
    <row r="216" spans="1:24" s="9" customFormat="1" ht="13.5" customHeight="1" x14ac:dyDescent="0.2">
      <c r="A216" s="64">
        <f t="shared" si="57"/>
        <v>212</v>
      </c>
      <c r="B216" s="65" t="s">
        <v>2087</v>
      </c>
      <c r="C216" s="163">
        <v>38868</v>
      </c>
      <c r="D216" s="175">
        <v>251818</v>
      </c>
      <c r="E216" s="175"/>
      <c r="F216" s="67">
        <f t="shared" si="50"/>
        <v>251818</v>
      </c>
      <c r="G216" s="67">
        <v>250818</v>
      </c>
      <c r="H216" s="67">
        <f t="shared" si="58"/>
        <v>1000</v>
      </c>
      <c r="I216" s="68">
        <v>5</v>
      </c>
      <c r="J216" s="68">
        <v>0.2</v>
      </c>
      <c r="K216" s="68">
        <v>0</v>
      </c>
      <c r="L216" s="110">
        <f t="shared" si="62"/>
        <v>0</v>
      </c>
      <c r="M216" s="67">
        <f t="shared" si="60"/>
        <v>250818</v>
      </c>
      <c r="N216" s="110">
        <f t="shared" si="51"/>
        <v>1000</v>
      </c>
      <c r="O216" s="68" t="s">
        <v>2081</v>
      </c>
      <c r="P216" s="555">
        <v>1</v>
      </c>
      <c r="Q216" s="592" t="s">
        <v>1890</v>
      </c>
      <c r="R216" s="23"/>
      <c r="S216" s="10">
        <f t="shared" si="52"/>
        <v>12590.900000000001</v>
      </c>
      <c r="T216" s="10">
        <f t="shared" si="53"/>
        <v>-11590.900000000001</v>
      </c>
      <c r="U216" s="10">
        <f t="shared" si="61"/>
        <v>0</v>
      </c>
      <c r="V216" s="10">
        <f t="shared" si="54"/>
        <v>50363.6</v>
      </c>
      <c r="W216" s="10">
        <f t="shared" si="55"/>
        <v>0</v>
      </c>
      <c r="X216" s="10">
        <f t="shared" si="56"/>
        <v>0</v>
      </c>
    </row>
    <row r="217" spans="1:24" s="9" customFormat="1" ht="13.5" customHeight="1" x14ac:dyDescent="0.2">
      <c r="A217" s="64">
        <f t="shared" si="57"/>
        <v>213</v>
      </c>
      <c r="B217" s="65" t="s">
        <v>2088</v>
      </c>
      <c r="C217" s="163">
        <v>38898</v>
      </c>
      <c r="D217" s="175">
        <v>272727</v>
      </c>
      <c r="E217" s="175"/>
      <c r="F217" s="67">
        <f t="shared" si="50"/>
        <v>272727</v>
      </c>
      <c r="G217" s="67">
        <v>271727</v>
      </c>
      <c r="H217" s="67">
        <f t="shared" si="58"/>
        <v>1000</v>
      </c>
      <c r="I217" s="68">
        <v>5</v>
      </c>
      <c r="J217" s="68">
        <v>0.2</v>
      </c>
      <c r="K217" s="68">
        <v>0</v>
      </c>
      <c r="L217" s="110">
        <f t="shared" si="62"/>
        <v>0</v>
      </c>
      <c r="M217" s="67">
        <f t="shared" si="60"/>
        <v>271727</v>
      </c>
      <c r="N217" s="110">
        <f t="shared" si="51"/>
        <v>1000</v>
      </c>
      <c r="O217" s="68" t="s">
        <v>2081</v>
      </c>
      <c r="P217" s="555">
        <v>1</v>
      </c>
      <c r="Q217" s="592" t="s">
        <v>1935</v>
      </c>
      <c r="R217" s="23">
        <f>SUM(L216:L217)</f>
        <v>0</v>
      </c>
      <c r="S217" s="10">
        <f t="shared" si="52"/>
        <v>13636.35</v>
      </c>
      <c r="T217" s="10">
        <f t="shared" si="53"/>
        <v>-12636.35</v>
      </c>
      <c r="U217" s="10">
        <f t="shared" si="61"/>
        <v>0</v>
      </c>
      <c r="V217" s="10">
        <f t="shared" si="54"/>
        <v>54545.4</v>
      </c>
      <c r="W217" s="10">
        <f t="shared" si="55"/>
        <v>0</v>
      </c>
      <c r="X217" s="10">
        <f t="shared" si="56"/>
        <v>0</v>
      </c>
    </row>
    <row r="218" spans="1:24" s="9" customFormat="1" ht="13.5" customHeight="1" x14ac:dyDescent="0.2">
      <c r="A218" s="64">
        <f t="shared" si="57"/>
        <v>214</v>
      </c>
      <c r="B218" s="77" t="s">
        <v>2089</v>
      </c>
      <c r="C218" s="163">
        <v>38910</v>
      </c>
      <c r="D218" s="175">
        <v>170000</v>
      </c>
      <c r="E218" s="175"/>
      <c r="F218" s="67">
        <f t="shared" si="50"/>
        <v>170000</v>
      </c>
      <c r="G218" s="67">
        <v>169000</v>
      </c>
      <c r="H218" s="67">
        <f t="shared" si="58"/>
        <v>1000</v>
      </c>
      <c r="I218" s="68">
        <v>5</v>
      </c>
      <c r="J218" s="68">
        <v>0.2</v>
      </c>
      <c r="K218" s="68">
        <v>0</v>
      </c>
      <c r="L218" s="110">
        <f t="shared" si="62"/>
        <v>0</v>
      </c>
      <c r="M218" s="67">
        <f t="shared" si="60"/>
        <v>169000</v>
      </c>
      <c r="N218" s="110">
        <f t="shared" si="51"/>
        <v>1000</v>
      </c>
      <c r="O218" s="68" t="s">
        <v>2090</v>
      </c>
      <c r="P218" s="555">
        <v>1</v>
      </c>
      <c r="Q218" s="592"/>
      <c r="R218" s="23">
        <f>+R217+R205+R194</f>
        <v>0</v>
      </c>
      <c r="S218" s="10">
        <f t="shared" si="52"/>
        <v>8500</v>
      </c>
      <c r="T218" s="10">
        <f t="shared" si="53"/>
        <v>-7500</v>
      </c>
      <c r="U218" s="10">
        <f t="shared" si="61"/>
        <v>0</v>
      </c>
      <c r="V218" s="10">
        <f t="shared" si="54"/>
        <v>34000</v>
      </c>
      <c r="W218" s="10">
        <f t="shared" si="55"/>
        <v>0</v>
      </c>
      <c r="X218" s="10">
        <f t="shared" si="56"/>
        <v>0</v>
      </c>
    </row>
    <row r="219" spans="1:24" s="9" customFormat="1" ht="13.5" customHeight="1" x14ac:dyDescent="0.2">
      <c r="A219" s="64">
        <f t="shared" si="57"/>
        <v>215</v>
      </c>
      <c r="B219" s="204" t="s">
        <v>1846</v>
      </c>
      <c r="C219" s="163">
        <v>39021</v>
      </c>
      <c r="D219" s="175">
        <v>2720000</v>
      </c>
      <c r="E219" s="249"/>
      <c r="F219" s="67">
        <f t="shared" si="50"/>
        <v>2720000</v>
      </c>
      <c r="G219" s="67">
        <v>2719000</v>
      </c>
      <c r="H219" s="67">
        <f t="shared" si="58"/>
        <v>1000</v>
      </c>
      <c r="I219" s="68">
        <v>5</v>
      </c>
      <c r="J219" s="68">
        <v>0.2</v>
      </c>
      <c r="K219" s="68">
        <v>0</v>
      </c>
      <c r="L219" s="110">
        <f t="shared" si="62"/>
        <v>0</v>
      </c>
      <c r="M219" s="67">
        <f t="shared" si="60"/>
        <v>2719000</v>
      </c>
      <c r="N219" s="110">
        <f t="shared" si="51"/>
        <v>1000</v>
      </c>
      <c r="O219" s="145" t="s">
        <v>1981</v>
      </c>
      <c r="P219" s="555">
        <v>4</v>
      </c>
      <c r="Q219" s="592"/>
      <c r="R219" s="23"/>
      <c r="S219" s="10">
        <f t="shared" si="52"/>
        <v>136000</v>
      </c>
      <c r="T219" s="10">
        <f t="shared" si="53"/>
        <v>-135000</v>
      </c>
      <c r="U219" s="10">
        <f t="shared" si="61"/>
        <v>0</v>
      </c>
      <c r="V219" s="10">
        <f t="shared" si="54"/>
        <v>544000</v>
      </c>
      <c r="W219" s="10">
        <f t="shared" si="55"/>
        <v>0</v>
      </c>
      <c r="X219" s="10">
        <f t="shared" si="56"/>
        <v>0</v>
      </c>
    </row>
    <row r="220" spans="1:24" s="9" customFormat="1" ht="13.5" customHeight="1" x14ac:dyDescent="0.2">
      <c r="A220" s="64">
        <f t="shared" si="57"/>
        <v>216</v>
      </c>
      <c r="B220" s="204" t="s">
        <v>2091</v>
      </c>
      <c r="C220" s="163">
        <v>39029</v>
      </c>
      <c r="D220" s="175">
        <v>100000</v>
      </c>
      <c r="E220" s="249"/>
      <c r="F220" s="67">
        <f t="shared" si="50"/>
        <v>100000</v>
      </c>
      <c r="G220" s="67">
        <v>99000</v>
      </c>
      <c r="H220" s="67">
        <f t="shared" si="58"/>
        <v>1000</v>
      </c>
      <c r="I220" s="68">
        <v>5</v>
      </c>
      <c r="J220" s="68">
        <v>0.2</v>
      </c>
      <c r="K220" s="68">
        <v>0</v>
      </c>
      <c r="L220" s="110">
        <f t="shared" si="62"/>
        <v>0</v>
      </c>
      <c r="M220" s="67">
        <f t="shared" si="60"/>
        <v>99000</v>
      </c>
      <c r="N220" s="110">
        <f t="shared" si="51"/>
        <v>1000</v>
      </c>
      <c r="O220" s="145" t="s">
        <v>2070</v>
      </c>
      <c r="P220" s="555">
        <v>2</v>
      </c>
      <c r="Q220" s="592"/>
      <c r="R220" s="23"/>
      <c r="S220" s="10">
        <f t="shared" si="52"/>
        <v>5000</v>
      </c>
      <c r="T220" s="10">
        <f t="shared" si="53"/>
        <v>-4000</v>
      </c>
      <c r="U220" s="10">
        <f t="shared" si="61"/>
        <v>0</v>
      </c>
      <c r="V220" s="10">
        <f t="shared" si="54"/>
        <v>20000</v>
      </c>
      <c r="W220" s="10">
        <f t="shared" si="55"/>
        <v>0</v>
      </c>
      <c r="X220" s="10">
        <f t="shared" si="56"/>
        <v>0</v>
      </c>
    </row>
    <row r="221" spans="1:24" s="9" customFormat="1" ht="13.5" customHeight="1" x14ac:dyDescent="0.2">
      <c r="A221" s="64">
        <f t="shared" si="57"/>
        <v>217</v>
      </c>
      <c r="B221" s="204" t="s">
        <v>2083</v>
      </c>
      <c r="C221" s="163">
        <v>39065</v>
      </c>
      <c r="D221" s="175">
        <v>1380000</v>
      </c>
      <c r="E221" s="249"/>
      <c r="F221" s="67">
        <f t="shared" si="50"/>
        <v>1380000</v>
      </c>
      <c r="G221" s="67">
        <v>1379000</v>
      </c>
      <c r="H221" s="67">
        <f t="shared" si="58"/>
        <v>1000</v>
      </c>
      <c r="I221" s="68">
        <v>5</v>
      </c>
      <c r="J221" s="68">
        <v>0.2</v>
      </c>
      <c r="K221" s="68">
        <v>0</v>
      </c>
      <c r="L221" s="110">
        <f t="shared" si="62"/>
        <v>0</v>
      </c>
      <c r="M221" s="67">
        <f t="shared" si="60"/>
        <v>1379000</v>
      </c>
      <c r="N221" s="110">
        <f t="shared" si="51"/>
        <v>1000</v>
      </c>
      <c r="O221" s="145" t="s">
        <v>2092</v>
      </c>
      <c r="P221" s="555">
        <v>1</v>
      </c>
      <c r="Q221" s="592"/>
      <c r="R221" s="23"/>
      <c r="S221" s="10">
        <f t="shared" si="52"/>
        <v>69000</v>
      </c>
      <c r="T221" s="10">
        <f t="shared" si="53"/>
        <v>-68000</v>
      </c>
      <c r="U221" s="10">
        <f t="shared" si="61"/>
        <v>0</v>
      </c>
      <c r="V221" s="10">
        <f t="shared" si="54"/>
        <v>276000</v>
      </c>
      <c r="W221" s="10">
        <f t="shared" si="55"/>
        <v>0</v>
      </c>
      <c r="X221" s="10">
        <f t="shared" si="56"/>
        <v>0</v>
      </c>
    </row>
    <row r="222" spans="1:24" s="9" customFormat="1" ht="13.5" customHeight="1" x14ac:dyDescent="0.2">
      <c r="A222" s="64">
        <f t="shared" si="57"/>
        <v>218</v>
      </c>
      <c r="B222" s="204" t="s">
        <v>2093</v>
      </c>
      <c r="C222" s="163">
        <v>39104</v>
      </c>
      <c r="D222" s="175">
        <v>840000</v>
      </c>
      <c r="E222" s="249"/>
      <c r="F222" s="67">
        <f t="shared" si="50"/>
        <v>840000</v>
      </c>
      <c r="G222" s="67">
        <v>839000</v>
      </c>
      <c r="H222" s="67">
        <f t="shared" si="58"/>
        <v>1000</v>
      </c>
      <c r="I222" s="68">
        <v>5</v>
      </c>
      <c r="J222" s="68">
        <v>0.2</v>
      </c>
      <c r="K222" s="68">
        <v>0</v>
      </c>
      <c r="L222" s="110">
        <f t="shared" si="62"/>
        <v>0</v>
      </c>
      <c r="M222" s="67">
        <f t="shared" si="60"/>
        <v>839000</v>
      </c>
      <c r="N222" s="110">
        <f t="shared" si="51"/>
        <v>1000</v>
      </c>
      <c r="O222" s="145" t="s">
        <v>2029</v>
      </c>
      <c r="P222" s="555">
        <v>3</v>
      </c>
      <c r="Q222" s="592"/>
      <c r="R222" s="23"/>
      <c r="S222" s="10">
        <f t="shared" si="52"/>
        <v>42000</v>
      </c>
      <c r="T222" s="10">
        <f t="shared" si="53"/>
        <v>-41000</v>
      </c>
      <c r="U222" s="10">
        <f t="shared" si="61"/>
        <v>0</v>
      </c>
      <c r="V222" s="10">
        <f t="shared" si="54"/>
        <v>168000</v>
      </c>
      <c r="W222" s="10">
        <f t="shared" si="55"/>
        <v>0</v>
      </c>
      <c r="X222" s="10">
        <f t="shared" si="56"/>
        <v>0</v>
      </c>
    </row>
    <row r="223" spans="1:24" s="9" customFormat="1" ht="13.5" customHeight="1" x14ac:dyDescent="0.2">
      <c r="A223" s="64">
        <f t="shared" si="57"/>
        <v>219</v>
      </c>
      <c r="B223" s="204" t="s">
        <v>2069</v>
      </c>
      <c r="C223" s="163">
        <v>39112</v>
      </c>
      <c r="D223" s="175">
        <v>90000</v>
      </c>
      <c r="E223" s="249"/>
      <c r="F223" s="67">
        <f t="shared" si="50"/>
        <v>90000</v>
      </c>
      <c r="G223" s="67">
        <v>89000</v>
      </c>
      <c r="H223" s="67">
        <f t="shared" si="58"/>
        <v>1000</v>
      </c>
      <c r="I223" s="68">
        <v>5</v>
      </c>
      <c r="J223" s="68">
        <v>0.2</v>
      </c>
      <c r="K223" s="68">
        <v>0</v>
      </c>
      <c r="L223" s="110">
        <f t="shared" si="62"/>
        <v>0</v>
      </c>
      <c r="M223" s="67">
        <f t="shared" si="60"/>
        <v>89000</v>
      </c>
      <c r="N223" s="110">
        <f t="shared" si="51"/>
        <v>1000</v>
      </c>
      <c r="O223" s="145" t="s">
        <v>2070</v>
      </c>
      <c r="P223" s="555">
        <v>1</v>
      </c>
      <c r="Q223" s="592"/>
      <c r="R223" s="23"/>
      <c r="S223" s="10">
        <f t="shared" si="52"/>
        <v>4500</v>
      </c>
      <c r="T223" s="10">
        <f t="shared" si="53"/>
        <v>-3500</v>
      </c>
      <c r="U223" s="10">
        <f t="shared" si="61"/>
        <v>0</v>
      </c>
      <c r="V223" s="10">
        <f t="shared" si="54"/>
        <v>18000</v>
      </c>
      <c r="W223" s="10">
        <f t="shared" si="55"/>
        <v>0</v>
      </c>
      <c r="X223" s="10">
        <f t="shared" si="56"/>
        <v>0</v>
      </c>
    </row>
    <row r="224" spans="1:24" s="9" customFormat="1" ht="13.5" customHeight="1" x14ac:dyDescent="0.2">
      <c r="A224" s="64">
        <f t="shared" si="57"/>
        <v>220</v>
      </c>
      <c r="B224" s="204" t="s">
        <v>2094</v>
      </c>
      <c r="C224" s="163">
        <v>39112</v>
      </c>
      <c r="D224" s="175">
        <v>270000</v>
      </c>
      <c r="E224" s="249"/>
      <c r="F224" s="67">
        <f t="shared" si="50"/>
        <v>270000</v>
      </c>
      <c r="G224" s="67">
        <v>269000</v>
      </c>
      <c r="H224" s="67">
        <f t="shared" si="58"/>
        <v>1000</v>
      </c>
      <c r="I224" s="68">
        <v>5</v>
      </c>
      <c r="J224" s="68">
        <v>0.2</v>
      </c>
      <c r="K224" s="68">
        <v>0</v>
      </c>
      <c r="L224" s="110">
        <f t="shared" si="62"/>
        <v>0</v>
      </c>
      <c r="M224" s="67">
        <f t="shared" si="60"/>
        <v>269000</v>
      </c>
      <c r="N224" s="110">
        <f t="shared" si="51"/>
        <v>1000</v>
      </c>
      <c r="O224" s="145" t="s">
        <v>2070</v>
      </c>
      <c r="P224" s="555">
        <v>1</v>
      </c>
      <c r="Q224" s="592"/>
      <c r="R224" s="23"/>
      <c r="S224" s="10">
        <f t="shared" si="52"/>
        <v>13500</v>
      </c>
      <c r="T224" s="10">
        <f t="shared" si="53"/>
        <v>-12500</v>
      </c>
      <c r="U224" s="10">
        <f t="shared" si="61"/>
        <v>0</v>
      </c>
      <c r="V224" s="10">
        <f t="shared" si="54"/>
        <v>54000</v>
      </c>
      <c r="W224" s="10">
        <f t="shared" si="55"/>
        <v>0</v>
      </c>
      <c r="X224" s="10">
        <f t="shared" si="56"/>
        <v>0</v>
      </c>
    </row>
    <row r="225" spans="1:24" s="9" customFormat="1" ht="13.5" customHeight="1" x14ac:dyDescent="0.2">
      <c r="A225" s="64">
        <f t="shared" si="57"/>
        <v>221</v>
      </c>
      <c r="B225" s="204" t="s">
        <v>2095</v>
      </c>
      <c r="C225" s="163">
        <v>39113</v>
      </c>
      <c r="D225" s="175">
        <v>1050000</v>
      </c>
      <c r="E225" s="249"/>
      <c r="F225" s="67">
        <f t="shared" si="50"/>
        <v>1050000</v>
      </c>
      <c r="G225" s="67">
        <v>1049000</v>
      </c>
      <c r="H225" s="67">
        <f t="shared" si="58"/>
        <v>1000</v>
      </c>
      <c r="I225" s="68">
        <v>5</v>
      </c>
      <c r="J225" s="68">
        <v>0.2</v>
      </c>
      <c r="K225" s="68">
        <v>0</v>
      </c>
      <c r="L225" s="110">
        <f t="shared" si="62"/>
        <v>0</v>
      </c>
      <c r="M225" s="67">
        <f t="shared" si="60"/>
        <v>1049000</v>
      </c>
      <c r="N225" s="110">
        <f t="shared" si="51"/>
        <v>1000</v>
      </c>
      <c r="O225" s="145" t="s">
        <v>1981</v>
      </c>
      <c r="P225" s="555">
        <v>1</v>
      </c>
      <c r="Q225" s="592"/>
      <c r="R225" s="23"/>
      <c r="S225" s="10">
        <f t="shared" si="52"/>
        <v>52500</v>
      </c>
      <c r="T225" s="10">
        <f t="shared" si="53"/>
        <v>-51500</v>
      </c>
      <c r="U225" s="10">
        <f t="shared" si="61"/>
        <v>0</v>
      </c>
      <c r="V225" s="10">
        <f t="shared" si="54"/>
        <v>210000</v>
      </c>
      <c r="W225" s="10">
        <f t="shared" si="55"/>
        <v>0</v>
      </c>
      <c r="X225" s="10">
        <f t="shared" si="56"/>
        <v>0</v>
      </c>
    </row>
    <row r="226" spans="1:24" s="9" customFormat="1" ht="13.5" customHeight="1" x14ac:dyDescent="0.2">
      <c r="A226" s="64">
        <f t="shared" si="57"/>
        <v>222</v>
      </c>
      <c r="B226" s="204" t="s">
        <v>2096</v>
      </c>
      <c r="C226" s="163">
        <v>39136</v>
      </c>
      <c r="D226" s="175">
        <v>200000</v>
      </c>
      <c r="E226" s="249"/>
      <c r="F226" s="67">
        <f t="shared" si="50"/>
        <v>200000</v>
      </c>
      <c r="G226" s="67">
        <v>199000</v>
      </c>
      <c r="H226" s="67">
        <f t="shared" si="58"/>
        <v>1000</v>
      </c>
      <c r="I226" s="68">
        <v>5</v>
      </c>
      <c r="J226" s="68">
        <v>0.2</v>
      </c>
      <c r="K226" s="68">
        <v>0</v>
      </c>
      <c r="L226" s="110">
        <f t="shared" si="62"/>
        <v>0</v>
      </c>
      <c r="M226" s="67">
        <f t="shared" si="60"/>
        <v>199000</v>
      </c>
      <c r="N226" s="110">
        <f t="shared" si="51"/>
        <v>1000</v>
      </c>
      <c r="O226" s="145" t="s">
        <v>2070</v>
      </c>
      <c r="P226" s="555">
        <v>2</v>
      </c>
      <c r="Q226" s="592"/>
      <c r="R226" s="23"/>
      <c r="S226" s="10">
        <f t="shared" si="52"/>
        <v>10000</v>
      </c>
      <c r="T226" s="10">
        <f t="shared" si="53"/>
        <v>-9000</v>
      </c>
      <c r="U226" s="10">
        <f t="shared" si="61"/>
        <v>0</v>
      </c>
      <c r="V226" s="10">
        <f t="shared" si="54"/>
        <v>40000</v>
      </c>
      <c r="W226" s="10">
        <f t="shared" si="55"/>
        <v>0</v>
      </c>
      <c r="X226" s="10">
        <f t="shared" si="56"/>
        <v>0</v>
      </c>
    </row>
    <row r="227" spans="1:24" s="9" customFormat="1" ht="13.5" customHeight="1" x14ac:dyDescent="0.2">
      <c r="A227" s="64">
        <f t="shared" si="57"/>
        <v>223</v>
      </c>
      <c r="B227" s="204" t="s">
        <v>2072</v>
      </c>
      <c r="C227" s="163">
        <v>39136</v>
      </c>
      <c r="D227" s="175">
        <v>100000</v>
      </c>
      <c r="E227" s="249"/>
      <c r="F227" s="67">
        <f t="shared" si="50"/>
        <v>100000</v>
      </c>
      <c r="G227" s="67">
        <v>99000</v>
      </c>
      <c r="H227" s="67">
        <f t="shared" si="58"/>
        <v>1000</v>
      </c>
      <c r="I227" s="68">
        <v>5</v>
      </c>
      <c r="J227" s="68">
        <v>0.2</v>
      </c>
      <c r="K227" s="68">
        <v>0</v>
      </c>
      <c r="L227" s="110">
        <f t="shared" si="62"/>
        <v>0</v>
      </c>
      <c r="M227" s="67">
        <f t="shared" si="60"/>
        <v>99000</v>
      </c>
      <c r="N227" s="110">
        <f t="shared" si="51"/>
        <v>1000</v>
      </c>
      <c r="O227" s="145" t="s">
        <v>2070</v>
      </c>
      <c r="P227" s="555">
        <v>2</v>
      </c>
      <c r="Q227" s="592"/>
      <c r="R227" s="23"/>
      <c r="S227" s="10">
        <f t="shared" si="52"/>
        <v>5000</v>
      </c>
      <c r="T227" s="10">
        <f t="shared" si="53"/>
        <v>-4000</v>
      </c>
      <c r="U227" s="10">
        <f t="shared" si="61"/>
        <v>0</v>
      </c>
      <c r="V227" s="10">
        <f t="shared" si="54"/>
        <v>20000</v>
      </c>
      <c r="W227" s="10">
        <f t="shared" si="55"/>
        <v>0</v>
      </c>
      <c r="X227" s="10">
        <f t="shared" si="56"/>
        <v>0</v>
      </c>
    </row>
    <row r="228" spans="1:24" s="9" customFormat="1" ht="13.5" customHeight="1" x14ac:dyDescent="0.2">
      <c r="A228" s="64">
        <f t="shared" si="57"/>
        <v>224</v>
      </c>
      <c r="B228" s="204" t="s">
        <v>1873</v>
      </c>
      <c r="C228" s="163">
        <v>39136</v>
      </c>
      <c r="D228" s="175">
        <v>90000</v>
      </c>
      <c r="E228" s="249"/>
      <c r="F228" s="67">
        <f t="shared" si="50"/>
        <v>90000</v>
      </c>
      <c r="G228" s="67">
        <v>89000</v>
      </c>
      <c r="H228" s="67">
        <f t="shared" si="58"/>
        <v>1000</v>
      </c>
      <c r="I228" s="68">
        <v>5</v>
      </c>
      <c r="J228" s="68">
        <v>0.2</v>
      </c>
      <c r="K228" s="68">
        <v>0</v>
      </c>
      <c r="L228" s="110">
        <f t="shared" si="62"/>
        <v>0</v>
      </c>
      <c r="M228" s="67">
        <f t="shared" si="60"/>
        <v>89000</v>
      </c>
      <c r="N228" s="110">
        <f t="shared" si="51"/>
        <v>1000</v>
      </c>
      <c r="O228" s="145" t="s">
        <v>2070</v>
      </c>
      <c r="P228" s="555">
        <v>2</v>
      </c>
      <c r="Q228" s="592"/>
      <c r="R228" s="23"/>
      <c r="S228" s="10">
        <f t="shared" si="52"/>
        <v>4500</v>
      </c>
      <c r="T228" s="10">
        <f t="shared" si="53"/>
        <v>-3500</v>
      </c>
      <c r="U228" s="10">
        <f t="shared" si="61"/>
        <v>0</v>
      </c>
      <c r="V228" s="10">
        <f t="shared" si="54"/>
        <v>18000</v>
      </c>
      <c r="W228" s="10">
        <f t="shared" si="55"/>
        <v>0</v>
      </c>
      <c r="X228" s="10">
        <f t="shared" si="56"/>
        <v>0</v>
      </c>
    </row>
    <row r="229" spans="1:24" s="9" customFormat="1" ht="13.5" customHeight="1" x14ac:dyDescent="0.2">
      <c r="A229" s="64">
        <f t="shared" si="57"/>
        <v>225</v>
      </c>
      <c r="B229" s="204" t="s">
        <v>2095</v>
      </c>
      <c r="C229" s="163">
        <v>39141</v>
      </c>
      <c r="D229" s="175">
        <v>670000</v>
      </c>
      <c r="E229" s="249"/>
      <c r="F229" s="67">
        <f t="shared" si="50"/>
        <v>670000</v>
      </c>
      <c r="G229" s="67">
        <v>669000</v>
      </c>
      <c r="H229" s="67">
        <f t="shared" si="58"/>
        <v>1000</v>
      </c>
      <c r="I229" s="68">
        <v>5</v>
      </c>
      <c r="J229" s="68">
        <v>0.2</v>
      </c>
      <c r="K229" s="68">
        <v>0</v>
      </c>
      <c r="L229" s="110">
        <f t="shared" si="62"/>
        <v>0</v>
      </c>
      <c r="M229" s="67">
        <f t="shared" si="60"/>
        <v>669000</v>
      </c>
      <c r="N229" s="110">
        <f t="shared" si="51"/>
        <v>1000</v>
      </c>
      <c r="O229" s="145" t="s">
        <v>2082</v>
      </c>
      <c r="P229" s="555">
        <v>1</v>
      </c>
      <c r="Q229" s="592"/>
      <c r="R229" s="23"/>
      <c r="S229" s="10">
        <f t="shared" si="52"/>
        <v>33500</v>
      </c>
      <c r="T229" s="10">
        <f t="shared" si="53"/>
        <v>-32500</v>
      </c>
      <c r="U229" s="10">
        <f t="shared" si="61"/>
        <v>0</v>
      </c>
      <c r="V229" s="10">
        <f t="shared" si="54"/>
        <v>134000</v>
      </c>
      <c r="W229" s="10">
        <f t="shared" si="55"/>
        <v>0</v>
      </c>
      <c r="X229" s="10">
        <f t="shared" si="56"/>
        <v>0</v>
      </c>
    </row>
    <row r="230" spans="1:24" s="9" customFormat="1" ht="13.5" customHeight="1" x14ac:dyDescent="0.2">
      <c r="A230" s="64">
        <f t="shared" si="57"/>
        <v>226</v>
      </c>
      <c r="B230" s="204" t="s">
        <v>1840</v>
      </c>
      <c r="C230" s="163">
        <v>39141</v>
      </c>
      <c r="D230" s="175">
        <v>3320000</v>
      </c>
      <c r="E230" s="249"/>
      <c r="F230" s="67">
        <f t="shared" si="50"/>
        <v>3320000</v>
      </c>
      <c r="G230" s="67">
        <v>3319000</v>
      </c>
      <c r="H230" s="67">
        <f t="shared" si="58"/>
        <v>1000</v>
      </c>
      <c r="I230" s="68">
        <v>5</v>
      </c>
      <c r="J230" s="68">
        <v>0.2</v>
      </c>
      <c r="K230" s="68">
        <v>0</v>
      </c>
      <c r="L230" s="110">
        <f t="shared" si="62"/>
        <v>0</v>
      </c>
      <c r="M230" s="67">
        <f t="shared" si="60"/>
        <v>3319000</v>
      </c>
      <c r="N230" s="110">
        <f t="shared" si="51"/>
        <v>1000</v>
      </c>
      <c r="O230" s="145" t="s">
        <v>2082</v>
      </c>
      <c r="P230" s="555">
        <v>2</v>
      </c>
      <c r="Q230" s="592"/>
      <c r="R230" s="23"/>
      <c r="S230" s="10">
        <f t="shared" si="52"/>
        <v>166000</v>
      </c>
      <c r="T230" s="10">
        <f t="shared" si="53"/>
        <v>-165000</v>
      </c>
      <c r="U230" s="10">
        <f t="shared" si="61"/>
        <v>0</v>
      </c>
      <c r="V230" s="10">
        <f t="shared" si="54"/>
        <v>664000</v>
      </c>
      <c r="W230" s="10">
        <f t="shared" si="55"/>
        <v>0</v>
      </c>
      <c r="X230" s="10">
        <f t="shared" si="56"/>
        <v>0</v>
      </c>
    </row>
    <row r="231" spans="1:24" s="9" customFormat="1" ht="13.5" customHeight="1" x14ac:dyDescent="0.2">
      <c r="A231" s="64">
        <f t="shared" si="57"/>
        <v>227</v>
      </c>
      <c r="B231" s="204" t="s">
        <v>2097</v>
      </c>
      <c r="C231" s="163">
        <v>39126</v>
      </c>
      <c r="D231" s="175">
        <v>5995000</v>
      </c>
      <c r="E231" s="249"/>
      <c r="F231" s="67">
        <f t="shared" si="50"/>
        <v>5995000</v>
      </c>
      <c r="G231" s="67">
        <v>5994000</v>
      </c>
      <c r="H231" s="67">
        <f t="shared" si="58"/>
        <v>1000</v>
      </c>
      <c r="I231" s="68">
        <v>5</v>
      </c>
      <c r="J231" s="68">
        <v>0.2</v>
      </c>
      <c r="K231" s="68">
        <v>0</v>
      </c>
      <c r="L231" s="110">
        <f t="shared" si="62"/>
        <v>0</v>
      </c>
      <c r="M231" s="67">
        <f t="shared" si="60"/>
        <v>5994000</v>
      </c>
      <c r="N231" s="110">
        <f t="shared" si="51"/>
        <v>1000</v>
      </c>
      <c r="O231" s="145" t="s">
        <v>2098</v>
      </c>
      <c r="P231" s="555">
        <v>3</v>
      </c>
      <c r="Q231" s="592"/>
      <c r="R231" s="23"/>
      <c r="S231" s="10">
        <f t="shared" si="52"/>
        <v>299750</v>
      </c>
      <c r="T231" s="10">
        <f t="shared" si="53"/>
        <v>-298750</v>
      </c>
      <c r="U231" s="10">
        <f t="shared" si="61"/>
        <v>0</v>
      </c>
      <c r="V231" s="10">
        <f t="shared" si="54"/>
        <v>1199000</v>
      </c>
      <c r="W231" s="10">
        <f t="shared" si="55"/>
        <v>0</v>
      </c>
      <c r="X231" s="10">
        <f t="shared" si="56"/>
        <v>0</v>
      </c>
    </row>
    <row r="232" spans="1:24" s="9" customFormat="1" ht="13.5" customHeight="1" x14ac:dyDescent="0.2">
      <c r="A232" s="64">
        <f t="shared" si="57"/>
        <v>228</v>
      </c>
      <c r="B232" s="204" t="s">
        <v>2099</v>
      </c>
      <c r="C232" s="163">
        <v>39141</v>
      </c>
      <c r="D232" s="175">
        <v>30000000</v>
      </c>
      <c r="E232" s="249"/>
      <c r="F232" s="67">
        <f t="shared" si="50"/>
        <v>30000000</v>
      </c>
      <c r="G232" s="67">
        <v>29999000</v>
      </c>
      <c r="H232" s="67">
        <f t="shared" si="58"/>
        <v>1000</v>
      </c>
      <c r="I232" s="68">
        <v>5</v>
      </c>
      <c r="J232" s="68">
        <v>0.2</v>
      </c>
      <c r="K232" s="68">
        <v>0</v>
      </c>
      <c r="L232" s="110">
        <f t="shared" si="62"/>
        <v>0</v>
      </c>
      <c r="M232" s="67">
        <f t="shared" si="60"/>
        <v>29999000</v>
      </c>
      <c r="N232" s="110">
        <f t="shared" si="51"/>
        <v>1000</v>
      </c>
      <c r="O232" s="145" t="s">
        <v>2100</v>
      </c>
      <c r="P232" s="555">
        <v>1</v>
      </c>
      <c r="Q232" s="592"/>
      <c r="R232" s="23"/>
      <c r="S232" s="10">
        <f t="shared" si="52"/>
        <v>1500000</v>
      </c>
      <c r="T232" s="10">
        <f t="shared" si="53"/>
        <v>-1499000</v>
      </c>
      <c r="U232" s="10">
        <f t="shared" si="61"/>
        <v>0</v>
      </c>
      <c r="V232" s="10">
        <f t="shared" si="54"/>
        <v>6000000</v>
      </c>
      <c r="W232" s="10">
        <f t="shared" si="55"/>
        <v>0</v>
      </c>
      <c r="X232" s="10">
        <f t="shared" si="56"/>
        <v>0</v>
      </c>
    </row>
    <row r="233" spans="1:24" s="9" customFormat="1" ht="13.5" customHeight="1" x14ac:dyDescent="0.2">
      <c r="A233" s="64">
        <f t="shared" si="57"/>
        <v>229</v>
      </c>
      <c r="B233" s="204" t="s">
        <v>2101</v>
      </c>
      <c r="C233" s="163">
        <v>39146</v>
      </c>
      <c r="D233" s="175">
        <v>170000</v>
      </c>
      <c r="E233" s="249"/>
      <c r="F233" s="67">
        <f t="shared" si="50"/>
        <v>170000</v>
      </c>
      <c r="G233" s="67">
        <v>169000</v>
      </c>
      <c r="H233" s="67">
        <f t="shared" si="58"/>
        <v>1000</v>
      </c>
      <c r="I233" s="68">
        <v>5</v>
      </c>
      <c r="J233" s="68">
        <v>0.2</v>
      </c>
      <c r="K233" s="68">
        <v>0</v>
      </c>
      <c r="L233" s="110">
        <f t="shared" si="62"/>
        <v>0</v>
      </c>
      <c r="M233" s="67">
        <f t="shared" si="60"/>
        <v>169000</v>
      </c>
      <c r="N233" s="110">
        <f t="shared" si="51"/>
        <v>1000</v>
      </c>
      <c r="O233" s="145" t="s">
        <v>2090</v>
      </c>
      <c r="P233" s="555">
        <v>1</v>
      </c>
      <c r="Q233" s="592"/>
      <c r="R233" s="23"/>
      <c r="S233" s="10">
        <f t="shared" si="52"/>
        <v>8500</v>
      </c>
      <c r="T233" s="10">
        <f t="shared" si="53"/>
        <v>-7500</v>
      </c>
      <c r="U233" s="10">
        <f t="shared" si="61"/>
        <v>0</v>
      </c>
      <c r="V233" s="10">
        <f t="shared" si="54"/>
        <v>34000</v>
      </c>
      <c r="W233" s="10">
        <f t="shared" si="55"/>
        <v>0</v>
      </c>
      <c r="X233" s="10">
        <f t="shared" si="56"/>
        <v>0</v>
      </c>
    </row>
    <row r="234" spans="1:24" s="9" customFormat="1" ht="13.5" customHeight="1" x14ac:dyDescent="0.2">
      <c r="A234" s="64">
        <f t="shared" si="57"/>
        <v>230</v>
      </c>
      <c r="B234" s="204" t="s">
        <v>2102</v>
      </c>
      <c r="C234" s="163">
        <v>39150</v>
      </c>
      <c r="D234" s="175">
        <v>440000</v>
      </c>
      <c r="E234" s="249"/>
      <c r="F234" s="67">
        <f t="shared" si="50"/>
        <v>440000</v>
      </c>
      <c r="G234" s="67">
        <v>439000</v>
      </c>
      <c r="H234" s="67">
        <f t="shared" si="58"/>
        <v>1000</v>
      </c>
      <c r="I234" s="68">
        <v>5</v>
      </c>
      <c r="J234" s="68">
        <v>0.2</v>
      </c>
      <c r="K234" s="68">
        <v>0</v>
      </c>
      <c r="L234" s="110">
        <f t="shared" si="62"/>
        <v>0</v>
      </c>
      <c r="M234" s="67">
        <f t="shared" si="60"/>
        <v>439000</v>
      </c>
      <c r="N234" s="110">
        <f t="shared" si="51"/>
        <v>1000</v>
      </c>
      <c r="O234" s="145" t="s">
        <v>2070</v>
      </c>
      <c r="P234" s="555">
        <v>4</v>
      </c>
      <c r="Q234" s="592"/>
      <c r="R234" s="23"/>
      <c r="S234" s="10">
        <f t="shared" si="52"/>
        <v>22000</v>
      </c>
      <c r="T234" s="10">
        <f t="shared" si="53"/>
        <v>-21000</v>
      </c>
      <c r="U234" s="10">
        <f t="shared" si="61"/>
        <v>0</v>
      </c>
      <c r="V234" s="10">
        <f t="shared" si="54"/>
        <v>88000</v>
      </c>
      <c r="W234" s="10">
        <f t="shared" si="55"/>
        <v>0</v>
      </c>
      <c r="X234" s="10">
        <f t="shared" si="56"/>
        <v>0</v>
      </c>
    </row>
    <row r="235" spans="1:24" s="9" customFormat="1" ht="13.5" customHeight="1" x14ac:dyDescent="0.2">
      <c r="A235" s="64">
        <f t="shared" si="57"/>
        <v>231</v>
      </c>
      <c r="B235" s="204" t="s">
        <v>2103</v>
      </c>
      <c r="C235" s="163">
        <v>39150</v>
      </c>
      <c r="D235" s="175">
        <v>608000</v>
      </c>
      <c r="E235" s="249"/>
      <c r="F235" s="67">
        <f t="shared" si="50"/>
        <v>608000</v>
      </c>
      <c r="G235" s="67">
        <v>607000</v>
      </c>
      <c r="H235" s="67">
        <f t="shared" si="58"/>
        <v>1000</v>
      </c>
      <c r="I235" s="68">
        <v>5</v>
      </c>
      <c r="J235" s="68">
        <v>0.2</v>
      </c>
      <c r="K235" s="68">
        <v>0</v>
      </c>
      <c r="L235" s="110">
        <f t="shared" si="62"/>
        <v>0</v>
      </c>
      <c r="M235" s="67">
        <f t="shared" si="60"/>
        <v>607000</v>
      </c>
      <c r="N235" s="110">
        <f t="shared" si="51"/>
        <v>1000</v>
      </c>
      <c r="O235" s="145" t="s">
        <v>2070</v>
      </c>
      <c r="P235" s="555">
        <v>16</v>
      </c>
      <c r="Q235" s="592"/>
      <c r="R235" s="23"/>
      <c r="S235" s="10">
        <f t="shared" si="52"/>
        <v>30400</v>
      </c>
      <c r="T235" s="10">
        <f t="shared" si="53"/>
        <v>-29400</v>
      </c>
      <c r="U235" s="10">
        <f t="shared" si="61"/>
        <v>0</v>
      </c>
      <c r="V235" s="10">
        <f t="shared" si="54"/>
        <v>121600</v>
      </c>
      <c r="W235" s="10">
        <f t="shared" si="55"/>
        <v>0</v>
      </c>
      <c r="X235" s="10">
        <f t="shared" si="56"/>
        <v>0</v>
      </c>
    </row>
    <row r="236" spans="1:24" s="9" customFormat="1" ht="13.5" customHeight="1" x14ac:dyDescent="0.2">
      <c r="A236" s="64">
        <f t="shared" si="57"/>
        <v>232</v>
      </c>
      <c r="B236" s="204" t="s">
        <v>2104</v>
      </c>
      <c r="C236" s="163">
        <v>39155</v>
      </c>
      <c r="D236" s="175">
        <v>120000</v>
      </c>
      <c r="E236" s="249"/>
      <c r="F236" s="67">
        <f t="shared" si="50"/>
        <v>120000</v>
      </c>
      <c r="G236" s="67">
        <v>119000</v>
      </c>
      <c r="H236" s="67">
        <f t="shared" si="58"/>
        <v>1000</v>
      </c>
      <c r="I236" s="68">
        <v>5</v>
      </c>
      <c r="J236" s="68">
        <v>0.2</v>
      </c>
      <c r="K236" s="68">
        <v>0</v>
      </c>
      <c r="L236" s="110">
        <f t="shared" si="62"/>
        <v>0</v>
      </c>
      <c r="M236" s="67">
        <f t="shared" si="60"/>
        <v>119000</v>
      </c>
      <c r="N236" s="110">
        <f t="shared" si="51"/>
        <v>1000</v>
      </c>
      <c r="O236" s="145" t="s">
        <v>2105</v>
      </c>
      <c r="P236" s="555">
        <v>1</v>
      </c>
      <c r="Q236" s="592"/>
      <c r="R236" s="23"/>
      <c r="S236" s="10">
        <f t="shared" si="52"/>
        <v>6000</v>
      </c>
      <c r="T236" s="10">
        <f t="shared" si="53"/>
        <v>-5000</v>
      </c>
      <c r="U236" s="10">
        <f t="shared" si="61"/>
        <v>0</v>
      </c>
      <c r="V236" s="10">
        <f t="shared" si="54"/>
        <v>24000</v>
      </c>
      <c r="W236" s="10">
        <f t="shared" si="55"/>
        <v>0</v>
      </c>
      <c r="X236" s="10">
        <f t="shared" si="56"/>
        <v>0</v>
      </c>
    </row>
    <row r="237" spans="1:24" s="9" customFormat="1" ht="13.5" customHeight="1" x14ac:dyDescent="0.2">
      <c r="A237" s="64">
        <f t="shared" si="57"/>
        <v>233</v>
      </c>
      <c r="B237" s="204" t="s">
        <v>2106</v>
      </c>
      <c r="C237" s="163">
        <v>39155</v>
      </c>
      <c r="D237" s="175">
        <v>550000</v>
      </c>
      <c r="E237" s="249"/>
      <c r="F237" s="67">
        <f t="shared" si="50"/>
        <v>550000</v>
      </c>
      <c r="G237" s="67">
        <v>549000</v>
      </c>
      <c r="H237" s="67">
        <f t="shared" si="58"/>
        <v>1000</v>
      </c>
      <c r="I237" s="68">
        <v>5</v>
      </c>
      <c r="J237" s="68">
        <v>0.2</v>
      </c>
      <c r="K237" s="68">
        <v>0</v>
      </c>
      <c r="L237" s="110">
        <f t="shared" si="62"/>
        <v>0</v>
      </c>
      <c r="M237" s="67">
        <f t="shared" si="60"/>
        <v>549000</v>
      </c>
      <c r="N237" s="110">
        <f t="shared" si="51"/>
        <v>1000</v>
      </c>
      <c r="O237" s="145" t="s">
        <v>2105</v>
      </c>
      <c r="P237" s="555">
        <v>5</v>
      </c>
      <c r="Q237" s="592"/>
      <c r="R237" s="23"/>
      <c r="S237" s="10">
        <f t="shared" si="52"/>
        <v>27500</v>
      </c>
      <c r="T237" s="10">
        <f t="shared" si="53"/>
        <v>-26500</v>
      </c>
      <c r="U237" s="10">
        <f t="shared" si="61"/>
        <v>0</v>
      </c>
      <c r="V237" s="10">
        <f t="shared" si="54"/>
        <v>110000</v>
      </c>
      <c r="W237" s="10">
        <f t="shared" si="55"/>
        <v>0</v>
      </c>
      <c r="X237" s="10">
        <f t="shared" si="56"/>
        <v>0</v>
      </c>
    </row>
    <row r="238" spans="1:24" s="9" customFormat="1" ht="13.5" customHeight="1" x14ac:dyDescent="0.2">
      <c r="A238" s="64">
        <f t="shared" si="57"/>
        <v>234</v>
      </c>
      <c r="B238" s="204" t="s">
        <v>2107</v>
      </c>
      <c r="C238" s="163">
        <v>39160</v>
      </c>
      <c r="D238" s="175">
        <v>5500000</v>
      </c>
      <c r="E238" s="249"/>
      <c r="F238" s="67">
        <f t="shared" si="50"/>
        <v>5500000</v>
      </c>
      <c r="G238" s="67">
        <v>5499000</v>
      </c>
      <c r="H238" s="67">
        <f t="shared" si="58"/>
        <v>1000</v>
      </c>
      <c r="I238" s="68">
        <v>5</v>
      </c>
      <c r="J238" s="68">
        <v>0.2</v>
      </c>
      <c r="K238" s="68">
        <v>0</v>
      </c>
      <c r="L238" s="110">
        <f t="shared" si="62"/>
        <v>0</v>
      </c>
      <c r="M238" s="67">
        <f t="shared" si="60"/>
        <v>5499000</v>
      </c>
      <c r="N238" s="110">
        <f t="shared" si="51"/>
        <v>1000</v>
      </c>
      <c r="O238" s="145" t="s">
        <v>2108</v>
      </c>
      <c r="P238" s="555">
        <v>10</v>
      </c>
      <c r="Q238" s="592"/>
      <c r="R238" s="23"/>
      <c r="S238" s="10">
        <f t="shared" si="52"/>
        <v>275000</v>
      </c>
      <c r="T238" s="10">
        <f t="shared" si="53"/>
        <v>-274000</v>
      </c>
      <c r="U238" s="10">
        <f t="shared" si="61"/>
        <v>0</v>
      </c>
      <c r="V238" s="10">
        <f t="shared" si="54"/>
        <v>1100000</v>
      </c>
      <c r="W238" s="10">
        <f t="shared" si="55"/>
        <v>0</v>
      </c>
      <c r="X238" s="10">
        <f t="shared" si="56"/>
        <v>0</v>
      </c>
    </row>
    <row r="239" spans="1:24" s="9" customFormat="1" ht="13.5" customHeight="1" x14ac:dyDescent="0.2">
      <c r="A239" s="64">
        <f t="shared" si="57"/>
        <v>235</v>
      </c>
      <c r="B239" s="204" t="s">
        <v>2109</v>
      </c>
      <c r="C239" s="163">
        <v>39160</v>
      </c>
      <c r="D239" s="175">
        <v>800000</v>
      </c>
      <c r="E239" s="249"/>
      <c r="F239" s="67">
        <f t="shared" si="50"/>
        <v>800000</v>
      </c>
      <c r="G239" s="67">
        <v>799000</v>
      </c>
      <c r="H239" s="67">
        <f t="shared" si="58"/>
        <v>1000</v>
      </c>
      <c r="I239" s="68">
        <v>5</v>
      </c>
      <c r="J239" s="68">
        <v>0.2</v>
      </c>
      <c r="K239" s="68">
        <v>0</v>
      </c>
      <c r="L239" s="110">
        <f t="shared" si="62"/>
        <v>0</v>
      </c>
      <c r="M239" s="67">
        <f t="shared" si="60"/>
        <v>799000</v>
      </c>
      <c r="N239" s="110">
        <f t="shared" si="51"/>
        <v>1000</v>
      </c>
      <c r="O239" s="145" t="s">
        <v>2108</v>
      </c>
      <c r="P239" s="555">
        <v>4</v>
      </c>
      <c r="Q239" s="592"/>
      <c r="R239" s="23"/>
      <c r="S239" s="10">
        <f t="shared" si="52"/>
        <v>40000</v>
      </c>
      <c r="T239" s="10">
        <f t="shared" si="53"/>
        <v>-39000</v>
      </c>
      <c r="U239" s="10">
        <f t="shared" si="61"/>
        <v>0</v>
      </c>
      <c r="V239" s="10">
        <f t="shared" si="54"/>
        <v>160000</v>
      </c>
      <c r="W239" s="10">
        <f t="shared" si="55"/>
        <v>0</v>
      </c>
      <c r="X239" s="10">
        <f t="shared" si="56"/>
        <v>0</v>
      </c>
    </row>
    <row r="240" spans="1:24" s="9" customFormat="1" ht="13.5" customHeight="1" x14ac:dyDescent="0.2">
      <c r="A240" s="64">
        <f t="shared" si="57"/>
        <v>236</v>
      </c>
      <c r="B240" s="204" t="s">
        <v>2110</v>
      </c>
      <c r="C240" s="163">
        <v>39160</v>
      </c>
      <c r="D240" s="175">
        <v>900000</v>
      </c>
      <c r="E240" s="249"/>
      <c r="F240" s="67">
        <f t="shared" si="50"/>
        <v>900000</v>
      </c>
      <c r="G240" s="67">
        <v>899000</v>
      </c>
      <c r="H240" s="67">
        <f t="shared" si="58"/>
        <v>1000</v>
      </c>
      <c r="I240" s="68">
        <v>5</v>
      </c>
      <c r="J240" s="68">
        <v>0.2</v>
      </c>
      <c r="K240" s="68">
        <v>0</v>
      </c>
      <c r="L240" s="110">
        <f t="shared" si="62"/>
        <v>0</v>
      </c>
      <c r="M240" s="67">
        <f t="shared" si="60"/>
        <v>899000</v>
      </c>
      <c r="N240" s="110">
        <f t="shared" si="51"/>
        <v>1000</v>
      </c>
      <c r="O240" s="145" t="s">
        <v>2108</v>
      </c>
      <c r="P240" s="555">
        <v>3</v>
      </c>
      <c r="Q240" s="592"/>
      <c r="R240" s="23"/>
      <c r="S240" s="10">
        <f t="shared" si="52"/>
        <v>45000</v>
      </c>
      <c r="T240" s="10">
        <f t="shared" si="53"/>
        <v>-44000</v>
      </c>
      <c r="U240" s="10">
        <f t="shared" si="61"/>
        <v>0</v>
      </c>
      <c r="V240" s="10">
        <f t="shared" si="54"/>
        <v>180000</v>
      </c>
      <c r="W240" s="10">
        <f t="shared" si="55"/>
        <v>0</v>
      </c>
      <c r="X240" s="10">
        <f t="shared" si="56"/>
        <v>0</v>
      </c>
    </row>
    <row r="241" spans="1:24" s="9" customFormat="1" ht="13.5" customHeight="1" x14ac:dyDescent="0.2">
      <c r="A241" s="64">
        <f t="shared" si="57"/>
        <v>237</v>
      </c>
      <c r="B241" s="204" t="s">
        <v>2095</v>
      </c>
      <c r="C241" s="163">
        <v>39172</v>
      </c>
      <c r="D241" s="175">
        <v>1330000</v>
      </c>
      <c r="E241" s="249"/>
      <c r="F241" s="67">
        <f t="shared" si="50"/>
        <v>1330000</v>
      </c>
      <c r="G241" s="67">
        <v>1329000</v>
      </c>
      <c r="H241" s="67">
        <f t="shared" si="58"/>
        <v>1000</v>
      </c>
      <c r="I241" s="68">
        <v>5</v>
      </c>
      <c r="J241" s="68">
        <v>0.2</v>
      </c>
      <c r="K241" s="68">
        <v>0</v>
      </c>
      <c r="L241" s="110">
        <f t="shared" si="62"/>
        <v>0</v>
      </c>
      <c r="M241" s="67">
        <f t="shared" si="60"/>
        <v>1329000</v>
      </c>
      <c r="N241" s="110">
        <f t="shared" si="51"/>
        <v>1000</v>
      </c>
      <c r="O241" s="145" t="s">
        <v>2082</v>
      </c>
      <c r="P241" s="555">
        <v>1</v>
      </c>
      <c r="Q241" s="592"/>
      <c r="R241" s="23"/>
      <c r="S241" s="10">
        <f t="shared" si="52"/>
        <v>66500</v>
      </c>
      <c r="T241" s="10">
        <f t="shared" si="53"/>
        <v>-65500</v>
      </c>
      <c r="U241" s="10">
        <f t="shared" si="61"/>
        <v>0</v>
      </c>
      <c r="V241" s="10">
        <f t="shared" si="54"/>
        <v>266000</v>
      </c>
      <c r="W241" s="10">
        <f t="shared" si="55"/>
        <v>0</v>
      </c>
      <c r="X241" s="10">
        <f t="shared" si="56"/>
        <v>0</v>
      </c>
    </row>
    <row r="242" spans="1:24" s="9" customFormat="1" ht="13.5" customHeight="1" x14ac:dyDescent="0.2">
      <c r="A242" s="64">
        <f t="shared" si="57"/>
        <v>238</v>
      </c>
      <c r="B242" s="204" t="s">
        <v>2019</v>
      </c>
      <c r="C242" s="163">
        <v>39172</v>
      </c>
      <c r="D242" s="175">
        <v>220000</v>
      </c>
      <c r="E242" s="249"/>
      <c r="F242" s="67">
        <f t="shared" si="50"/>
        <v>220000</v>
      </c>
      <c r="G242" s="67">
        <v>219000</v>
      </c>
      <c r="H242" s="67">
        <f t="shared" si="58"/>
        <v>1000</v>
      </c>
      <c r="I242" s="68">
        <v>5</v>
      </c>
      <c r="J242" s="68">
        <v>0.2</v>
      </c>
      <c r="K242" s="68">
        <v>0</v>
      </c>
      <c r="L242" s="110">
        <f t="shared" si="62"/>
        <v>0</v>
      </c>
      <c r="M242" s="67">
        <f t="shared" si="60"/>
        <v>219000</v>
      </c>
      <c r="N242" s="110">
        <f t="shared" si="51"/>
        <v>1000</v>
      </c>
      <c r="O242" s="145" t="s">
        <v>2082</v>
      </c>
      <c r="P242" s="555">
        <v>1</v>
      </c>
      <c r="Q242" s="592"/>
      <c r="R242" s="23"/>
      <c r="S242" s="10">
        <f t="shared" si="52"/>
        <v>11000</v>
      </c>
      <c r="T242" s="10">
        <f t="shared" si="53"/>
        <v>-10000</v>
      </c>
      <c r="U242" s="10">
        <f t="shared" si="61"/>
        <v>0</v>
      </c>
      <c r="V242" s="10">
        <f t="shared" si="54"/>
        <v>44000</v>
      </c>
      <c r="W242" s="10">
        <f t="shared" si="55"/>
        <v>0</v>
      </c>
      <c r="X242" s="10">
        <f t="shared" si="56"/>
        <v>0</v>
      </c>
    </row>
    <row r="243" spans="1:24" s="9" customFormat="1" ht="13.5" customHeight="1" x14ac:dyDescent="0.2">
      <c r="A243" s="64">
        <f t="shared" si="57"/>
        <v>239</v>
      </c>
      <c r="B243" s="204" t="s">
        <v>2111</v>
      </c>
      <c r="C243" s="163">
        <v>39172</v>
      </c>
      <c r="D243" s="175">
        <v>280000</v>
      </c>
      <c r="E243" s="249"/>
      <c r="F243" s="67">
        <f t="shared" si="50"/>
        <v>280000</v>
      </c>
      <c r="G243" s="67">
        <v>279000</v>
      </c>
      <c r="H243" s="67">
        <f t="shared" si="58"/>
        <v>1000</v>
      </c>
      <c r="I243" s="68">
        <v>5</v>
      </c>
      <c r="J243" s="68">
        <v>0.2</v>
      </c>
      <c r="K243" s="68">
        <v>0</v>
      </c>
      <c r="L243" s="110">
        <f t="shared" si="62"/>
        <v>0</v>
      </c>
      <c r="M243" s="67">
        <f t="shared" si="60"/>
        <v>279000</v>
      </c>
      <c r="N243" s="110">
        <f t="shared" si="51"/>
        <v>1000</v>
      </c>
      <c r="O243" s="145" t="s">
        <v>2010</v>
      </c>
      <c r="P243" s="555">
        <v>1</v>
      </c>
      <c r="Q243" s="592"/>
      <c r="R243" s="23"/>
      <c r="S243" s="10">
        <f t="shared" si="52"/>
        <v>14000</v>
      </c>
      <c r="T243" s="10">
        <f t="shared" si="53"/>
        <v>-13000</v>
      </c>
      <c r="U243" s="10">
        <f t="shared" si="61"/>
        <v>0</v>
      </c>
      <c r="V243" s="10">
        <f t="shared" si="54"/>
        <v>56000</v>
      </c>
      <c r="W243" s="10">
        <f t="shared" si="55"/>
        <v>0</v>
      </c>
      <c r="X243" s="10">
        <f t="shared" si="56"/>
        <v>0</v>
      </c>
    </row>
    <row r="244" spans="1:24" s="9" customFormat="1" ht="13.5" customHeight="1" x14ac:dyDescent="0.2">
      <c r="A244" s="64">
        <f t="shared" si="57"/>
        <v>240</v>
      </c>
      <c r="B244" s="204" t="s">
        <v>2112</v>
      </c>
      <c r="C244" s="163">
        <v>39190</v>
      </c>
      <c r="D244" s="175">
        <v>360000</v>
      </c>
      <c r="E244" s="249"/>
      <c r="F244" s="67">
        <f t="shared" si="50"/>
        <v>360000</v>
      </c>
      <c r="G244" s="67">
        <v>359000</v>
      </c>
      <c r="H244" s="67">
        <f t="shared" si="58"/>
        <v>1000</v>
      </c>
      <c r="I244" s="68">
        <v>5</v>
      </c>
      <c r="J244" s="68">
        <v>0.2</v>
      </c>
      <c r="K244" s="68">
        <v>0</v>
      </c>
      <c r="L244" s="110">
        <f t="shared" si="62"/>
        <v>0</v>
      </c>
      <c r="M244" s="67">
        <f t="shared" si="60"/>
        <v>359000</v>
      </c>
      <c r="N244" s="110">
        <f t="shared" si="51"/>
        <v>1000</v>
      </c>
      <c r="O244" s="145" t="s">
        <v>2105</v>
      </c>
      <c r="P244" s="555">
        <v>3</v>
      </c>
      <c r="Q244" s="592"/>
      <c r="R244" s="23"/>
      <c r="S244" s="10">
        <f t="shared" si="52"/>
        <v>18000</v>
      </c>
      <c r="T244" s="10">
        <f t="shared" si="53"/>
        <v>-17000</v>
      </c>
      <c r="U244" s="10">
        <f t="shared" si="61"/>
        <v>0</v>
      </c>
      <c r="V244" s="10">
        <f t="shared" si="54"/>
        <v>72000</v>
      </c>
      <c r="W244" s="10">
        <f t="shared" si="55"/>
        <v>0</v>
      </c>
      <c r="X244" s="10">
        <f t="shared" si="56"/>
        <v>0</v>
      </c>
    </row>
    <row r="245" spans="1:24" s="9" customFormat="1" ht="13.5" customHeight="1" x14ac:dyDescent="0.2">
      <c r="A245" s="64">
        <f t="shared" si="57"/>
        <v>241</v>
      </c>
      <c r="B245" s="204" t="s">
        <v>2113</v>
      </c>
      <c r="C245" s="163">
        <v>39212</v>
      </c>
      <c r="D245" s="175">
        <v>860000</v>
      </c>
      <c r="E245" s="249"/>
      <c r="F245" s="67">
        <f t="shared" si="50"/>
        <v>860000</v>
      </c>
      <c r="G245" s="67">
        <v>859000</v>
      </c>
      <c r="H245" s="67">
        <f t="shared" si="58"/>
        <v>1000</v>
      </c>
      <c r="I245" s="68">
        <v>5</v>
      </c>
      <c r="J245" s="68">
        <v>0.2</v>
      </c>
      <c r="K245" s="68">
        <v>0</v>
      </c>
      <c r="L245" s="110">
        <f t="shared" si="62"/>
        <v>0</v>
      </c>
      <c r="M245" s="67">
        <f t="shared" si="60"/>
        <v>859000</v>
      </c>
      <c r="N245" s="110">
        <f t="shared" si="51"/>
        <v>1000</v>
      </c>
      <c r="O245" s="145" t="s">
        <v>2114</v>
      </c>
      <c r="P245" s="555">
        <v>1</v>
      </c>
      <c r="Q245" s="592"/>
      <c r="R245" s="23"/>
      <c r="S245" s="10">
        <f t="shared" si="52"/>
        <v>43000</v>
      </c>
      <c r="T245" s="10">
        <f t="shared" si="53"/>
        <v>-42000</v>
      </c>
      <c r="U245" s="10">
        <f t="shared" si="61"/>
        <v>0</v>
      </c>
      <c r="V245" s="10">
        <f t="shared" si="54"/>
        <v>172000</v>
      </c>
      <c r="W245" s="10">
        <f t="shared" si="55"/>
        <v>0</v>
      </c>
      <c r="X245" s="10">
        <f t="shared" si="56"/>
        <v>0</v>
      </c>
    </row>
    <row r="246" spans="1:24" s="9" customFormat="1" ht="13.5" customHeight="1" x14ac:dyDescent="0.2">
      <c r="A246" s="64">
        <f t="shared" si="57"/>
        <v>242</v>
      </c>
      <c r="B246" s="204" t="s">
        <v>2115</v>
      </c>
      <c r="C246" s="163">
        <v>39233</v>
      </c>
      <c r="D246" s="175">
        <v>220000</v>
      </c>
      <c r="E246" s="249"/>
      <c r="F246" s="67">
        <f t="shared" si="50"/>
        <v>220000</v>
      </c>
      <c r="G246" s="67">
        <v>219000</v>
      </c>
      <c r="H246" s="67">
        <f t="shared" si="58"/>
        <v>1000</v>
      </c>
      <c r="I246" s="68">
        <v>5</v>
      </c>
      <c r="J246" s="68">
        <v>0.2</v>
      </c>
      <c r="K246" s="68">
        <v>0</v>
      </c>
      <c r="L246" s="110">
        <f t="shared" si="62"/>
        <v>0</v>
      </c>
      <c r="M246" s="67">
        <f t="shared" si="60"/>
        <v>219000</v>
      </c>
      <c r="N246" s="110">
        <f t="shared" si="51"/>
        <v>1000</v>
      </c>
      <c r="O246" s="145" t="s">
        <v>2070</v>
      </c>
      <c r="P246" s="555">
        <v>2</v>
      </c>
      <c r="Q246" s="592"/>
      <c r="R246" s="23"/>
      <c r="S246" s="10">
        <f t="shared" si="52"/>
        <v>11000</v>
      </c>
      <c r="T246" s="10">
        <f t="shared" si="53"/>
        <v>-10000</v>
      </c>
      <c r="U246" s="10">
        <f t="shared" si="61"/>
        <v>0</v>
      </c>
      <c r="V246" s="10">
        <f t="shared" si="54"/>
        <v>44000</v>
      </c>
      <c r="W246" s="10">
        <f t="shared" si="55"/>
        <v>0</v>
      </c>
      <c r="X246" s="10">
        <f t="shared" si="56"/>
        <v>0</v>
      </c>
    </row>
    <row r="247" spans="1:24" s="9" customFormat="1" ht="13.5" customHeight="1" x14ac:dyDescent="0.2">
      <c r="A247" s="64">
        <f t="shared" si="57"/>
        <v>243</v>
      </c>
      <c r="B247" s="65" t="s">
        <v>2116</v>
      </c>
      <c r="C247" s="163">
        <v>39233</v>
      </c>
      <c r="D247" s="175">
        <v>1725000</v>
      </c>
      <c r="E247" s="175"/>
      <c r="F247" s="67">
        <f t="shared" si="50"/>
        <v>1725000</v>
      </c>
      <c r="G247" s="67">
        <v>1724000</v>
      </c>
      <c r="H247" s="67">
        <f t="shared" si="58"/>
        <v>1000</v>
      </c>
      <c r="I247" s="68">
        <v>5</v>
      </c>
      <c r="J247" s="68">
        <v>0.2</v>
      </c>
      <c r="K247" s="68">
        <v>0</v>
      </c>
      <c r="L247" s="110">
        <f t="shared" si="62"/>
        <v>0</v>
      </c>
      <c r="M247" s="67">
        <f t="shared" si="60"/>
        <v>1724000</v>
      </c>
      <c r="N247" s="110">
        <f t="shared" si="51"/>
        <v>1000</v>
      </c>
      <c r="O247" s="68" t="s">
        <v>2070</v>
      </c>
      <c r="P247" s="555">
        <v>15</v>
      </c>
      <c r="Q247" s="592"/>
      <c r="R247" s="23">
        <f>+N247*J247</f>
        <v>200</v>
      </c>
      <c r="S247" s="10">
        <f t="shared" si="52"/>
        <v>86250</v>
      </c>
      <c r="T247" s="10">
        <f t="shared" si="53"/>
        <v>-85250</v>
      </c>
      <c r="U247" s="10">
        <f t="shared" si="61"/>
        <v>0</v>
      </c>
      <c r="V247" s="10">
        <f t="shared" si="54"/>
        <v>345000</v>
      </c>
      <c r="W247" s="10">
        <f t="shared" si="55"/>
        <v>0</v>
      </c>
      <c r="X247" s="10">
        <f t="shared" si="56"/>
        <v>0</v>
      </c>
    </row>
    <row r="248" spans="1:24" s="9" customFormat="1" ht="13.5" customHeight="1" x14ac:dyDescent="0.2">
      <c r="A248" s="64">
        <f t="shared" si="57"/>
        <v>244</v>
      </c>
      <c r="B248" s="65" t="s">
        <v>2095</v>
      </c>
      <c r="C248" s="163">
        <v>39294</v>
      </c>
      <c r="D248" s="175">
        <v>700000</v>
      </c>
      <c r="E248" s="175"/>
      <c r="F248" s="67">
        <f t="shared" si="50"/>
        <v>700000</v>
      </c>
      <c r="G248" s="67">
        <v>699000</v>
      </c>
      <c r="H248" s="67">
        <f t="shared" si="58"/>
        <v>1000</v>
      </c>
      <c r="I248" s="68">
        <v>5</v>
      </c>
      <c r="J248" s="68">
        <v>0.2</v>
      </c>
      <c r="K248" s="68">
        <v>0</v>
      </c>
      <c r="L248" s="110">
        <f t="shared" si="62"/>
        <v>0</v>
      </c>
      <c r="M248" s="67">
        <f t="shared" si="60"/>
        <v>699000</v>
      </c>
      <c r="N248" s="110">
        <f t="shared" si="51"/>
        <v>1000</v>
      </c>
      <c r="O248" s="68" t="s">
        <v>1965</v>
      </c>
      <c r="P248" s="555">
        <v>1</v>
      </c>
      <c r="Q248" s="592"/>
      <c r="R248" s="23"/>
      <c r="S248" s="10">
        <f t="shared" si="52"/>
        <v>35000</v>
      </c>
      <c r="T248" s="10">
        <f t="shared" si="53"/>
        <v>-34000</v>
      </c>
      <c r="U248" s="10">
        <f t="shared" si="61"/>
        <v>0</v>
      </c>
      <c r="V248" s="10">
        <f t="shared" si="54"/>
        <v>140000</v>
      </c>
      <c r="W248" s="10">
        <f t="shared" si="55"/>
        <v>0</v>
      </c>
      <c r="X248" s="10">
        <f t="shared" si="56"/>
        <v>0</v>
      </c>
    </row>
    <row r="249" spans="1:24" s="9" customFormat="1" ht="13.5" customHeight="1" x14ac:dyDescent="0.2">
      <c r="A249" s="64">
        <f t="shared" si="57"/>
        <v>245</v>
      </c>
      <c r="B249" s="65" t="s">
        <v>2117</v>
      </c>
      <c r="C249" s="163">
        <v>39314</v>
      </c>
      <c r="D249" s="175">
        <v>1200000</v>
      </c>
      <c r="E249" s="175"/>
      <c r="F249" s="67">
        <f t="shared" si="50"/>
        <v>1200000</v>
      </c>
      <c r="G249" s="67">
        <v>1199000</v>
      </c>
      <c r="H249" s="67">
        <f t="shared" si="58"/>
        <v>1000</v>
      </c>
      <c r="I249" s="68">
        <v>5</v>
      </c>
      <c r="J249" s="68">
        <v>0.2</v>
      </c>
      <c r="K249" s="68">
        <v>0</v>
      </c>
      <c r="L249" s="110">
        <f t="shared" si="62"/>
        <v>0</v>
      </c>
      <c r="M249" s="67">
        <f t="shared" si="60"/>
        <v>1199000</v>
      </c>
      <c r="N249" s="110">
        <f t="shared" si="51"/>
        <v>1000</v>
      </c>
      <c r="O249" s="68" t="s">
        <v>2118</v>
      </c>
      <c r="P249" s="555">
        <v>1</v>
      </c>
      <c r="Q249" s="592"/>
      <c r="R249" s="23"/>
      <c r="S249" s="10">
        <f t="shared" si="52"/>
        <v>60000</v>
      </c>
      <c r="T249" s="10">
        <f t="shared" si="53"/>
        <v>-59000</v>
      </c>
      <c r="U249" s="10">
        <f t="shared" si="61"/>
        <v>0</v>
      </c>
      <c r="V249" s="10">
        <f t="shared" si="54"/>
        <v>240000</v>
      </c>
      <c r="W249" s="10">
        <f t="shared" si="55"/>
        <v>0</v>
      </c>
      <c r="X249" s="10">
        <f t="shared" si="56"/>
        <v>0</v>
      </c>
    </row>
    <row r="250" spans="1:24" s="9" customFormat="1" ht="13.5" customHeight="1" x14ac:dyDescent="0.2">
      <c r="A250" s="64">
        <f t="shared" si="57"/>
        <v>246</v>
      </c>
      <c r="B250" s="65" t="s">
        <v>2069</v>
      </c>
      <c r="C250" s="163">
        <v>39333</v>
      </c>
      <c r="D250" s="175">
        <v>45000</v>
      </c>
      <c r="E250" s="175"/>
      <c r="F250" s="67">
        <f t="shared" ref="F250:F313" si="63">+D250+E250</f>
        <v>45000</v>
      </c>
      <c r="G250" s="67">
        <v>44000</v>
      </c>
      <c r="H250" s="67">
        <f t="shared" si="58"/>
        <v>1000</v>
      </c>
      <c r="I250" s="68">
        <v>5</v>
      </c>
      <c r="J250" s="68">
        <v>0.2</v>
      </c>
      <c r="K250" s="68">
        <v>0</v>
      </c>
      <c r="L250" s="110">
        <f t="shared" si="62"/>
        <v>0</v>
      </c>
      <c r="M250" s="67">
        <f t="shared" si="60"/>
        <v>44000</v>
      </c>
      <c r="N250" s="110">
        <f t="shared" ref="N250:N312" si="64">+F250-M250</f>
        <v>1000</v>
      </c>
      <c r="O250" s="68" t="s">
        <v>1932</v>
      </c>
      <c r="P250" s="555">
        <v>1</v>
      </c>
      <c r="Q250" s="592"/>
      <c r="R250" s="23"/>
      <c r="S250" s="10">
        <f t="shared" si="52"/>
        <v>2250</v>
      </c>
      <c r="T250" s="10">
        <f t="shared" si="53"/>
        <v>-1250</v>
      </c>
      <c r="U250" s="10">
        <f t="shared" si="61"/>
        <v>0</v>
      </c>
      <c r="V250" s="10">
        <f t="shared" si="54"/>
        <v>9000</v>
      </c>
      <c r="W250" s="10">
        <f t="shared" si="55"/>
        <v>0</v>
      </c>
      <c r="X250" s="10">
        <f t="shared" si="56"/>
        <v>0</v>
      </c>
    </row>
    <row r="251" spans="1:24" s="9" customFormat="1" ht="13.5" customHeight="1" x14ac:dyDescent="0.2">
      <c r="A251" s="107">
        <f t="shared" si="57"/>
        <v>247</v>
      </c>
      <c r="B251" s="616" t="s">
        <v>2072</v>
      </c>
      <c r="C251" s="148">
        <v>39333</v>
      </c>
      <c r="D251" s="372">
        <v>45000</v>
      </c>
      <c r="E251" s="372"/>
      <c r="F251" s="73">
        <f t="shared" si="63"/>
        <v>45000</v>
      </c>
      <c r="G251" s="73">
        <v>44000</v>
      </c>
      <c r="H251" s="73">
        <f t="shared" si="58"/>
        <v>1000</v>
      </c>
      <c r="I251" s="74">
        <v>5</v>
      </c>
      <c r="J251" s="74">
        <v>0.2</v>
      </c>
      <c r="K251" s="68">
        <v>0</v>
      </c>
      <c r="L251" s="110">
        <f t="shared" si="62"/>
        <v>0</v>
      </c>
      <c r="M251" s="73">
        <f t="shared" si="60"/>
        <v>44000</v>
      </c>
      <c r="N251" s="140">
        <f t="shared" si="64"/>
        <v>1000</v>
      </c>
      <c r="O251" s="74" t="s">
        <v>2070</v>
      </c>
      <c r="P251" s="617">
        <v>1</v>
      </c>
      <c r="Q251" s="618"/>
      <c r="R251" s="23"/>
      <c r="S251" s="10">
        <f t="shared" si="52"/>
        <v>2250</v>
      </c>
      <c r="T251" s="10">
        <f t="shared" si="53"/>
        <v>-1250</v>
      </c>
      <c r="U251" s="10">
        <f t="shared" si="61"/>
        <v>0</v>
      </c>
      <c r="V251" s="10">
        <f t="shared" si="54"/>
        <v>9000</v>
      </c>
      <c r="W251" s="10">
        <f t="shared" si="55"/>
        <v>0</v>
      </c>
      <c r="X251" s="10">
        <f t="shared" si="56"/>
        <v>0</v>
      </c>
    </row>
    <row r="252" spans="1:24" s="9" customFormat="1" ht="13.5" customHeight="1" x14ac:dyDescent="0.2">
      <c r="A252" s="107">
        <f t="shared" si="57"/>
        <v>248</v>
      </c>
      <c r="B252" s="616" t="s">
        <v>2117</v>
      </c>
      <c r="C252" s="148">
        <v>39371</v>
      </c>
      <c r="D252" s="372">
        <v>2000000</v>
      </c>
      <c r="E252" s="372"/>
      <c r="F252" s="73">
        <f t="shared" si="63"/>
        <v>2000000</v>
      </c>
      <c r="G252" s="73">
        <v>1999000</v>
      </c>
      <c r="H252" s="73">
        <f t="shared" si="58"/>
        <v>1000</v>
      </c>
      <c r="I252" s="74">
        <v>5</v>
      </c>
      <c r="J252" s="74">
        <v>0.2</v>
      </c>
      <c r="K252" s="68">
        <v>0</v>
      </c>
      <c r="L252" s="110">
        <f t="shared" si="62"/>
        <v>0</v>
      </c>
      <c r="M252" s="73">
        <f t="shared" si="60"/>
        <v>1999000</v>
      </c>
      <c r="N252" s="140">
        <f t="shared" si="64"/>
        <v>1000</v>
      </c>
      <c r="O252" s="74" t="s">
        <v>2119</v>
      </c>
      <c r="P252" s="617">
        <v>2</v>
      </c>
      <c r="Q252" s="618"/>
      <c r="R252" s="23"/>
      <c r="S252" s="10">
        <f t="shared" si="52"/>
        <v>100000</v>
      </c>
      <c r="T252" s="10">
        <f t="shared" si="53"/>
        <v>-99000</v>
      </c>
      <c r="U252" s="10">
        <f t="shared" si="61"/>
        <v>0</v>
      </c>
      <c r="V252" s="10">
        <f t="shared" si="54"/>
        <v>400000</v>
      </c>
      <c r="W252" s="10">
        <f t="shared" si="55"/>
        <v>0</v>
      </c>
      <c r="X252" s="10">
        <f t="shared" si="56"/>
        <v>0</v>
      </c>
    </row>
    <row r="253" spans="1:24" s="9" customFormat="1" ht="13.5" customHeight="1" x14ac:dyDescent="0.2">
      <c r="A253" s="107">
        <f t="shared" si="57"/>
        <v>249</v>
      </c>
      <c r="B253" s="616" t="s">
        <v>2120</v>
      </c>
      <c r="C253" s="148">
        <v>39386</v>
      </c>
      <c r="D253" s="372">
        <v>950000</v>
      </c>
      <c r="E253" s="372"/>
      <c r="F253" s="73">
        <f t="shared" si="63"/>
        <v>950000</v>
      </c>
      <c r="G253" s="73">
        <v>949000</v>
      </c>
      <c r="H253" s="73">
        <f t="shared" si="58"/>
        <v>1000</v>
      </c>
      <c r="I253" s="74">
        <v>5</v>
      </c>
      <c r="J253" s="74">
        <v>0.2</v>
      </c>
      <c r="K253" s="68">
        <v>0</v>
      </c>
      <c r="L253" s="110">
        <f t="shared" si="62"/>
        <v>0</v>
      </c>
      <c r="M253" s="73">
        <f t="shared" si="60"/>
        <v>949000</v>
      </c>
      <c r="N253" s="140">
        <f t="shared" si="64"/>
        <v>1000</v>
      </c>
      <c r="O253" s="74" t="s">
        <v>1981</v>
      </c>
      <c r="P253" s="617">
        <v>1</v>
      </c>
      <c r="Q253" s="618"/>
      <c r="R253" s="23"/>
      <c r="S253" s="10">
        <f t="shared" si="52"/>
        <v>47500</v>
      </c>
      <c r="T253" s="10">
        <f t="shared" si="53"/>
        <v>-46500</v>
      </c>
      <c r="U253" s="10">
        <f t="shared" si="61"/>
        <v>0</v>
      </c>
      <c r="V253" s="10">
        <f t="shared" si="54"/>
        <v>190000</v>
      </c>
      <c r="W253" s="10">
        <f t="shared" si="55"/>
        <v>0</v>
      </c>
      <c r="X253" s="10">
        <f t="shared" si="56"/>
        <v>0</v>
      </c>
    </row>
    <row r="254" spans="1:24" s="9" customFormat="1" ht="13.5" customHeight="1" x14ac:dyDescent="0.2">
      <c r="A254" s="107">
        <f t="shared" si="57"/>
        <v>250</v>
      </c>
      <c r="B254" s="616" t="s">
        <v>2095</v>
      </c>
      <c r="C254" s="148">
        <v>39386</v>
      </c>
      <c r="D254" s="372">
        <v>720000</v>
      </c>
      <c r="E254" s="372"/>
      <c r="F254" s="73">
        <f t="shared" si="63"/>
        <v>720000</v>
      </c>
      <c r="G254" s="73">
        <v>719000</v>
      </c>
      <c r="H254" s="73">
        <f t="shared" si="58"/>
        <v>1000</v>
      </c>
      <c r="I254" s="74">
        <v>5</v>
      </c>
      <c r="J254" s="74">
        <v>0.2</v>
      </c>
      <c r="K254" s="68">
        <v>0</v>
      </c>
      <c r="L254" s="110">
        <f t="shared" si="62"/>
        <v>0</v>
      </c>
      <c r="M254" s="73">
        <f t="shared" si="60"/>
        <v>719000</v>
      </c>
      <c r="N254" s="140">
        <f t="shared" si="64"/>
        <v>1000</v>
      </c>
      <c r="O254" s="74" t="s">
        <v>1965</v>
      </c>
      <c r="P254" s="617">
        <v>1</v>
      </c>
      <c r="Q254" s="618" t="s">
        <v>1890</v>
      </c>
      <c r="R254" s="23"/>
      <c r="S254" s="10">
        <f t="shared" si="52"/>
        <v>36000</v>
      </c>
      <c r="T254" s="10">
        <f t="shared" si="53"/>
        <v>-35000</v>
      </c>
      <c r="U254" s="10">
        <f t="shared" si="61"/>
        <v>0</v>
      </c>
      <c r="V254" s="10">
        <f t="shared" si="54"/>
        <v>144000</v>
      </c>
      <c r="W254" s="10">
        <f t="shared" si="55"/>
        <v>0</v>
      </c>
      <c r="X254" s="10">
        <f t="shared" si="56"/>
        <v>0</v>
      </c>
    </row>
    <row r="255" spans="1:24" s="9" customFormat="1" ht="13.5" customHeight="1" x14ac:dyDescent="0.2">
      <c r="A255" s="107">
        <f t="shared" si="57"/>
        <v>251</v>
      </c>
      <c r="B255" s="616" t="s">
        <v>2121</v>
      </c>
      <c r="C255" s="148">
        <v>39412</v>
      </c>
      <c r="D255" s="372">
        <v>2820000</v>
      </c>
      <c r="E255" s="372"/>
      <c r="F255" s="73">
        <f t="shared" si="63"/>
        <v>2820000</v>
      </c>
      <c r="G255" s="73">
        <v>2819000</v>
      </c>
      <c r="H255" s="73">
        <f t="shared" si="58"/>
        <v>1000</v>
      </c>
      <c r="I255" s="74">
        <v>5</v>
      </c>
      <c r="J255" s="74">
        <v>0.2</v>
      </c>
      <c r="K255" s="68">
        <v>0</v>
      </c>
      <c r="L255" s="110">
        <f t="shared" si="62"/>
        <v>0</v>
      </c>
      <c r="M255" s="73">
        <f t="shared" si="60"/>
        <v>2819000</v>
      </c>
      <c r="N255" s="140">
        <f t="shared" si="64"/>
        <v>1000</v>
      </c>
      <c r="O255" s="74" t="s">
        <v>2070</v>
      </c>
      <c r="P255" s="617">
        <v>12</v>
      </c>
      <c r="Q255" s="618"/>
      <c r="R255" s="23"/>
      <c r="S255" s="10">
        <f t="shared" si="52"/>
        <v>141000</v>
      </c>
      <c r="T255" s="10">
        <f t="shared" si="53"/>
        <v>-140000</v>
      </c>
      <c r="U255" s="10">
        <f t="shared" si="61"/>
        <v>0</v>
      </c>
      <c r="V255" s="10">
        <f t="shared" si="54"/>
        <v>564000</v>
      </c>
      <c r="W255" s="10">
        <f t="shared" si="55"/>
        <v>0</v>
      </c>
      <c r="X255" s="10">
        <f t="shared" si="56"/>
        <v>0</v>
      </c>
    </row>
    <row r="256" spans="1:24" s="9" customFormat="1" ht="13.5" customHeight="1" x14ac:dyDescent="0.2">
      <c r="A256" s="107">
        <f t="shared" si="57"/>
        <v>252</v>
      </c>
      <c r="B256" s="616" t="s">
        <v>2080</v>
      </c>
      <c r="C256" s="148">
        <v>39416</v>
      </c>
      <c r="D256" s="372">
        <v>660000</v>
      </c>
      <c r="E256" s="372"/>
      <c r="F256" s="73">
        <f t="shared" si="63"/>
        <v>660000</v>
      </c>
      <c r="G256" s="73">
        <v>659000</v>
      </c>
      <c r="H256" s="73">
        <f t="shared" si="58"/>
        <v>1000</v>
      </c>
      <c r="I256" s="74">
        <v>5</v>
      </c>
      <c r="J256" s="74">
        <v>0.2</v>
      </c>
      <c r="K256" s="68">
        <v>0</v>
      </c>
      <c r="L256" s="110">
        <f t="shared" si="62"/>
        <v>0</v>
      </c>
      <c r="M256" s="73">
        <f t="shared" si="60"/>
        <v>659000</v>
      </c>
      <c r="N256" s="140">
        <f t="shared" si="64"/>
        <v>1000</v>
      </c>
      <c r="O256" s="74" t="s">
        <v>2122</v>
      </c>
      <c r="P256" s="617">
        <v>1</v>
      </c>
      <c r="Q256" s="618"/>
      <c r="R256" s="23"/>
      <c r="S256" s="10">
        <f t="shared" si="52"/>
        <v>33000</v>
      </c>
      <c r="T256" s="10">
        <f t="shared" si="53"/>
        <v>-32000</v>
      </c>
      <c r="U256" s="10">
        <f t="shared" si="61"/>
        <v>0</v>
      </c>
      <c r="V256" s="10">
        <f t="shared" si="54"/>
        <v>132000</v>
      </c>
      <c r="W256" s="10">
        <f t="shared" si="55"/>
        <v>0</v>
      </c>
      <c r="X256" s="10">
        <f t="shared" si="56"/>
        <v>0</v>
      </c>
    </row>
    <row r="257" spans="1:24" s="9" customFormat="1" ht="13.5" customHeight="1" x14ac:dyDescent="0.2">
      <c r="A257" s="107">
        <f t="shared" si="57"/>
        <v>253</v>
      </c>
      <c r="B257" s="616" t="s">
        <v>2123</v>
      </c>
      <c r="C257" s="148">
        <v>39416</v>
      </c>
      <c r="D257" s="372">
        <v>2800000</v>
      </c>
      <c r="E257" s="372"/>
      <c r="F257" s="73">
        <f t="shared" si="63"/>
        <v>2800000</v>
      </c>
      <c r="G257" s="73">
        <v>2799000</v>
      </c>
      <c r="H257" s="73">
        <f t="shared" si="58"/>
        <v>1000</v>
      </c>
      <c r="I257" s="74">
        <v>5</v>
      </c>
      <c r="J257" s="74">
        <v>0.2</v>
      </c>
      <c r="K257" s="68">
        <v>0</v>
      </c>
      <c r="L257" s="110">
        <f t="shared" si="62"/>
        <v>0</v>
      </c>
      <c r="M257" s="73">
        <f t="shared" si="60"/>
        <v>2799000</v>
      </c>
      <c r="N257" s="140">
        <f t="shared" si="64"/>
        <v>1000</v>
      </c>
      <c r="O257" s="74" t="s">
        <v>2122</v>
      </c>
      <c r="P257" s="617">
        <v>1</v>
      </c>
      <c r="Q257" s="618"/>
      <c r="R257" s="23"/>
      <c r="S257" s="10">
        <f t="shared" si="52"/>
        <v>140000</v>
      </c>
      <c r="T257" s="10">
        <f t="shared" si="53"/>
        <v>-139000</v>
      </c>
      <c r="U257" s="10">
        <f t="shared" si="61"/>
        <v>0</v>
      </c>
      <c r="V257" s="10">
        <f t="shared" si="54"/>
        <v>560000</v>
      </c>
      <c r="W257" s="10">
        <f t="shared" si="55"/>
        <v>0</v>
      </c>
      <c r="X257" s="10">
        <f t="shared" si="56"/>
        <v>0</v>
      </c>
    </row>
    <row r="258" spans="1:24" s="9" customFormat="1" ht="13.5" customHeight="1" x14ac:dyDescent="0.2">
      <c r="A258" s="107">
        <f t="shared" si="57"/>
        <v>254</v>
      </c>
      <c r="B258" s="65" t="s">
        <v>2124</v>
      </c>
      <c r="C258" s="148">
        <v>39416</v>
      </c>
      <c r="D258" s="175">
        <v>3000000</v>
      </c>
      <c r="E258" s="175"/>
      <c r="F258" s="67">
        <f t="shared" si="63"/>
        <v>3000000</v>
      </c>
      <c r="G258" s="67">
        <v>2999000</v>
      </c>
      <c r="H258" s="67">
        <f t="shared" si="58"/>
        <v>1000</v>
      </c>
      <c r="I258" s="74">
        <v>5</v>
      </c>
      <c r="J258" s="74">
        <v>0.2</v>
      </c>
      <c r="K258" s="68">
        <v>0</v>
      </c>
      <c r="L258" s="110">
        <f t="shared" si="62"/>
        <v>0</v>
      </c>
      <c r="M258" s="73">
        <f t="shared" si="60"/>
        <v>2999000</v>
      </c>
      <c r="N258" s="140">
        <f t="shared" si="64"/>
        <v>1000</v>
      </c>
      <c r="O258" s="68" t="s">
        <v>2122</v>
      </c>
      <c r="P258" s="555">
        <v>1</v>
      </c>
      <c r="Q258" s="592"/>
      <c r="R258" s="23"/>
      <c r="S258" s="10">
        <f t="shared" si="52"/>
        <v>150000</v>
      </c>
      <c r="T258" s="10">
        <f t="shared" si="53"/>
        <v>-149000</v>
      </c>
      <c r="U258" s="10">
        <f t="shared" si="61"/>
        <v>0</v>
      </c>
      <c r="V258" s="10">
        <f t="shared" si="54"/>
        <v>600000</v>
      </c>
      <c r="W258" s="10">
        <f t="shared" si="55"/>
        <v>0</v>
      </c>
      <c r="X258" s="10">
        <f t="shared" si="56"/>
        <v>0</v>
      </c>
    </row>
    <row r="259" spans="1:24" s="9" customFormat="1" ht="13.5" customHeight="1" x14ac:dyDescent="0.2">
      <c r="A259" s="107">
        <f t="shared" si="57"/>
        <v>255</v>
      </c>
      <c r="B259" s="619" t="s">
        <v>2125</v>
      </c>
      <c r="C259" s="148">
        <v>39416</v>
      </c>
      <c r="D259" s="383">
        <v>2400000</v>
      </c>
      <c r="E259" s="383"/>
      <c r="F259" s="91">
        <f t="shared" si="63"/>
        <v>2400000</v>
      </c>
      <c r="G259" s="91">
        <v>2399000</v>
      </c>
      <c r="H259" s="91">
        <f t="shared" si="58"/>
        <v>1000</v>
      </c>
      <c r="I259" s="74">
        <v>5</v>
      </c>
      <c r="J259" s="74">
        <v>0.2</v>
      </c>
      <c r="K259" s="68">
        <v>0</v>
      </c>
      <c r="L259" s="110">
        <f t="shared" si="62"/>
        <v>0</v>
      </c>
      <c r="M259" s="73">
        <f t="shared" si="60"/>
        <v>2399000</v>
      </c>
      <c r="N259" s="140">
        <f t="shared" si="64"/>
        <v>1000</v>
      </c>
      <c r="O259" s="68" t="s">
        <v>2122</v>
      </c>
      <c r="P259" s="620">
        <v>20</v>
      </c>
      <c r="Q259" s="621"/>
      <c r="R259" s="23"/>
      <c r="S259" s="10">
        <f t="shared" si="52"/>
        <v>120000</v>
      </c>
      <c r="T259" s="10">
        <f t="shared" si="53"/>
        <v>-119000</v>
      </c>
      <c r="U259" s="10">
        <f t="shared" si="61"/>
        <v>0</v>
      </c>
      <c r="V259" s="10">
        <f t="shared" si="54"/>
        <v>480000</v>
      </c>
      <c r="W259" s="10">
        <f t="shared" si="55"/>
        <v>0</v>
      </c>
      <c r="X259" s="10">
        <f t="shared" si="56"/>
        <v>0</v>
      </c>
    </row>
    <row r="260" spans="1:24" s="9" customFormat="1" ht="13.5" customHeight="1" x14ac:dyDescent="0.2">
      <c r="A260" s="107">
        <f t="shared" si="57"/>
        <v>256</v>
      </c>
      <c r="B260" s="65" t="s">
        <v>2126</v>
      </c>
      <c r="C260" s="163">
        <v>39423</v>
      </c>
      <c r="D260" s="175">
        <v>240000</v>
      </c>
      <c r="E260" s="175"/>
      <c r="F260" s="67">
        <f t="shared" si="63"/>
        <v>240000</v>
      </c>
      <c r="G260" s="67">
        <v>239000</v>
      </c>
      <c r="H260" s="67">
        <f t="shared" si="58"/>
        <v>1000</v>
      </c>
      <c r="I260" s="74">
        <v>5</v>
      </c>
      <c r="J260" s="74">
        <v>0.2</v>
      </c>
      <c r="K260" s="68">
        <v>0</v>
      </c>
      <c r="L260" s="110">
        <f t="shared" si="62"/>
        <v>0</v>
      </c>
      <c r="M260" s="73">
        <f t="shared" si="60"/>
        <v>239000</v>
      </c>
      <c r="N260" s="140">
        <f t="shared" si="64"/>
        <v>1000</v>
      </c>
      <c r="O260" s="68" t="s">
        <v>1955</v>
      </c>
      <c r="P260" s="555">
        <v>1</v>
      </c>
      <c r="Q260" s="592"/>
      <c r="R260" s="23"/>
      <c r="S260" s="10">
        <f t="shared" si="52"/>
        <v>12000</v>
      </c>
      <c r="T260" s="10">
        <f t="shared" si="53"/>
        <v>-11000</v>
      </c>
      <c r="U260" s="10">
        <f t="shared" si="61"/>
        <v>0</v>
      </c>
      <c r="V260" s="10">
        <f t="shared" si="54"/>
        <v>48000</v>
      </c>
      <c r="W260" s="10">
        <f t="shared" si="55"/>
        <v>0</v>
      </c>
      <c r="X260" s="10">
        <f t="shared" si="56"/>
        <v>0</v>
      </c>
    </row>
    <row r="261" spans="1:24" s="9" customFormat="1" ht="13.5" customHeight="1" x14ac:dyDescent="0.2">
      <c r="A261" s="107">
        <f t="shared" si="57"/>
        <v>257</v>
      </c>
      <c r="B261" s="65" t="s">
        <v>2127</v>
      </c>
      <c r="C261" s="163">
        <v>39423</v>
      </c>
      <c r="D261" s="175">
        <v>360000</v>
      </c>
      <c r="E261" s="175"/>
      <c r="F261" s="67">
        <f t="shared" si="63"/>
        <v>360000</v>
      </c>
      <c r="G261" s="67">
        <v>359000</v>
      </c>
      <c r="H261" s="67">
        <f t="shared" si="58"/>
        <v>1000</v>
      </c>
      <c r="I261" s="74">
        <v>5</v>
      </c>
      <c r="J261" s="74">
        <v>0.2</v>
      </c>
      <c r="K261" s="68">
        <v>0</v>
      </c>
      <c r="L261" s="110">
        <f t="shared" si="62"/>
        <v>0</v>
      </c>
      <c r="M261" s="73">
        <f t="shared" si="60"/>
        <v>359000</v>
      </c>
      <c r="N261" s="140">
        <f t="shared" si="64"/>
        <v>1000</v>
      </c>
      <c r="O261" s="68" t="s">
        <v>2070</v>
      </c>
      <c r="P261" s="555">
        <v>3</v>
      </c>
      <c r="Q261" s="592"/>
      <c r="R261" s="23"/>
      <c r="S261" s="10">
        <f t="shared" ref="S261:S324" si="65">D261*0.05</f>
        <v>18000</v>
      </c>
      <c r="T261" s="10">
        <f t="shared" ref="T261:T324" si="66">N261-S261</f>
        <v>-17000</v>
      </c>
      <c r="U261" s="10">
        <f t="shared" si="61"/>
        <v>0</v>
      </c>
      <c r="V261" s="10">
        <f t="shared" ref="V261:V324" si="67">F261/I261</f>
        <v>72000</v>
      </c>
      <c r="W261" s="10">
        <f t="shared" ref="W261:W324" si="68">ROUND(IF(H261&lt;=1000,0,V261/12*0),0)</f>
        <v>0</v>
      </c>
      <c r="X261" s="10">
        <f t="shared" ref="X261:X324" si="69">L261-W261</f>
        <v>0</v>
      </c>
    </row>
    <row r="262" spans="1:24" s="9" customFormat="1" ht="13.5" customHeight="1" x14ac:dyDescent="0.2">
      <c r="A262" s="107">
        <f t="shared" ref="A262:A325" si="70">A261+1</f>
        <v>258</v>
      </c>
      <c r="B262" s="616" t="s">
        <v>2128</v>
      </c>
      <c r="C262" s="163">
        <v>39423</v>
      </c>
      <c r="D262" s="372">
        <v>90000</v>
      </c>
      <c r="E262" s="372"/>
      <c r="F262" s="73">
        <f t="shared" si="63"/>
        <v>90000</v>
      </c>
      <c r="G262" s="73">
        <v>89000</v>
      </c>
      <c r="H262" s="73">
        <f t="shared" si="58"/>
        <v>1000</v>
      </c>
      <c r="I262" s="74">
        <v>5</v>
      </c>
      <c r="J262" s="74">
        <v>0.2</v>
      </c>
      <c r="K262" s="68">
        <v>0</v>
      </c>
      <c r="L262" s="110">
        <f t="shared" si="62"/>
        <v>0</v>
      </c>
      <c r="M262" s="73">
        <f t="shared" si="60"/>
        <v>89000</v>
      </c>
      <c r="N262" s="140">
        <f t="shared" si="64"/>
        <v>1000</v>
      </c>
      <c r="O262" s="74" t="s">
        <v>1955</v>
      </c>
      <c r="P262" s="617">
        <v>1</v>
      </c>
      <c r="Q262" s="618"/>
      <c r="R262" s="23"/>
      <c r="S262" s="10">
        <f t="shared" si="65"/>
        <v>4500</v>
      </c>
      <c r="T262" s="10">
        <f t="shared" si="66"/>
        <v>-3500</v>
      </c>
      <c r="U262" s="10">
        <f t="shared" si="61"/>
        <v>0</v>
      </c>
      <c r="V262" s="10">
        <f t="shared" si="67"/>
        <v>18000</v>
      </c>
      <c r="W262" s="10">
        <f t="shared" si="68"/>
        <v>0</v>
      </c>
      <c r="X262" s="10">
        <f t="shared" si="69"/>
        <v>0</v>
      </c>
    </row>
    <row r="263" spans="1:24" s="9" customFormat="1" ht="13.5" customHeight="1" x14ac:dyDescent="0.2">
      <c r="A263" s="107">
        <f t="shared" si="70"/>
        <v>259</v>
      </c>
      <c r="B263" s="616" t="s">
        <v>2129</v>
      </c>
      <c r="C263" s="148">
        <v>39430</v>
      </c>
      <c r="D263" s="372">
        <v>500000</v>
      </c>
      <c r="E263" s="372"/>
      <c r="F263" s="73">
        <f t="shared" si="63"/>
        <v>500000</v>
      </c>
      <c r="G263" s="73">
        <v>499000</v>
      </c>
      <c r="H263" s="73">
        <f t="shared" ref="H263:H326" si="71">+F263-G263</f>
        <v>1000</v>
      </c>
      <c r="I263" s="74">
        <v>5</v>
      </c>
      <c r="J263" s="74">
        <v>0.2</v>
      </c>
      <c r="K263" s="68">
        <v>0</v>
      </c>
      <c r="L263" s="110">
        <f t="shared" si="62"/>
        <v>0</v>
      </c>
      <c r="M263" s="73">
        <f t="shared" ref="M263:M294" si="72">+G263+L263</f>
        <v>499000</v>
      </c>
      <c r="N263" s="140">
        <f t="shared" si="64"/>
        <v>1000</v>
      </c>
      <c r="O263" s="74" t="s">
        <v>2130</v>
      </c>
      <c r="P263" s="617">
        <v>1</v>
      </c>
      <c r="Q263" s="618"/>
      <c r="R263" s="23"/>
      <c r="S263" s="10">
        <f t="shared" si="65"/>
        <v>25000</v>
      </c>
      <c r="T263" s="10">
        <f t="shared" si="66"/>
        <v>-24000</v>
      </c>
      <c r="U263" s="10">
        <f t="shared" ref="U263:U326" si="73">N263-1000</f>
        <v>0</v>
      </c>
      <c r="V263" s="10">
        <f t="shared" si="67"/>
        <v>100000</v>
      </c>
      <c r="W263" s="10">
        <f t="shared" si="68"/>
        <v>0</v>
      </c>
      <c r="X263" s="10">
        <f t="shared" si="69"/>
        <v>0</v>
      </c>
    </row>
    <row r="264" spans="1:24" s="9" customFormat="1" ht="13.5" customHeight="1" x14ac:dyDescent="0.2">
      <c r="A264" s="107">
        <f t="shared" si="70"/>
        <v>260</v>
      </c>
      <c r="B264" s="616" t="s">
        <v>1855</v>
      </c>
      <c r="C264" s="148">
        <v>39449</v>
      </c>
      <c r="D264" s="372">
        <v>50000</v>
      </c>
      <c r="E264" s="372"/>
      <c r="F264" s="73">
        <f t="shared" si="63"/>
        <v>50000</v>
      </c>
      <c r="G264" s="73">
        <v>49000</v>
      </c>
      <c r="H264" s="73">
        <f t="shared" si="71"/>
        <v>1000</v>
      </c>
      <c r="I264" s="74">
        <v>5</v>
      </c>
      <c r="J264" s="74">
        <v>0.2</v>
      </c>
      <c r="K264" s="68">
        <v>0</v>
      </c>
      <c r="L264" s="110">
        <f t="shared" si="62"/>
        <v>0</v>
      </c>
      <c r="M264" s="73">
        <f t="shared" si="72"/>
        <v>49000</v>
      </c>
      <c r="N264" s="140">
        <f t="shared" si="64"/>
        <v>1000</v>
      </c>
      <c r="O264" s="74" t="s">
        <v>1932</v>
      </c>
      <c r="P264" s="617">
        <v>1</v>
      </c>
      <c r="Q264" s="618" t="s">
        <v>1890</v>
      </c>
      <c r="R264" s="23"/>
      <c r="S264" s="10">
        <f t="shared" si="65"/>
        <v>2500</v>
      </c>
      <c r="T264" s="10">
        <f t="shared" si="66"/>
        <v>-1500</v>
      </c>
      <c r="U264" s="10">
        <f t="shared" si="73"/>
        <v>0</v>
      </c>
      <c r="V264" s="10">
        <f t="shared" si="67"/>
        <v>10000</v>
      </c>
      <c r="W264" s="10">
        <f t="shared" si="68"/>
        <v>0</v>
      </c>
      <c r="X264" s="10">
        <f t="shared" si="69"/>
        <v>0</v>
      </c>
    </row>
    <row r="265" spans="1:24" s="9" customFormat="1" ht="13.5" customHeight="1" x14ac:dyDescent="0.2">
      <c r="A265" s="107">
        <f t="shared" si="70"/>
        <v>261</v>
      </c>
      <c r="B265" s="616" t="s">
        <v>1846</v>
      </c>
      <c r="C265" s="148">
        <v>39450</v>
      </c>
      <c r="D265" s="372">
        <v>874091</v>
      </c>
      <c r="E265" s="372"/>
      <c r="F265" s="73">
        <f t="shared" si="63"/>
        <v>874091</v>
      </c>
      <c r="G265" s="73">
        <v>873091</v>
      </c>
      <c r="H265" s="73">
        <f t="shared" si="71"/>
        <v>1000</v>
      </c>
      <c r="I265" s="74">
        <v>5</v>
      </c>
      <c r="J265" s="74">
        <v>0.2</v>
      </c>
      <c r="K265" s="68">
        <v>0</v>
      </c>
      <c r="L265" s="110">
        <f t="shared" si="62"/>
        <v>0</v>
      </c>
      <c r="M265" s="73">
        <f t="shared" si="72"/>
        <v>873091</v>
      </c>
      <c r="N265" s="140">
        <f t="shared" si="64"/>
        <v>1000</v>
      </c>
      <c r="O265" s="74" t="s">
        <v>2131</v>
      </c>
      <c r="P265" s="617">
        <v>1</v>
      </c>
      <c r="Q265" s="618" t="s">
        <v>1935</v>
      </c>
      <c r="R265" s="23"/>
      <c r="S265" s="10">
        <f t="shared" si="65"/>
        <v>43704.55</v>
      </c>
      <c r="T265" s="10">
        <f t="shared" si="66"/>
        <v>-42704.55</v>
      </c>
      <c r="U265" s="10">
        <f t="shared" si="73"/>
        <v>0</v>
      </c>
      <c r="V265" s="10">
        <f t="shared" si="67"/>
        <v>174818.2</v>
      </c>
      <c r="W265" s="10">
        <f t="shared" si="68"/>
        <v>0</v>
      </c>
      <c r="X265" s="10">
        <f t="shared" si="69"/>
        <v>0</v>
      </c>
    </row>
    <row r="266" spans="1:24" s="9" customFormat="1" ht="13.5" customHeight="1" x14ac:dyDescent="0.2">
      <c r="A266" s="107">
        <f t="shared" si="70"/>
        <v>262</v>
      </c>
      <c r="B266" s="616" t="s">
        <v>2132</v>
      </c>
      <c r="C266" s="148">
        <v>39477</v>
      </c>
      <c r="D266" s="372">
        <v>902727</v>
      </c>
      <c r="E266" s="372"/>
      <c r="F266" s="73">
        <f t="shared" si="63"/>
        <v>902727</v>
      </c>
      <c r="G266" s="73">
        <v>901727</v>
      </c>
      <c r="H266" s="73">
        <f t="shared" si="71"/>
        <v>1000</v>
      </c>
      <c r="I266" s="74">
        <v>5</v>
      </c>
      <c r="J266" s="74">
        <v>0.2</v>
      </c>
      <c r="K266" s="68">
        <v>0</v>
      </c>
      <c r="L266" s="110">
        <f t="shared" si="62"/>
        <v>0</v>
      </c>
      <c r="M266" s="73">
        <f t="shared" si="72"/>
        <v>901727</v>
      </c>
      <c r="N266" s="140">
        <f t="shared" si="64"/>
        <v>1000</v>
      </c>
      <c r="O266" s="74" t="s">
        <v>2131</v>
      </c>
      <c r="P266" s="617">
        <v>1</v>
      </c>
      <c r="Q266" s="618"/>
      <c r="R266" s="23"/>
      <c r="S266" s="10">
        <f t="shared" si="65"/>
        <v>45136.350000000006</v>
      </c>
      <c r="T266" s="10">
        <f t="shared" si="66"/>
        <v>-44136.350000000006</v>
      </c>
      <c r="U266" s="10">
        <f t="shared" si="73"/>
        <v>0</v>
      </c>
      <c r="V266" s="10">
        <f t="shared" si="67"/>
        <v>180545.4</v>
      </c>
      <c r="W266" s="10">
        <f t="shared" si="68"/>
        <v>0</v>
      </c>
      <c r="X266" s="10">
        <f t="shared" si="69"/>
        <v>0</v>
      </c>
    </row>
    <row r="267" spans="1:24" s="9" customFormat="1" ht="13.5" customHeight="1" x14ac:dyDescent="0.2">
      <c r="A267" s="107">
        <f t="shared" si="70"/>
        <v>263</v>
      </c>
      <c r="B267" s="616" t="s">
        <v>1840</v>
      </c>
      <c r="C267" s="148">
        <v>39478</v>
      </c>
      <c r="D267" s="372">
        <v>1210000</v>
      </c>
      <c r="E267" s="372"/>
      <c r="F267" s="73">
        <f t="shared" si="63"/>
        <v>1210000</v>
      </c>
      <c r="G267" s="73">
        <v>1209000</v>
      </c>
      <c r="H267" s="73">
        <f t="shared" si="71"/>
        <v>1000</v>
      </c>
      <c r="I267" s="74">
        <v>5</v>
      </c>
      <c r="J267" s="74">
        <v>0.2</v>
      </c>
      <c r="K267" s="68">
        <v>0</v>
      </c>
      <c r="L267" s="110">
        <f t="shared" si="62"/>
        <v>0</v>
      </c>
      <c r="M267" s="73">
        <f t="shared" si="72"/>
        <v>1209000</v>
      </c>
      <c r="N267" s="140">
        <f t="shared" si="64"/>
        <v>1000</v>
      </c>
      <c r="O267" s="74" t="s">
        <v>1965</v>
      </c>
      <c r="P267" s="617">
        <v>1</v>
      </c>
      <c r="Q267" s="618"/>
      <c r="R267" s="23"/>
      <c r="S267" s="10">
        <f t="shared" si="65"/>
        <v>60500</v>
      </c>
      <c r="T267" s="10">
        <f t="shared" si="66"/>
        <v>-59500</v>
      </c>
      <c r="U267" s="10">
        <f t="shared" si="73"/>
        <v>0</v>
      </c>
      <c r="V267" s="10">
        <f t="shared" si="67"/>
        <v>242000</v>
      </c>
      <c r="W267" s="10">
        <f t="shared" si="68"/>
        <v>0</v>
      </c>
      <c r="X267" s="10">
        <f t="shared" si="69"/>
        <v>0</v>
      </c>
    </row>
    <row r="268" spans="1:24" s="9" customFormat="1" ht="13.5" customHeight="1" x14ac:dyDescent="0.2">
      <c r="A268" s="107">
        <f t="shared" si="70"/>
        <v>264</v>
      </c>
      <c r="B268" s="616" t="s">
        <v>2133</v>
      </c>
      <c r="C268" s="148">
        <v>39493</v>
      </c>
      <c r="D268" s="372">
        <v>2050000</v>
      </c>
      <c r="E268" s="372"/>
      <c r="F268" s="73">
        <f t="shared" si="63"/>
        <v>2050000</v>
      </c>
      <c r="G268" s="73">
        <v>2049000</v>
      </c>
      <c r="H268" s="73">
        <f t="shared" si="71"/>
        <v>1000</v>
      </c>
      <c r="I268" s="74">
        <v>5</v>
      </c>
      <c r="J268" s="74">
        <v>0.2</v>
      </c>
      <c r="K268" s="68">
        <v>0</v>
      </c>
      <c r="L268" s="110">
        <f t="shared" si="62"/>
        <v>0</v>
      </c>
      <c r="M268" s="73">
        <f t="shared" si="72"/>
        <v>2049000</v>
      </c>
      <c r="N268" s="140">
        <f t="shared" si="64"/>
        <v>1000</v>
      </c>
      <c r="O268" s="74" t="s">
        <v>2010</v>
      </c>
      <c r="P268" s="617">
        <v>1</v>
      </c>
      <c r="Q268" s="618"/>
      <c r="R268" s="23"/>
      <c r="S268" s="10">
        <f t="shared" si="65"/>
        <v>102500</v>
      </c>
      <c r="T268" s="10">
        <f t="shared" si="66"/>
        <v>-101500</v>
      </c>
      <c r="U268" s="10">
        <f t="shared" si="73"/>
        <v>0</v>
      </c>
      <c r="V268" s="10">
        <f t="shared" si="67"/>
        <v>410000</v>
      </c>
      <c r="W268" s="10">
        <f t="shared" si="68"/>
        <v>0</v>
      </c>
      <c r="X268" s="10">
        <f t="shared" si="69"/>
        <v>0</v>
      </c>
    </row>
    <row r="269" spans="1:24" s="9" customFormat="1" ht="13.5" customHeight="1" x14ac:dyDescent="0.2">
      <c r="A269" s="107">
        <f t="shared" si="70"/>
        <v>265</v>
      </c>
      <c r="B269" s="616" t="s">
        <v>1873</v>
      </c>
      <c r="C269" s="148">
        <v>39521</v>
      </c>
      <c r="D269" s="372">
        <v>90000</v>
      </c>
      <c r="E269" s="372"/>
      <c r="F269" s="73">
        <f t="shared" si="63"/>
        <v>90000</v>
      </c>
      <c r="G269" s="73">
        <v>89000</v>
      </c>
      <c r="H269" s="73">
        <f t="shared" si="71"/>
        <v>1000</v>
      </c>
      <c r="I269" s="74">
        <v>5</v>
      </c>
      <c r="J269" s="74">
        <v>0.2</v>
      </c>
      <c r="K269" s="68">
        <v>0</v>
      </c>
      <c r="L269" s="110">
        <f t="shared" si="62"/>
        <v>0</v>
      </c>
      <c r="M269" s="73">
        <f t="shared" si="72"/>
        <v>89000</v>
      </c>
      <c r="N269" s="140">
        <f t="shared" si="64"/>
        <v>1000</v>
      </c>
      <c r="O269" s="74" t="s">
        <v>1932</v>
      </c>
      <c r="P269" s="617">
        <v>2</v>
      </c>
      <c r="Q269" s="618"/>
      <c r="R269" s="23"/>
      <c r="S269" s="10">
        <f t="shared" si="65"/>
        <v>4500</v>
      </c>
      <c r="T269" s="10">
        <f t="shared" si="66"/>
        <v>-3500</v>
      </c>
      <c r="U269" s="10">
        <f t="shared" si="73"/>
        <v>0</v>
      </c>
      <c r="V269" s="10">
        <f t="shared" si="67"/>
        <v>18000</v>
      </c>
      <c r="W269" s="10">
        <f t="shared" si="68"/>
        <v>0</v>
      </c>
      <c r="X269" s="10">
        <f t="shared" si="69"/>
        <v>0</v>
      </c>
    </row>
    <row r="270" spans="1:24" s="9" customFormat="1" ht="13.5" customHeight="1" x14ac:dyDescent="0.2">
      <c r="A270" s="107">
        <f t="shared" si="70"/>
        <v>266</v>
      </c>
      <c r="B270" s="616" t="s">
        <v>1855</v>
      </c>
      <c r="C270" s="148">
        <v>39521</v>
      </c>
      <c r="D270" s="372">
        <v>100000</v>
      </c>
      <c r="E270" s="372"/>
      <c r="F270" s="73">
        <f t="shared" si="63"/>
        <v>100000</v>
      </c>
      <c r="G270" s="73">
        <v>99000</v>
      </c>
      <c r="H270" s="73">
        <f t="shared" si="71"/>
        <v>1000</v>
      </c>
      <c r="I270" s="74">
        <v>5</v>
      </c>
      <c r="J270" s="74">
        <v>0.2</v>
      </c>
      <c r="K270" s="68">
        <v>0</v>
      </c>
      <c r="L270" s="110">
        <f t="shared" si="62"/>
        <v>0</v>
      </c>
      <c r="M270" s="73">
        <f t="shared" si="72"/>
        <v>99000</v>
      </c>
      <c r="N270" s="140">
        <f t="shared" si="64"/>
        <v>1000</v>
      </c>
      <c r="O270" s="74" t="s">
        <v>1932</v>
      </c>
      <c r="P270" s="617">
        <v>2</v>
      </c>
      <c r="Q270" s="618"/>
      <c r="R270" s="23"/>
      <c r="S270" s="10">
        <f t="shared" si="65"/>
        <v>5000</v>
      </c>
      <c r="T270" s="10">
        <f t="shared" si="66"/>
        <v>-4000</v>
      </c>
      <c r="U270" s="10">
        <f t="shared" si="73"/>
        <v>0</v>
      </c>
      <c r="V270" s="10">
        <f t="shared" si="67"/>
        <v>20000</v>
      </c>
      <c r="W270" s="10">
        <f t="shared" si="68"/>
        <v>0</v>
      </c>
      <c r="X270" s="10">
        <f t="shared" si="69"/>
        <v>0</v>
      </c>
    </row>
    <row r="271" spans="1:24" s="9" customFormat="1" ht="13.5" customHeight="1" x14ac:dyDescent="0.2">
      <c r="A271" s="107">
        <f t="shared" si="70"/>
        <v>267</v>
      </c>
      <c r="B271" s="616" t="s">
        <v>2134</v>
      </c>
      <c r="C271" s="148">
        <v>39521</v>
      </c>
      <c r="D271" s="372">
        <v>200000</v>
      </c>
      <c r="E271" s="372"/>
      <c r="F271" s="73">
        <f t="shared" si="63"/>
        <v>200000</v>
      </c>
      <c r="G271" s="73">
        <v>199000</v>
      </c>
      <c r="H271" s="73">
        <f t="shared" si="71"/>
        <v>1000</v>
      </c>
      <c r="I271" s="74">
        <v>5</v>
      </c>
      <c r="J271" s="74">
        <v>0.2</v>
      </c>
      <c r="K271" s="68">
        <v>0</v>
      </c>
      <c r="L271" s="110">
        <f t="shared" si="62"/>
        <v>0</v>
      </c>
      <c r="M271" s="73">
        <f t="shared" si="72"/>
        <v>199000</v>
      </c>
      <c r="N271" s="140">
        <f t="shared" si="64"/>
        <v>1000</v>
      </c>
      <c r="O271" s="74" t="s">
        <v>1932</v>
      </c>
      <c r="P271" s="617">
        <v>2</v>
      </c>
      <c r="Q271" s="618"/>
      <c r="R271" s="23"/>
      <c r="S271" s="10">
        <f t="shared" si="65"/>
        <v>10000</v>
      </c>
      <c r="T271" s="10">
        <f t="shared" si="66"/>
        <v>-9000</v>
      </c>
      <c r="U271" s="10">
        <f t="shared" si="73"/>
        <v>0</v>
      </c>
      <c r="V271" s="10">
        <f t="shared" si="67"/>
        <v>40000</v>
      </c>
      <c r="W271" s="10">
        <f t="shared" si="68"/>
        <v>0</v>
      </c>
      <c r="X271" s="10">
        <f t="shared" si="69"/>
        <v>0</v>
      </c>
    </row>
    <row r="272" spans="1:24" s="9" customFormat="1" ht="13.5" customHeight="1" x14ac:dyDescent="0.2">
      <c r="A272" s="107">
        <f t="shared" si="70"/>
        <v>268</v>
      </c>
      <c r="B272" s="616" t="s">
        <v>1846</v>
      </c>
      <c r="C272" s="148">
        <v>39538</v>
      </c>
      <c r="D272" s="372">
        <v>920000</v>
      </c>
      <c r="E272" s="372"/>
      <c r="F272" s="73">
        <f t="shared" si="63"/>
        <v>920000</v>
      </c>
      <c r="G272" s="73">
        <v>919000</v>
      </c>
      <c r="H272" s="73">
        <f t="shared" si="71"/>
        <v>1000</v>
      </c>
      <c r="I272" s="74">
        <v>5</v>
      </c>
      <c r="J272" s="74">
        <v>0.2</v>
      </c>
      <c r="K272" s="68">
        <v>0</v>
      </c>
      <c r="L272" s="110">
        <f t="shared" si="62"/>
        <v>0</v>
      </c>
      <c r="M272" s="73">
        <f t="shared" si="72"/>
        <v>919000</v>
      </c>
      <c r="N272" s="140">
        <f t="shared" si="64"/>
        <v>1000</v>
      </c>
      <c r="O272" s="74" t="s">
        <v>1965</v>
      </c>
      <c r="P272" s="617">
        <v>1</v>
      </c>
      <c r="Q272" s="618"/>
      <c r="R272" s="23"/>
      <c r="S272" s="10">
        <f t="shared" si="65"/>
        <v>46000</v>
      </c>
      <c r="T272" s="10">
        <f t="shared" si="66"/>
        <v>-45000</v>
      </c>
      <c r="U272" s="10">
        <f t="shared" si="73"/>
        <v>0</v>
      </c>
      <c r="V272" s="10">
        <f t="shared" si="67"/>
        <v>184000</v>
      </c>
      <c r="W272" s="10">
        <f t="shared" si="68"/>
        <v>0</v>
      </c>
      <c r="X272" s="10">
        <f t="shared" si="69"/>
        <v>0</v>
      </c>
    </row>
    <row r="273" spans="1:24" s="9" customFormat="1" ht="13.5" customHeight="1" x14ac:dyDescent="0.2">
      <c r="A273" s="64">
        <f t="shared" si="70"/>
        <v>269</v>
      </c>
      <c r="B273" s="65" t="s">
        <v>1975</v>
      </c>
      <c r="C273" s="163">
        <v>39552</v>
      </c>
      <c r="D273" s="175">
        <v>280000</v>
      </c>
      <c r="E273" s="175"/>
      <c r="F273" s="67">
        <f t="shared" si="63"/>
        <v>280000</v>
      </c>
      <c r="G273" s="67">
        <v>279000</v>
      </c>
      <c r="H273" s="67">
        <f t="shared" si="71"/>
        <v>1000</v>
      </c>
      <c r="I273" s="74">
        <v>5</v>
      </c>
      <c r="J273" s="74">
        <v>0.2</v>
      </c>
      <c r="K273" s="68">
        <v>0</v>
      </c>
      <c r="L273" s="110">
        <f t="shared" si="62"/>
        <v>0</v>
      </c>
      <c r="M273" s="67">
        <f t="shared" si="72"/>
        <v>279000</v>
      </c>
      <c r="N273" s="110">
        <f t="shared" si="64"/>
        <v>1000</v>
      </c>
      <c r="O273" s="68" t="s">
        <v>1932</v>
      </c>
      <c r="P273" s="555">
        <v>2</v>
      </c>
      <c r="Q273" s="592"/>
      <c r="R273" s="23"/>
      <c r="S273" s="10">
        <f t="shared" si="65"/>
        <v>14000</v>
      </c>
      <c r="T273" s="10">
        <f t="shared" si="66"/>
        <v>-13000</v>
      </c>
      <c r="U273" s="10">
        <f t="shared" si="73"/>
        <v>0</v>
      </c>
      <c r="V273" s="10">
        <f t="shared" si="67"/>
        <v>56000</v>
      </c>
      <c r="W273" s="10">
        <f t="shared" si="68"/>
        <v>0</v>
      </c>
      <c r="X273" s="10">
        <f t="shared" si="69"/>
        <v>0</v>
      </c>
    </row>
    <row r="274" spans="1:24" s="9" customFormat="1" ht="13.5" customHeight="1" x14ac:dyDescent="0.2">
      <c r="A274" s="64">
        <f t="shared" si="70"/>
        <v>270</v>
      </c>
      <c r="B274" s="65" t="s">
        <v>2039</v>
      </c>
      <c r="C274" s="163">
        <v>39552</v>
      </c>
      <c r="D274" s="175">
        <v>1870000</v>
      </c>
      <c r="E274" s="175"/>
      <c r="F274" s="67">
        <f t="shared" si="63"/>
        <v>1870000</v>
      </c>
      <c r="G274" s="67">
        <v>1869000</v>
      </c>
      <c r="H274" s="67">
        <f t="shared" si="71"/>
        <v>1000</v>
      </c>
      <c r="I274" s="74">
        <v>5</v>
      </c>
      <c r="J274" s="74">
        <v>0.2</v>
      </c>
      <c r="K274" s="68">
        <v>0</v>
      </c>
      <c r="L274" s="110">
        <f t="shared" si="62"/>
        <v>0</v>
      </c>
      <c r="M274" s="67">
        <f t="shared" si="72"/>
        <v>1869000</v>
      </c>
      <c r="N274" s="110">
        <f t="shared" si="64"/>
        <v>1000</v>
      </c>
      <c r="O274" s="68" t="s">
        <v>2135</v>
      </c>
      <c r="P274" s="555">
        <v>20</v>
      </c>
      <c r="Q274" s="592"/>
      <c r="R274" s="23"/>
      <c r="S274" s="10">
        <f t="shared" si="65"/>
        <v>93500</v>
      </c>
      <c r="T274" s="10">
        <f t="shared" si="66"/>
        <v>-92500</v>
      </c>
      <c r="U274" s="10">
        <f t="shared" si="73"/>
        <v>0</v>
      </c>
      <c r="V274" s="10">
        <f t="shared" si="67"/>
        <v>374000</v>
      </c>
      <c r="W274" s="10">
        <f t="shared" si="68"/>
        <v>0</v>
      </c>
      <c r="X274" s="10">
        <f t="shared" si="69"/>
        <v>0</v>
      </c>
    </row>
    <row r="275" spans="1:24" s="9" customFormat="1" ht="13.5" customHeight="1" x14ac:dyDescent="0.2">
      <c r="A275" s="64">
        <f t="shared" si="70"/>
        <v>271</v>
      </c>
      <c r="B275" s="65" t="s">
        <v>1864</v>
      </c>
      <c r="C275" s="163">
        <v>39556</v>
      </c>
      <c r="D275" s="175">
        <v>672000</v>
      </c>
      <c r="E275" s="175"/>
      <c r="F275" s="67">
        <f t="shared" si="63"/>
        <v>672000</v>
      </c>
      <c r="G275" s="67">
        <v>671000</v>
      </c>
      <c r="H275" s="67">
        <f t="shared" si="71"/>
        <v>1000</v>
      </c>
      <c r="I275" s="74">
        <v>5</v>
      </c>
      <c r="J275" s="74">
        <v>0.2</v>
      </c>
      <c r="K275" s="68">
        <v>0</v>
      </c>
      <c r="L275" s="110">
        <f t="shared" si="62"/>
        <v>0</v>
      </c>
      <c r="M275" s="67">
        <f t="shared" si="72"/>
        <v>671000</v>
      </c>
      <c r="N275" s="110">
        <f t="shared" si="64"/>
        <v>1000</v>
      </c>
      <c r="O275" s="68" t="s">
        <v>2135</v>
      </c>
      <c r="P275" s="555">
        <v>56</v>
      </c>
      <c r="Q275" s="592"/>
      <c r="R275" s="23"/>
      <c r="S275" s="10">
        <f t="shared" si="65"/>
        <v>33600</v>
      </c>
      <c r="T275" s="10">
        <f t="shared" si="66"/>
        <v>-32600</v>
      </c>
      <c r="U275" s="10">
        <f t="shared" si="73"/>
        <v>0</v>
      </c>
      <c r="V275" s="10">
        <f t="shared" si="67"/>
        <v>134400</v>
      </c>
      <c r="W275" s="10">
        <f t="shared" si="68"/>
        <v>0</v>
      </c>
      <c r="X275" s="10">
        <f t="shared" si="69"/>
        <v>0</v>
      </c>
    </row>
    <row r="276" spans="1:24" s="9" customFormat="1" ht="13.5" customHeight="1" x14ac:dyDescent="0.2">
      <c r="A276" s="64">
        <f t="shared" si="70"/>
        <v>272</v>
      </c>
      <c r="B276" s="65" t="s">
        <v>1858</v>
      </c>
      <c r="C276" s="163">
        <v>39566</v>
      </c>
      <c r="D276" s="175">
        <v>25627272</v>
      </c>
      <c r="E276" s="175"/>
      <c r="F276" s="67">
        <f t="shared" si="63"/>
        <v>25627272</v>
      </c>
      <c r="G276" s="67">
        <v>25626272</v>
      </c>
      <c r="H276" s="67">
        <f t="shared" si="71"/>
        <v>1000</v>
      </c>
      <c r="I276" s="74">
        <v>5</v>
      </c>
      <c r="J276" s="74">
        <v>0.2</v>
      </c>
      <c r="K276" s="68">
        <v>0</v>
      </c>
      <c r="L276" s="110">
        <f t="shared" si="62"/>
        <v>0</v>
      </c>
      <c r="M276" s="67">
        <f t="shared" si="72"/>
        <v>25626272</v>
      </c>
      <c r="N276" s="110">
        <f t="shared" si="64"/>
        <v>1000</v>
      </c>
      <c r="O276" s="68" t="s">
        <v>2136</v>
      </c>
      <c r="P276" s="555">
        <v>7</v>
      </c>
      <c r="Q276" s="592"/>
      <c r="R276" s="23"/>
      <c r="S276" s="10">
        <f t="shared" si="65"/>
        <v>1281363.6000000001</v>
      </c>
      <c r="T276" s="10">
        <f t="shared" si="66"/>
        <v>-1280363.6000000001</v>
      </c>
      <c r="U276" s="10">
        <f t="shared" si="73"/>
        <v>0</v>
      </c>
      <c r="V276" s="10">
        <f t="shared" si="67"/>
        <v>5125454.4000000004</v>
      </c>
      <c r="W276" s="10">
        <f t="shared" si="68"/>
        <v>0</v>
      </c>
      <c r="X276" s="10">
        <f t="shared" si="69"/>
        <v>0</v>
      </c>
    </row>
    <row r="277" spans="1:24" s="9" customFormat="1" ht="13.5" customHeight="1" x14ac:dyDescent="0.2">
      <c r="A277" s="64">
        <f t="shared" si="70"/>
        <v>273</v>
      </c>
      <c r="B277" s="65" t="s">
        <v>1846</v>
      </c>
      <c r="C277" s="163">
        <v>39568</v>
      </c>
      <c r="D277" s="175">
        <v>820000</v>
      </c>
      <c r="E277" s="175"/>
      <c r="F277" s="67">
        <f t="shared" si="63"/>
        <v>820000</v>
      </c>
      <c r="G277" s="67">
        <v>819000</v>
      </c>
      <c r="H277" s="67">
        <f t="shared" si="71"/>
        <v>1000</v>
      </c>
      <c r="I277" s="74">
        <v>5</v>
      </c>
      <c r="J277" s="74">
        <v>0.2</v>
      </c>
      <c r="K277" s="68">
        <v>0</v>
      </c>
      <c r="L277" s="110">
        <f t="shared" ref="L277:L295" si="74">ROUND(IF(F277*J277*K277/12&gt;=H277,H277-1000,F277*J277*K277/12),0)</f>
        <v>0</v>
      </c>
      <c r="M277" s="67">
        <f t="shared" si="72"/>
        <v>819000</v>
      </c>
      <c r="N277" s="110">
        <f t="shared" si="64"/>
        <v>1000</v>
      </c>
      <c r="O277" s="68" t="s">
        <v>1965</v>
      </c>
      <c r="P277" s="555">
        <v>1</v>
      </c>
      <c r="Q277" s="592"/>
      <c r="R277" s="23"/>
      <c r="S277" s="10">
        <f t="shared" si="65"/>
        <v>41000</v>
      </c>
      <c r="T277" s="10">
        <f t="shared" si="66"/>
        <v>-40000</v>
      </c>
      <c r="U277" s="10">
        <f t="shared" si="73"/>
        <v>0</v>
      </c>
      <c r="V277" s="10">
        <f t="shared" si="67"/>
        <v>164000</v>
      </c>
      <c r="W277" s="10">
        <f t="shared" si="68"/>
        <v>0</v>
      </c>
      <c r="X277" s="10">
        <f t="shared" si="69"/>
        <v>0</v>
      </c>
    </row>
    <row r="278" spans="1:24" s="9" customFormat="1" ht="13.5" customHeight="1" x14ac:dyDescent="0.2">
      <c r="A278" s="64">
        <f t="shared" si="70"/>
        <v>274</v>
      </c>
      <c r="B278" s="65" t="s">
        <v>2137</v>
      </c>
      <c r="C278" s="163">
        <v>39568</v>
      </c>
      <c r="D278" s="175">
        <v>10254550</v>
      </c>
      <c r="E278" s="175"/>
      <c r="F278" s="67">
        <f t="shared" si="63"/>
        <v>10254550</v>
      </c>
      <c r="G278" s="67">
        <v>10253550</v>
      </c>
      <c r="H278" s="67">
        <f t="shared" si="71"/>
        <v>1000</v>
      </c>
      <c r="I278" s="74">
        <v>5</v>
      </c>
      <c r="J278" s="74">
        <v>0.2</v>
      </c>
      <c r="K278" s="68">
        <v>0</v>
      </c>
      <c r="L278" s="110">
        <f t="shared" si="74"/>
        <v>0</v>
      </c>
      <c r="M278" s="67">
        <f t="shared" si="72"/>
        <v>10253550</v>
      </c>
      <c r="N278" s="110">
        <f t="shared" si="64"/>
        <v>1000</v>
      </c>
      <c r="O278" s="68" t="s">
        <v>2138</v>
      </c>
      <c r="P278" s="555">
        <v>1</v>
      </c>
      <c r="Q278" s="592"/>
      <c r="R278" s="23"/>
      <c r="S278" s="10">
        <f t="shared" si="65"/>
        <v>512727.5</v>
      </c>
      <c r="T278" s="10">
        <f t="shared" si="66"/>
        <v>-511727.5</v>
      </c>
      <c r="U278" s="10">
        <f t="shared" si="73"/>
        <v>0</v>
      </c>
      <c r="V278" s="10">
        <f t="shared" si="67"/>
        <v>2050910</v>
      </c>
      <c r="W278" s="10">
        <f t="shared" si="68"/>
        <v>0</v>
      </c>
      <c r="X278" s="10">
        <f t="shared" si="69"/>
        <v>0</v>
      </c>
    </row>
    <row r="279" spans="1:24" s="9" customFormat="1" ht="13.5" customHeight="1" x14ac:dyDescent="0.2">
      <c r="A279" s="64">
        <f t="shared" si="70"/>
        <v>275</v>
      </c>
      <c r="B279" s="65" t="s">
        <v>2139</v>
      </c>
      <c r="C279" s="163">
        <v>39587</v>
      </c>
      <c r="D279" s="175">
        <v>872727</v>
      </c>
      <c r="E279" s="175"/>
      <c r="F279" s="67">
        <f t="shared" si="63"/>
        <v>872727</v>
      </c>
      <c r="G279" s="67">
        <v>871727</v>
      </c>
      <c r="H279" s="67">
        <f t="shared" si="71"/>
        <v>1000</v>
      </c>
      <c r="I279" s="74">
        <v>5</v>
      </c>
      <c r="J279" s="74">
        <v>0.2</v>
      </c>
      <c r="K279" s="68">
        <v>0</v>
      </c>
      <c r="L279" s="110">
        <f t="shared" si="74"/>
        <v>0</v>
      </c>
      <c r="M279" s="67">
        <f t="shared" si="72"/>
        <v>871727</v>
      </c>
      <c r="N279" s="110">
        <f t="shared" si="64"/>
        <v>1000</v>
      </c>
      <c r="O279" s="68" t="s">
        <v>2140</v>
      </c>
      <c r="P279" s="555">
        <v>3</v>
      </c>
      <c r="Q279" s="592" t="s">
        <v>2141</v>
      </c>
      <c r="R279" s="23"/>
      <c r="S279" s="10">
        <f t="shared" si="65"/>
        <v>43636.350000000006</v>
      </c>
      <c r="T279" s="10">
        <f t="shared" si="66"/>
        <v>-42636.350000000006</v>
      </c>
      <c r="U279" s="10">
        <f t="shared" si="73"/>
        <v>0</v>
      </c>
      <c r="V279" s="10">
        <f t="shared" si="67"/>
        <v>174545.4</v>
      </c>
      <c r="W279" s="10">
        <f t="shared" si="68"/>
        <v>0</v>
      </c>
      <c r="X279" s="10">
        <f t="shared" si="69"/>
        <v>0</v>
      </c>
    </row>
    <row r="280" spans="1:24" s="9" customFormat="1" ht="13.5" customHeight="1" x14ac:dyDescent="0.2">
      <c r="A280" s="64">
        <f t="shared" si="70"/>
        <v>276</v>
      </c>
      <c r="B280" s="65" t="s">
        <v>2142</v>
      </c>
      <c r="C280" s="163">
        <v>39587</v>
      </c>
      <c r="D280" s="175">
        <v>200000</v>
      </c>
      <c r="E280" s="175"/>
      <c r="F280" s="67">
        <f t="shared" si="63"/>
        <v>200000</v>
      </c>
      <c r="G280" s="67">
        <v>199000</v>
      </c>
      <c r="H280" s="67">
        <f t="shared" si="71"/>
        <v>1000</v>
      </c>
      <c r="I280" s="74">
        <v>5</v>
      </c>
      <c r="J280" s="74">
        <v>0.2</v>
      </c>
      <c r="K280" s="68">
        <v>0</v>
      </c>
      <c r="L280" s="110">
        <f t="shared" si="74"/>
        <v>0</v>
      </c>
      <c r="M280" s="67">
        <f t="shared" si="72"/>
        <v>199000</v>
      </c>
      <c r="N280" s="110">
        <f t="shared" si="64"/>
        <v>1000</v>
      </c>
      <c r="O280" s="68" t="s">
        <v>2140</v>
      </c>
      <c r="P280" s="555">
        <v>2</v>
      </c>
      <c r="Q280" s="592"/>
      <c r="R280" s="23"/>
      <c r="S280" s="10">
        <f t="shared" si="65"/>
        <v>10000</v>
      </c>
      <c r="T280" s="10">
        <f t="shared" si="66"/>
        <v>-9000</v>
      </c>
      <c r="U280" s="10">
        <f t="shared" si="73"/>
        <v>0</v>
      </c>
      <c r="V280" s="10">
        <f t="shared" si="67"/>
        <v>40000</v>
      </c>
      <c r="W280" s="10">
        <f t="shared" si="68"/>
        <v>0</v>
      </c>
      <c r="X280" s="10">
        <f t="shared" si="69"/>
        <v>0</v>
      </c>
    </row>
    <row r="281" spans="1:24" s="9" customFormat="1" ht="13.5" customHeight="1" x14ac:dyDescent="0.2">
      <c r="A281" s="64">
        <f t="shared" si="70"/>
        <v>277</v>
      </c>
      <c r="B281" s="65" t="s">
        <v>2143</v>
      </c>
      <c r="C281" s="163">
        <v>39587</v>
      </c>
      <c r="D281" s="175">
        <v>1227273</v>
      </c>
      <c r="E281" s="175"/>
      <c r="F281" s="67">
        <f t="shared" si="63"/>
        <v>1227273</v>
      </c>
      <c r="G281" s="67">
        <v>1226273</v>
      </c>
      <c r="H281" s="67">
        <f t="shared" si="71"/>
        <v>1000</v>
      </c>
      <c r="I281" s="74">
        <v>5</v>
      </c>
      <c r="J281" s="74">
        <v>0.2</v>
      </c>
      <c r="K281" s="68">
        <v>0</v>
      </c>
      <c r="L281" s="110">
        <f t="shared" si="74"/>
        <v>0</v>
      </c>
      <c r="M281" s="67">
        <f t="shared" si="72"/>
        <v>1226273</v>
      </c>
      <c r="N281" s="110">
        <f t="shared" si="64"/>
        <v>1000</v>
      </c>
      <c r="O281" s="68" t="s">
        <v>2140</v>
      </c>
      <c r="P281" s="555">
        <v>18</v>
      </c>
      <c r="Q281" s="592" t="s">
        <v>2144</v>
      </c>
      <c r="R281" s="23"/>
      <c r="S281" s="10">
        <f t="shared" si="65"/>
        <v>61363.65</v>
      </c>
      <c r="T281" s="10">
        <f t="shared" si="66"/>
        <v>-60363.65</v>
      </c>
      <c r="U281" s="10">
        <f t="shared" si="73"/>
        <v>0</v>
      </c>
      <c r="V281" s="10">
        <f t="shared" si="67"/>
        <v>245454.6</v>
      </c>
      <c r="W281" s="10">
        <f t="shared" si="68"/>
        <v>0</v>
      </c>
      <c r="X281" s="10">
        <f t="shared" si="69"/>
        <v>0</v>
      </c>
    </row>
    <row r="282" spans="1:24" s="9" customFormat="1" ht="13.5" customHeight="1" x14ac:dyDescent="0.2">
      <c r="A282" s="64">
        <f t="shared" si="70"/>
        <v>278</v>
      </c>
      <c r="B282" s="65" t="s">
        <v>2145</v>
      </c>
      <c r="C282" s="163">
        <v>39598</v>
      </c>
      <c r="D282" s="175">
        <v>800000</v>
      </c>
      <c r="E282" s="175"/>
      <c r="F282" s="67">
        <f t="shared" si="63"/>
        <v>800000</v>
      </c>
      <c r="G282" s="67">
        <v>799000</v>
      </c>
      <c r="H282" s="67">
        <f t="shared" si="71"/>
        <v>1000</v>
      </c>
      <c r="I282" s="74">
        <v>5</v>
      </c>
      <c r="J282" s="74">
        <v>0.2</v>
      </c>
      <c r="K282" s="68">
        <v>0</v>
      </c>
      <c r="L282" s="110">
        <f t="shared" si="74"/>
        <v>0</v>
      </c>
      <c r="M282" s="67">
        <f t="shared" si="72"/>
        <v>799000</v>
      </c>
      <c r="N282" s="110">
        <f t="shared" si="64"/>
        <v>1000</v>
      </c>
      <c r="O282" s="68" t="s">
        <v>1974</v>
      </c>
      <c r="P282" s="555">
        <v>2</v>
      </c>
      <c r="Q282" s="592"/>
      <c r="R282" s="23"/>
      <c r="S282" s="10">
        <f t="shared" si="65"/>
        <v>40000</v>
      </c>
      <c r="T282" s="10">
        <f t="shared" si="66"/>
        <v>-39000</v>
      </c>
      <c r="U282" s="10">
        <f t="shared" si="73"/>
        <v>0</v>
      </c>
      <c r="V282" s="10">
        <f t="shared" si="67"/>
        <v>160000</v>
      </c>
      <c r="W282" s="10">
        <f t="shared" si="68"/>
        <v>0</v>
      </c>
      <c r="X282" s="10">
        <f t="shared" si="69"/>
        <v>0</v>
      </c>
    </row>
    <row r="283" spans="1:24" s="9" customFormat="1" ht="13.5" customHeight="1" x14ac:dyDescent="0.2">
      <c r="A283" s="64">
        <f t="shared" si="70"/>
        <v>279</v>
      </c>
      <c r="B283" s="65" t="s">
        <v>2146</v>
      </c>
      <c r="C283" s="163">
        <v>39598</v>
      </c>
      <c r="D283" s="175">
        <v>1200000</v>
      </c>
      <c r="E283" s="175"/>
      <c r="F283" s="67">
        <f t="shared" si="63"/>
        <v>1200000</v>
      </c>
      <c r="G283" s="67">
        <v>1199000</v>
      </c>
      <c r="H283" s="67">
        <f t="shared" si="71"/>
        <v>1000</v>
      </c>
      <c r="I283" s="74">
        <v>5</v>
      </c>
      <c r="J283" s="74">
        <v>0.2</v>
      </c>
      <c r="K283" s="68">
        <v>0</v>
      </c>
      <c r="L283" s="110">
        <f t="shared" si="74"/>
        <v>0</v>
      </c>
      <c r="M283" s="67">
        <f t="shared" si="72"/>
        <v>1199000</v>
      </c>
      <c r="N283" s="110">
        <f t="shared" si="64"/>
        <v>1000</v>
      </c>
      <c r="O283" s="68" t="s">
        <v>1974</v>
      </c>
      <c r="P283" s="555">
        <v>2</v>
      </c>
      <c r="Q283" s="592"/>
      <c r="R283" s="23"/>
      <c r="S283" s="10">
        <f t="shared" si="65"/>
        <v>60000</v>
      </c>
      <c r="T283" s="10">
        <f t="shared" si="66"/>
        <v>-59000</v>
      </c>
      <c r="U283" s="10">
        <f t="shared" si="73"/>
        <v>0</v>
      </c>
      <c r="V283" s="10">
        <f t="shared" si="67"/>
        <v>240000</v>
      </c>
      <c r="W283" s="10">
        <f t="shared" si="68"/>
        <v>0</v>
      </c>
      <c r="X283" s="10">
        <f t="shared" si="69"/>
        <v>0</v>
      </c>
    </row>
    <row r="284" spans="1:24" s="9" customFormat="1" ht="13.5" customHeight="1" x14ac:dyDescent="0.2">
      <c r="A284" s="64">
        <f t="shared" si="70"/>
        <v>280</v>
      </c>
      <c r="B284" s="65" t="s">
        <v>2147</v>
      </c>
      <c r="C284" s="163">
        <v>39604</v>
      </c>
      <c r="D284" s="175">
        <v>890909</v>
      </c>
      <c r="E284" s="175"/>
      <c r="F284" s="67">
        <f t="shared" si="63"/>
        <v>890909</v>
      </c>
      <c r="G284" s="67">
        <v>889909</v>
      </c>
      <c r="H284" s="67">
        <f t="shared" si="71"/>
        <v>1000</v>
      </c>
      <c r="I284" s="74">
        <v>5</v>
      </c>
      <c r="J284" s="74">
        <v>0.2</v>
      </c>
      <c r="K284" s="68">
        <v>0</v>
      </c>
      <c r="L284" s="110">
        <f t="shared" si="74"/>
        <v>0</v>
      </c>
      <c r="M284" s="67">
        <f t="shared" si="72"/>
        <v>889909</v>
      </c>
      <c r="N284" s="110">
        <f t="shared" si="64"/>
        <v>1000</v>
      </c>
      <c r="O284" s="68" t="s">
        <v>2131</v>
      </c>
      <c r="P284" s="555">
        <v>1</v>
      </c>
      <c r="Q284" s="592"/>
      <c r="R284" s="23"/>
      <c r="S284" s="10">
        <f t="shared" si="65"/>
        <v>44545.450000000004</v>
      </c>
      <c r="T284" s="10">
        <f t="shared" si="66"/>
        <v>-43545.450000000004</v>
      </c>
      <c r="U284" s="10">
        <f t="shared" si="73"/>
        <v>0</v>
      </c>
      <c r="V284" s="10">
        <f t="shared" si="67"/>
        <v>178181.8</v>
      </c>
      <c r="W284" s="10">
        <f t="shared" si="68"/>
        <v>0</v>
      </c>
      <c r="X284" s="10">
        <f t="shared" si="69"/>
        <v>0</v>
      </c>
    </row>
    <row r="285" spans="1:24" s="9" customFormat="1" ht="13.5" customHeight="1" x14ac:dyDescent="0.2">
      <c r="A285" s="64">
        <f t="shared" si="70"/>
        <v>281</v>
      </c>
      <c r="B285" s="65" t="s">
        <v>1840</v>
      </c>
      <c r="C285" s="163">
        <v>39612</v>
      </c>
      <c r="D285" s="175">
        <v>654545</v>
      </c>
      <c r="E285" s="175"/>
      <c r="F285" s="67">
        <f t="shared" si="63"/>
        <v>654545</v>
      </c>
      <c r="G285" s="67">
        <v>653545</v>
      </c>
      <c r="H285" s="67">
        <f t="shared" si="71"/>
        <v>1000</v>
      </c>
      <c r="I285" s="74">
        <v>5</v>
      </c>
      <c r="J285" s="74">
        <v>0.2</v>
      </c>
      <c r="K285" s="68">
        <v>0</v>
      </c>
      <c r="L285" s="110">
        <f t="shared" si="74"/>
        <v>0</v>
      </c>
      <c r="M285" s="67">
        <f t="shared" si="72"/>
        <v>653545</v>
      </c>
      <c r="N285" s="110">
        <f t="shared" si="64"/>
        <v>1000</v>
      </c>
      <c r="O285" s="68" t="s">
        <v>2148</v>
      </c>
      <c r="P285" s="555">
        <v>1</v>
      </c>
      <c r="Q285" s="592" t="s">
        <v>1890</v>
      </c>
      <c r="R285" s="23"/>
      <c r="S285" s="10">
        <f t="shared" si="65"/>
        <v>32727.25</v>
      </c>
      <c r="T285" s="10">
        <f t="shared" si="66"/>
        <v>-31727.25</v>
      </c>
      <c r="U285" s="10">
        <f t="shared" si="73"/>
        <v>0</v>
      </c>
      <c r="V285" s="10">
        <f t="shared" si="67"/>
        <v>130909</v>
      </c>
      <c r="W285" s="10">
        <f t="shared" si="68"/>
        <v>0</v>
      </c>
      <c r="X285" s="10">
        <f t="shared" si="69"/>
        <v>0</v>
      </c>
    </row>
    <row r="286" spans="1:24" s="9" customFormat="1" ht="13.5" customHeight="1" x14ac:dyDescent="0.2">
      <c r="A286" s="64">
        <f t="shared" si="70"/>
        <v>282</v>
      </c>
      <c r="B286" s="65" t="s">
        <v>2149</v>
      </c>
      <c r="C286" s="163">
        <v>39629</v>
      </c>
      <c r="D286" s="175">
        <v>280000</v>
      </c>
      <c r="E286" s="175"/>
      <c r="F286" s="67">
        <f t="shared" si="63"/>
        <v>280000</v>
      </c>
      <c r="G286" s="67">
        <v>279000</v>
      </c>
      <c r="H286" s="67">
        <f t="shared" si="71"/>
        <v>1000</v>
      </c>
      <c r="I286" s="74">
        <v>5</v>
      </c>
      <c r="J286" s="74">
        <v>0.2</v>
      </c>
      <c r="K286" s="68">
        <v>0</v>
      </c>
      <c r="L286" s="110">
        <f t="shared" si="74"/>
        <v>0</v>
      </c>
      <c r="M286" s="67">
        <f t="shared" si="72"/>
        <v>279000</v>
      </c>
      <c r="N286" s="110">
        <f t="shared" si="64"/>
        <v>1000</v>
      </c>
      <c r="O286" s="68" t="s">
        <v>2140</v>
      </c>
      <c r="P286" s="555">
        <v>2</v>
      </c>
      <c r="Q286" s="592"/>
      <c r="R286" s="23"/>
      <c r="S286" s="10">
        <f t="shared" si="65"/>
        <v>14000</v>
      </c>
      <c r="T286" s="10">
        <f t="shared" si="66"/>
        <v>-13000</v>
      </c>
      <c r="U286" s="10">
        <f t="shared" si="73"/>
        <v>0</v>
      </c>
      <c r="V286" s="10">
        <f t="shared" si="67"/>
        <v>56000</v>
      </c>
      <c r="W286" s="10">
        <f t="shared" si="68"/>
        <v>0</v>
      </c>
      <c r="X286" s="10">
        <f t="shared" si="69"/>
        <v>0</v>
      </c>
    </row>
    <row r="287" spans="1:24" s="9" customFormat="1" ht="13.5" customHeight="1" x14ac:dyDescent="0.2">
      <c r="A287" s="64">
        <f t="shared" si="70"/>
        <v>283</v>
      </c>
      <c r="B287" s="65" t="s">
        <v>2150</v>
      </c>
      <c r="C287" s="163">
        <v>39629</v>
      </c>
      <c r="D287" s="175">
        <v>100000</v>
      </c>
      <c r="E287" s="175"/>
      <c r="F287" s="67">
        <f t="shared" si="63"/>
        <v>100000</v>
      </c>
      <c r="G287" s="67">
        <v>99000</v>
      </c>
      <c r="H287" s="67">
        <f t="shared" si="71"/>
        <v>1000</v>
      </c>
      <c r="I287" s="74">
        <v>5</v>
      </c>
      <c r="J287" s="74">
        <v>0.2</v>
      </c>
      <c r="K287" s="68">
        <v>0</v>
      </c>
      <c r="L287" s="110">
        <f t="shared" si="74"/>
        <v>0</v>
      </c>
      <c r="M287" s="67">
        <f t="shared" si="72"/>
        <v>99000</v>
      </c>
      <c r="N287" s="110">
        <f t="shared" si="64"/>
        <v>1000</v>
      </c>
      <c r="O287" s="68" t="s">
        <v>2140</v>
      </c>
      <c r="P287" s="555">
        <v>2</v>
      </c>
      <c r="Q287" s="592"/>
      <c r="R287" s="23"/>
      <c r="S287" s="10">
        <f t="shared" si="65"/>
        <v>5000</v>
      </c>
      <c r="T287" s="10">
        <f t="shared" si="66"/>
        <v>-4000</v>
      </c>
      <c r="U287" s="10">
        <f t="shared" si="73"/>
        <v>0</v>
      </c>
      <c r="V287" s="10">
        <f t="shared" si="67"/>
        <v>20000</v>
      </c>
      <c r="W287" s="10">
        <f t="shared" si="68"/>
        <v>0</v>
      </c>
      <c r="X287" s="10">
        <f t="shared" si="69"/>
        <v>0</v>
      </c>
    </row>
    <row r="288" spans="1:24" s="9" customFormat="1" ht="13.5" customHeight="1" x14ac:dyDescent="0.2">
      <c r="A288" s="64">
        <f t="shared" si="70"/>
        <v>284</v>
      </c>
      <c r="B288" s="65" t="s">
        <v>2151</v>
      </c>
      <c r="C288" s="163">
        <v>39629</v>
      </c>
      <c r="D288" s="175">
        <v>20000</v>
      </c>
      <c r="E288" s="175"/>
      <c r="F288" s="67">
        <f t="shared" si="63"/>
        <v>20000</v>
      </c>
      <c r="G288" s="67">
        <v>19000</v>
      </c>
      <c r="H288" s="67">
        <f t="shared" si="71"/>
        <v>1000</v>
      </c>
      <c r="I288" s="74">
        <v>5</v>
      </c>
      <c r="J288" s="74">
        <v>0.2</v>
      </c>
      <c r="K288" s="68">
        <v>0</v>
      </c>
      <c r="L288" s="110">
        <f t="shared" si="74"/>
        <v>0</v>
      </c>
      <c r="M288" s="67">
        <f t="shared" si="72"/>
        <v>19000</v>
      </c>
      <c r="N288" s="110">
        <f t="shared" si="64"/>
        <v>1000</v>
      </c>
      <c r="O288" s="68" t="s">
        <v>2140</v>
      </c>
      <c r="P288" s="555">
        <v>1</v>
      </c>
      <c r="Q288" s="592"/>
      <c r="R288" s="23"/>
      <c r="S288" s="10">
        <f t="shared" si="65"/>
        <v>1000</v>
      </c>
      <c r="T288" s="10">
        <f t="shared" si="66"/>
        <v>0</v>
      </c>
      <c r="U288" s="10">
        <f t="shared" si="73"/>
        <v>0</v>
      </c>
      <c r="V288" s="10">
        <f t="shared" si="67"/>
        <v>4000</v>
      </c>
      <c r="W288" s="10">
        <f t="shared" si="68"/>
        <v>0</v>
      </c>
      <c r="X288" s="10">
        <f t="shared" si="69"/>
        <v>0</v>
      </c>
    </row>
    <row r="289" spans="1:24" s="9" customFormat="1" ht="13.5" customHeight="1" x14ac:dyDescent="0.2">
      <c r="A289" s="89">
        <f t="shared" si="70"/>
        <v>285</v>
      </c>
      <c r="B289" s="619" t="s">
        <v>1873</v>
      </c>
      <c r="C289" s="148">
        <v>39629</v>
      </c>
      <c r="D289" s="383">
        <v>81820</v>
      </c>
      <c r="E289" s="383"/>
      <c r="F289" s="91">
        <f t="shared" si="63"/>
        <v>81820</v>
      </c>
      <c r="G289" s="91">
        <v>80820</v>
      </c>
      <c r="H289" s="91">
        <f t="shared" si="71"/>
        <v>1000</v>
      </c>
      <c r="I289" s="74">
        <v>5</v>
      </c>
      <c r="J289" s="74">
        <v>0.2</v>
      </c>
      <c r="K289" s="68">
        <v>0</v>
      </c>
      <c r="L289" s="110">
        <f t="shared" si="74"/>
        <v>0</v>
      </c>
      <c r="M289" s="91">
        <f t="shared" si="72"/>
        <v>80820</v>
      </c>
      <c r="N289" s="121">
        <f t="shared" si="64"/>
        <v>1000</v>
      </c>
      <c r="O289" s="92" t="s">
        <v>2152</v>
      </c>
      <c r="P289" s="617">
        <v>2</v>
      </c>
      <c r="Q289" s="621"/>
      <c r="R289" s="23"/>
      <c r="S289" s="10">
        <f t="shared" si="65"/>
        <v>4091</v>
      </c>
      <c r="T289" s="10">
        <f t="shared" si="66"/>
        <v>-3091</v>
      </c>
      <c r="U289" s="10">
        <f t="shared" si="73"/>
        <v>0</v>
      </c>
      <c r="V289" s="10">
        <f t="shared" si="67"/>
        <v>16364</v>
      </c>
      <c r="W289" s="10">
        <f t="shared" si="68"/>
        <v>0</v>
      </c>
      <c r="X289" s="10">
        <f t="shared" si="69"/>
        <v>0</v>
      </c>
    </row>
    <row r="290" spans="1:24" s="9" customFormat="1" ht="13.5" customHeight="1" x14ac:dyDescent="0.2">
      <c r="A290" s="64">
        <f t="shared" si="70"/>
        <v>286</v>
      </c>
      <c r="B290" s="65" t="s">
        <v>2153</v>
      </c>
      <c r="C290" s="163">
        <v>39643</v>
      </c>
      <c r="D290" s="175">
        <v>5400000</v>
      </c>
      <c r="E290" s="175"/>
      <c r="F290" s="67">
        <f t="shared" si="63"/>
        <v>5400000</v>
      </c>
      <c r="G290" s="67">
        <v>5399000</v>
      </c>
      <c r="H290" s="67">
        <f t="shared" si="71"/>
        <v>1000</v>
      </c>
      <c r="I290" s="74">
        <v>5</v>
      </c>
      <c r="J290" s="74">
        <v>0.2</v>
      </c>
      <c r="K290" s="68">
        <v>0</v>
      </c>
      <c r="L290" s="110">
        <f t="shared" si="74"/>
        <v>0</v>
      </c>
      <c r="M290" s="67">
        <f t="shared" si="72"/>
        <v>5399000</v>
      </c>
      <c r="N290" s="110">
        <f t="shared" si="64"/>
        <v>1000</v>
      </c>
      <c r="O290" s="68" t="s">
        <v>2154</v>
      </c>
      <c r="P290" s="555">
        <v>2</v>
      </c>
      <c r="Q290" s="592"/>
      <c r="R290" s="23"/>
      <c r="S290" s="10">
        <f t="shared" si="65"/>
        <v>270000</v>
      </c>
      <c r="T290" s="10">
        <f t="shared" si="66"/>
        <v>-269000</v>
      </c>
      <c r="U290" s="10">
        <f t="shared" si="73"/>
        <v>0</v>
      </c>
      <c r="V290" s="10">
        <f t="shared" si="67"/>
        <v>1080000</v>
      </c>
      <c r="W290" s="10">
        <f t="shared" si="68"/>
        <v>0</v>
      </c>
      <c r="X290" s="10">
        <f t="shared" si="69"/>
        <v>0</v>
      </c>
    </row>
    <row r="291" spans="1:24" s="9" customFormat="1" ht="13.5" customHeight="1" x14ac:dyDescent="0.2">
      <c r="A291" s="64">
        <f t="shared" si="70"/>
        <v>287</v>
      </c>
      <c r="B291" s="65" t="s">
        <v>2155</v>
      </c>
      <c r="C291" s="163">
        <v>39643</v>
      </c>
      <c r="D291" s="175">
        <v>700000</v>
      </c>
      <c r="E291" s="175"/>
      <c r="F291" s="67">
        <f t="shared" si="63"/>
        <v>700000</v>
      </c>
      <c r="G291" s="67">
        <v>699000</v>
      </c>
      <c r="H291" s="67">
        <f t="shared" si="71"/>
        <v>1000</v>
      </c>
      <c r="I291" s="74">
        <v>5</v>
      </c>
      <c r="J291" s="74">
        <v>0.2</v>
      </c>
      <c r="K291" s="68">
        <v>0</v>
      </c>
      <c r="L291" s="110">
        <f t="shared" si="74"/>
        <v>0</v>
      </c>
      <c r="M291" s="67">
        <f t="shared" si="72"/>
        <v>699000</v>
      </c>
      <c r="N291" s="110">
        <f t="shared" si="64"/>
        <v>1000</v>
      </c>
      <c r="O291" s="68" t="s">
        <v>2156</v>
      </c>
      <c r="P291" s="555">
        <v>1</v>
      </c>
      <c r="Q291" s="592"/>
      <c r="R291" s="23"/>
      <c r="S291" s="10">
        <f t="shared" si="65"/>
        <v>35000</v>
      </c>
      <c r="T291" s="10">
        <f t="shared" si="66"/>
        <v>-34000</v>
      </c>
      <c r="U291" s="10">
        <f t="shared" si="73"/>
        <v>0</v>
      </c>
      <c r="V291" s="10">
        <f t="shared" si="67"/>
        <v>140000</v>
      </c>
      <c r="W291" s="10">
        <f t="shared" si="68"/>
        <v>0</v>
      </c>
      <c r="X291" s="10">
        <f t="shared" si="69"/>
        <v>0</v>
      </c>
    </row>
    <row r="292" spans="1:24" s="9" customFormat="1" ht="13.5" customHeight="1" x14ac:dyDescent="0.2">
      <c r="A292" s="64">
        <f t="shared" si="70"/>
        <v>288</v>
      </c>
      <c r="B292" s="65" t="s">
        <v>2157</v>
      </c>
      <c r="C292" s="163">
        <v>39643</v>
      </c>
      <c r="D292" s="175">
        <v>2200000</v>
      </c>
      <c r="E292" s="175"/>
      <c r="F292" s="67">
        <f t="shared" si="63"/>
        <v>2200000</v>
      </c>
      <c r="G292" s="67">
        <v>2199000</v>
      </c>
      <c r="H292" s="67">
        <f t="shared" si="71"/>
        <v>1000</v>
      </c>
      <c r="I292" s="74">
        <v>5</v>
      </c>
      <c r="J292" s="74">
        <v>0.2</v>
      </c>
      <c r="K292" s="68">
        <v>0</v>
      </c>
      <c r="L292" s="110">
        <f t="shared" si="74"/>
        <v>0</v>
      </c>
      <c r="M292" s="67">
        <f t="shared" si="72"/>
        <v>2199000</v>
      </c>
      <c r="N292" s="110">
        <f t="shared" si="64"/>
        <v>1000</v>
      </c>
      <c r="O292" s="68" t="s">
        <v>2156</v>
      </c>
      <c r="P292" s="555">
        <v>2</v>
      </c>
      <c r="Q292" s="592"/>
      <c r="R292" s="23"/>
      <c r="S292" s="10">
        <f t="shared" si="65"/>
        <v>110000</v>
      </c>
      <c r="T292" s="10">
        <f t="shared" si="66"/>
        <v>-109000</v>
      </c>
      <c r="U292" s="10">
        <f t="shared" si="73"/>
        <v>0</v>
      </c>
      <c r="V292" s="10">
        <f t="shared" si="67"/>
        <v>440000</v>
      </c>
      <c r="W292" s="10">
        <f t="shared" si="68"/>
        <v>0</v>
      </c>
      <c r="X292" s="10">
        <f t="shared" si="69"/>
        <v>0</v>
      </c>
    </row>
    <row r="293" spans="1:24" s="9" customFormat="1" ht="13.5" customHeight="1" x14ac:dyDescent="0.2">
      <c r="A293" s="64">
        <f t="shared" si="70"/>
        <v>289</v>
      </c>
      <c r="B293" s="65" t="s">
        <v>2158</v>
      </c>
      <c r="C293" s="163">
        <v>39651</v>
      </c>
      <c r="D293" s="175">
        <v>137000</v>
      </c>
      <c r="E293" s="175"/>
      <c r="F293" s="67">
        <f t="shared" si="63"/>
        <v>137000</v>
      </c>
      <c r="G293" s="67">
        <v>136000</v>
      </c>
      <c r="H293" s="67">
        <f t="shared" si="71"/>
        <v>1000</v>
      </c>
      <c r="I293" s="74">
        <v>5</v>
      </c>
      <c r="J293" s="74">
        <v>0.2</v>
      </c>
      <c r="K293" s="68">
        <v>0</v>
      </c>
      <c r="L293" s="110">
        <f t="shared" si="74"/>
        <v>0</v>
      </c>
      <c r="M293" s="67">
        <f t="shared" si="72"/>
        <v>136000</v>
      </c>
      <c r="N293" s="110">
        <f t="shared" si="64"/>
        <v>1000</v>
      </c>
      <c r="O293" s="68" t="s">
        <v>2159</v>
      </c>
      <c r="P293" s="555">
        <v>1</v>
      </c>
      <c r="Q293" s="592"/>
      <c r="R293" s="23"/>
      <c r="S293" s="10">
        <f t="shared" si="65"/>
        <v>6850</v>
      </c>
      <c r="T293" s="10">
        <f t="shared" si="66"/>
        <v>-5850</v>
      </c>
      <c r="U293" s="10">
        <f t="shared" si="73"/>
        <v>0</v>
      </c>
      <c r="V293" s="10">
        <f t="shared" si="67"/>
        <v>27400</v>
      </c>
      <c r="W293" s="10">
        <f t="shared" si="68"/>
        <v>0</v>
      </c>
      <c r="X293" s="10">
        <f t="shared" si="69"/>
        <v>0</v>
      </c>
    </row>
    <row r="294" spans="1:24" s="9" customFormat="1" ht="13.5" customHeight="1" x14ac:dyDescent="0.2">
      <c r="A294" s="64">
        <f t="shared" si="70"/>
        <v>290</v>
      </c>
      <c r="B294" s="65" t="s">
        <v>1846</v>
      </c>
      <c r="C294" s="163">
        <v>39658</v>
      </c>
      <c r="D294" s="175">
        <v>928000</v>
      </c>
      <c r="E294" s="175"/>
      <c r="F294" s="67">
        <f t="shared" si="63"/>
        <v>928000</v>
      </c>
      <c r="G294" s="67">
        <v>927000</v>
      </c>
      <c r="H294" s="67">
        <f t="shared" si="71"/>
        <v>1000</v>
      </c>
      <c r="I294" s="74">
        <v>5</v>
      </c>
      <c r="J294" s="74">
        <v>0.2</v>
      </c>
      <c r="K294" s="68">
        <v>0</v>
      </c>
      <c r="L294" s="110">
        <f t="shared" si="74"/>
        <v>0</v>
      </c>
      <c r="M294" s="67">
        <f t="shared" si="72"/>
        <v>927000</v>
      </c>
      <c r="N294" s="110">
        <f t="shared" si="64"/>
        <v>1000</v>
      </c>
      <c r="O294" s="68" t="s">
        <v>1965</v>
      </c>
      <c r="P294" s="555">
        <v>1</v>
      </c>
      <c r="Q294" s="592"/>
      <c r="R294" s="23"/>
      <c r="S294" s="10">
        <f t="shared" si="65"/>
        <v>46400</v>
      </c>
      <c r="T294" s="10">
        <f t="shared" si="66"/>
        <v>-45400</v>
      </c>
      <c r="U294" s="10">
        <f t="shared" si="73"/>
        <v>0</v>
      </c>
      <c r="V294" s="10">
        <f t="shared" si="67"/>
        <v>185600</v>
      </c>
      <c r="W294" s="10">
        <f t="shared" si="68"/>
        <v>0</v>
      </c>
      <c r="X294" s="10">
        <f t="shared" si="69"/>
        <v>0</v>
      </c>
    </row>
    <row r="295" spans="1:24" s="9" customFormat="1" ht="13.5" customHeight="1" x14ac:dyDescent="0.2">
      <c r="A295" s="64">
        <f t="shared" si="70"/>
        <v>291</v>
      </c>
      <c r="B295" s="65" t="s">
        <v>2145</v>
      </c>
      <c r="C295" s="163">
        <v>39689</v>
      </c>
      <c r="D295" s="175">
        <v>840000</v>
      </c>
      <c r="E295" s="175"/>
      <c r="F295" s="67">
        <f t="shared" si="63"/>
        <v>840000</v>
      </c>
      <c r="G295" s="67">
        <v>839000</v>
      </c>
      <c r="H295" s="67">
        <f t="shared" si="71"/>
        <v>1000</v>
      </c>
      <c r="I295" s="74">
        <v>5</v>
      </c>
      <c r="J295" s="74">
        <v>0.2</v>
      </c>
      <c r="K295" s="68">
        <v>0</v>
      </c>
      <c r="L295" s="110">
        <f t="shared" si="74"/>
        <v>0</v>
      </c>
      <c r="M295" s="67">
        <f>+G295+L295</f>
        <v>839000</v>
      </c>
      <c r="N295" s="110">
        <f t="shared" si="64"/>
        <v>1000</v>
      </c>
      <c r="O295" s="68" t="s">
        <v>1974</v>
      </c>
      <c r="P295" s="555">
        <v>2</v>
      </c>
      <c r="Q295" s="592"/>
      <c r="R295" s="23"/>
      <c r="S295" s="10">
        <f t="shared" si="65"/>
        <v>42000</v>
      </c>
      <c r="T295" s="10">
        <f t="shared" si="66"/>
        <v>-41000</v>
      </c>
      <c r="U295" s="10">
        <f t="shared" si="73"/>
        <v>0</v>
      </c>
      <c r="V295" s="10">
        <f t="shared" si="67"/>
        <v>168000</v>
      </c>
      <c r="W295" s="10">
        <f t="shared" si="68"/>
        <v>0</v>
      </c>
      <c r="X295" s="10">
        <f t="shared" si="69"/>
        <v>0</v>
      </c>
    </row>
    <row r="296" spans="1:24" s="9" customFormat="1" ht="13.5" customHeight="1" x14ac:dyDescent="0.2">
      <c r="A296" s="64">
        <f t="shared" si="70"/>
        <v>292</v>
      </c>
      <c r="B296" s="65" t="s">
        <v>2160</v>
      </c>
      <c r="C296" s="163">
        <v>39714</v>
      </c>
      <c r="D296" s="175">
        <v>980000</v>
      </c>
      <c r="E296" s="175"/>
      <c r="F296" s="67">
        <f t="shared" si="63"/>
        <v>980000</v>
      </c>
      <c r="G296" s="67">
        <v>980000</v>
      </c>
      <c r="H296" s="67">
        <f t="shared" si="71"/>
        <v>0</v>
      </c>
      <c r="I296" s="74">
        <v>5</v>
      </c>
      <c r="J296" s="74">
        <v>0.2</v>
      </c>
      <c r="K296" s="68">
        <v>0</v>
      </c>
      <c r="L296" s="110">
        <f>ROUND(IF(F296*J296*K296/12&gt;=H296,H296-1000,F296*J296*K296/12),0)+1000</f>
        <v>0</v>
      </c>
      <c r="M296" s="67">
        <v>980000</v>
      </c>
      <c r="N296" s="110">
        <f t="shared" si="64"/>
        <v>0</v>
      </c>
      <c r="O296" s="68" t="s">
        <v>1974</v>
      </c>
      <c r="P296" s="555">
        <v>1</v>
      </c>
      <c r="Q296" s="592"/>
      <c r="R296" s="23"/>
      <c r="S296" s="10">
        <f t="shared" si="65"/>
        <v>49000</v>
      </c>
      <c r="T296" s="10">
        <f t="shared" si="66"/>
        <v>-49000</v>
      </c>
      <c r="U296" s="10">
        <f t="shared" si="73"/>
        <v>-1000</v>
      </c>
      <c r="V296" s="10">
        <f t="shared" si="67"/>
        <v>196000</v>
      </c>
      <c r="W296" s="10">
        <f t="shared" si="68"/>
        <v>0</v>
      </c>
      <c r="X296" s="10">
        <f t="shared" si="69"/>
        <v>0</v>
      </c>
    </row>
    <row r="297" spans="1:24" s="9" customFormat="1" ht="13.5" customHeight="1" x14ac:dyDescent="0.2">
      <c r="A297" s="64">
        <f t="shared" si="70"/>
        <v>293</v>
      </c>
      <c r="B297" s="65" t="s">
        <v>2161</v>
      </c>
      <c r="C297" s="163">
        <v>39721</v>
      </c>
      <c r="D297" s="175">
        <v>7500000</v>
      </c>
      <c r="E297" s="175"/>
      <c r="F297" s="67">
        <f t="shared" si="63"/>
        <v>7500000</v>
      </c>
      <c r="G297" s="67">
        <v>7499000</v>
      </c>
      <c r="H297" s="67">
        <f t="shared" si="71"/>
        <v>1000</v>
      </c>
      <c r="I297" s="74">
        <v>5</v>
      </c>
      <c r="J297" s="74">
        <v>0.2</v>
      </c>
      <c r="K297" s="68">
        <v>0</v>
      </c>
      <c r="L297" s="110">
        <f t="shared" ref="L297:L360" si="75">ROUND(IF(F297*J297*K297/12&gt;=H297,H297-1000,F297*J297*K297/12),0)</f>
        <v>0</v>
      </c>
      <c r="M297" s="67">
        <f t="shared" ref="M297:M360" si="76">+G297+L297</f>
        <v>7499000</v>
      </c>
      <c r="N297" s="110">
        <f t="shared" si="64"/>
        <v>1000</v>
      </c>
      <c r="O297" s="68" t="s">
        <v>1290</v>
      </c>
      <c r="P297" s="555">
        <v>2</v>
      </c>
      <c r="Q297" s="592"/>
      <c r="R297" s="23"/>
      <c r="S297" s="10">
        <f t="shared" si="65"/>
        <v>375000</v>
      </c>
      <c r="T297" s="10">
        <f t="shared" si="66"/>
        <v>-374000</v>
      </c>
      <c r="U297" s="10">
        <f t="shared" si="73"/>
        <v>0</v>
      </c>
      <c r="V297" s="10">
        <f t="shared" si="67"/>
        <v>1500000</v>
      </c>
      <c r="W297" s="10">
        <f t="shared" si="68"/>
        <v>0</v>
      </c>
      <c r="X297" s="10">
        <f t="shared" si="69"/>
        <v>0</v>
      </c>
    </row>
    <row r="298" spans="1:24" s="9" customFormat="1" ht="13.5" customHeight="1" x14ac:dyDescent="0.2">
      <c r="A298" s="64">
        <f t="shared" si="70"/>
        <v>294</v>
      </c>
      <c r="B298" s="65" t="s">
        <v>2162</v>
      </c>
      <c r="C298" s="163">
        <v>39721</v>
      </c>
      <c r="D298" s="175">
        <v>1200000</v>
      </c>
      <c r="E298" s="175"/>
      <c r="F298" s="67">
        <f t="shared" si="63"/>
        <v>1200000</v>
      </c>
      <c r="G298" s="67">
        <v>1199000</v>
      </c>
      <c r="H298" s="67">
        <f t="shared" si="71"/>
        <v>1000</v>
      </c>
      <c r="I298" s="74">
        <v>5</v>
      </c>
      <c r="J298" s="74">
        <v>0.2</v>
      </c>
      <c r="K298" s="68">
        <v>0</v>
      </c>
      <c r="L298" s="110">
        <f t="shared" si="75"/>
        <v>0</v>
      </c>
      <c r="M298" s="91">
        <f t="shared" si="76"/>
        <v>1199000</v>
      </c>
      <c r="N298" s="121">
        <f t="shared" si="64"/>
        <v>1000</v>
      </c>
      <c r="O298" s="92" t="s">
        <v>2163</v>
      </c>
      <c r="P298" s="617">
        <v>10</v>
      </c>
      <c r="Q298" s="621"/>
      <c r="R298" s="23"/>
      <c r="S298" s="10">
        <f t="shared" si="65"/>
        <v>60000</v>
      </c>
      <c r="T298" s="10">
        <f t="shared" si="66"/>
        <v>-59000</v>
      </c>
      <c r="U298" s="10">
        <f t="shared" si="73"/>
        <v>0</v>
      </c>
      <c r="V298" s="10">
        <f t="shared" si="67"/>
        <v>240000</v>
      </c>
      <c r="W298" s="10">
        <f t="shared" si="68"/>
        <v>0</v>
      </c>
      <c r="X298" s="10">
        <f t="shared" si="69"/>
        <v>0</v>
      </c>
    </row>
    <row r="299" spans="1:24" s="9" customFormat="1" ht="13.5" customHeight="1" x14ac:dyDescent="0.2">
      <c r="A299" s="64">
        <f t="shared" si="70"/>
        <v>295</v>
      </c>
      <c r="B299" s="65" t="s">
        <v>1873</v>
      </c>
      <c r="C299" s="163">
        <v>39741</v>
      </c>
      <c r="D299" s="175">
        <v>50000</v>
      </c>
      <c r="E299" s="175"/>
      <c r="F299" s="67">
        <f t="shared" si="63"/>
        <v>50000</v>
      </c>
      <c r="G299" s="67">
        <v>49000</v>
      </c>
      <c r="H299" s="67">
        <f t="shared" si="71"/>
        <v>1000</v>
      </c>
      <c r="I299" s="74">
        <v>5</v>
      </c>
      <c r="J299" s="74">
        <v>0.2</v>
      </c>
      <c r="K299" s="68">
        <v>0</v>
      </c>
      <c r="L299" s="110">
        <f t="shared" si="75"/>
        <v>0</v>
      </c>
      <c r="M299" s="67">
        <f t="shared" si="76"/>
        <v>49000</v>
      </c>
      <c r="N299" s="110">
        <f t="shared" si="64"/>
        <v>1000</v>
      </c>
      <c r="O299" s="68" t="s">
        <v>2164</v>
      </c>
      <c r="P299" s="555">
        <v>1</v>
      </c>
      <c r="Q299" s="592"/>
      <c r="R299" s="23"/>
      <c r="S299" s="10">
        <f t="shared" si="65"/>
        <v>2500</v>
      </c>
      <c r="T299" s="10">
        <f t="shared" si="66"/>
        <v>-1500</v>
      </c>
      <c r="U299" s="10">
        <f t="shared" si="73"/>
        <v>0</v>
      </c>
      <c r="V299" s="10">
        <f t="shared" si="67"/>
        <v>10000</v>
      </c>
      <c r="W299" s="10">
        <f t="shared" si="68"/>
        <v>0</v>
      </c>
      <c r="X299" s="10">
        <f t="shared" si="69"/>
        <v>0</v>
      </c>
    </row>
    <row r="300" spans="1:24" s="9" customFormat="1" ht="13.5" customHeight="1" x14ac:dyDescent="0.2">
      <c r="A300" s="64">
        <f t="shared" si="70"/>
        <v>296</v>
      </c>
      <c r="B300" s="65" t="s">
        <v>1855</v>
      </c>
      <c r="C300" s="163">
        <v>39741</v>
      </c>
      <c r="D300" s="175">
        <v>50000</v>
      </c>
      <c r="E300" s="175"/>
      <c r="F300" s="67">
        <f t="shared" si="63"/>
        <v>50000</v>
      </c>
      <c r="G300" s="67">
        <v>49000</v>
      </c>
      <c r="H300" s="67">
        <f t="shared" si="71"/>
        <v>1000</v>
      </c>
      <c r="I300" s="74">
        <v>5</v>
      </c>
      <c r="J300" s="74">
        <v>0.2</v>
      </c>
      <c r="K300" s="68">
        <v>0</v>
      </c>
      <c r="L300" s="110">
        <f t="shared" si="75"/>
        <v>0</v>
      </c>
      <c r="M300" s="67">
        <f t="shared" si="76"/>
        <v>49000</v>
      </c>
      <c r="N300" s="110">
        <f t="shared" si="64"/>
        <v>1000</v>
      </c>
      <c r="O300" s="68" t="s">
        <v>2164</v>
      </c>
      <c r="P300" s="555">
        <v>1</v>
      </c>
      <c r="Q300" s="592"/>
      <c r="R300" s="23"/>
      <c r="S300" s="10">
        <f t="shared" si="65"/>
        <v>2500</v>
      </c>
      <c r="T300" s="10">
        <f t="shared" si="66"/>
        <v>-1500</v>
      </c>
      <c r="U300" s="10">
        <f t="shared" si="73"/>
        <v>0</v>
      </c>
      <c r="V300" s="10">
        <f t="shared" si="67"/>
        <v>10000</v>
      </c>
      <c r="W300" s="10">
        <f t="shared" si="68"/>
        <v>0</v>
      </c>
      <c r="X300" s="10">
        <f t="shared" si="69"/>
        <v>0</v>
      </c>
    </row>
    <row r="301" spans="1:24" s="9" customFormat="1" ht="13.5" customHeight="1" x14ac:dyDescent="0.2">
      <c r="A301" s="64">
        <f t="shared" si="70"/>
        <v>297</v>
      </c>
      <c r="B301" s="65" t="s">
        <v>2134</v>
      </c>
      <c r="C301" s="163">
        <v>39741</v>
      </c>
      <c r="D301" s="175">
        <v>90000</v>
      </c>
      <c r="E301" s="175"/>
      <c r="F301" s="67">
        <f t="shared" si="63"/>
        <v>90000</v>
      </c>
      <c r="G301" s="67">
        <v>89000</v>
      </c>
      <c r="H301" s="67">
        <f t="shared" si="71"/>
        <v>1000</v>
      </c>
      <c r="I301" s="74">
        <v>5</v>
      </c>
      <c r="J301" s="74">
        <v>0.2</v>
      </c>
      <c r="K301" s="68">
        <v>0</v>
      </c>
      <c r="L301" s="110">
        <f t="shared" si="75"/>
        <v>0</v>
      </c>
      <c r="M301" s="67">
        <f t="shared" si="76"/>
        <v>89000</v>
      </c>
      <c r="N301" s="110">
        <f t="shared" si="64"/>
        <v>1000</v>
      </c>
      <c r="O301" s="68" t="s">
        <v>2164</v>
      </c>
      <c r="P301" s="555">
        <v>1</v>
      </c>
      <c r="Q301" s="592"/>
      <c r="R301" s="23"/>
      <c r="S301" s="10">
        <f t="shared" si="65"/>
        <v>4500</v>
      </c>
      <c r="T301" s="10">
        <f t="shared" si="66"/>
        <v>-3500</v>
      </c>
      <c r="U301" s="10">
        <f t="shared" si="73"/>
        <v>0</v>
      </c>
      <c r="V301" s="10">
        <f t="shared" si="67"/>
        <v>18000</v>
      </c>
      <c r="W301" s="10">
        <f t="shared" si="68"/>
        <v>0</v>
      </c>
      <c r="X301" s="10">
        <f t="shared" si="69"/>
        <v>0</v>
      </c>
    </row>
    <row r="302" spans="1:24" s="9" customFormat="1" ht="13.5" customHeight="1" x14ac:dyDescent="0.2">
      <c r="A302" s="107">
        <f t="shared" si="70"/>
        <v>298</v>
      </c>
      <c r="B302" s="619" t="s">
        <v>2132</v>
      </c>
      <c r="C302" s="208">
        <v>39752</v>
      </c>
      <c r="D302" s="383">
        <v>770000</v>
      </c>
      <c r="E302" s="383"/>
      <c r="F302" s="91">
        <f t="shared" si="63"/>
        <v>770000</v>
      </c>
      <c r="G302" s="91">
        <v>769000</v>
      </c>
      <c r="H302" s="91">
        <f t="shared" si="71"/>
        <v>1000</v>
      </c>
      <c r="I302" s="74">
        <v>5</v>
      </c>
      <c r="J302" s="74">
        <v>0.2</v>
      </c>
      <c r="K302" s="68">
        <v>0</v>
      </c>
      <c r="L302" s="110">
        <f t="shared" si="75"/>
        <v>0</v>
      </c>
      <c r="M302" s="91">
        <f t="shared" si="76"/>
        <v>769000</v>
      </c>
      <c r="N302" s="121">
        <f t="shared" si="64"/>
        <v>1000</v>
      </c>
      <c r="O302" s="92" t="s">
        <v>1965</v>
      </c>
      <c r="P302" s="620">
        <v>1</v>
      </c>
      <c r="Q302" s="621"/>
      <c r="R302" s="23"/>
      <c r="S302" s="10">
        <f t="shared" si="65"/>
        <v>38500</v>
      </c>
      <c r="T302" s="10">
        <f t="shared" si="66"/>
        <v>-37500</v>
      </c>
      <c r="U302" s="10">
        <f t="shared" si="73"/>
        <v>0</v>
      </c>
      <c r="V302" s="10">
        <f t="shared" si="67"/>
        <v>154000</v>
      </c>
      <c r="W302" s="10">
        <f t="shared" si="68"/>
        <v>0</v>
      </c>
      <c r="X302" s="10">
        <f t="shared" si="69"/>
        <v>0</v>
      </c>
    </row>
    <row r="303" spans="1:24" s="9" customFormat="1" ht="13.5" customHeight="1" x14ac:dyDescent="0.2">
      <c r="A303" s="107">
        <f t="shared" si="70"/>
        <v>299</v>
      </c>
      <c r="B303" s="65" t="s">
        <v>2165</v>
      </c>
      <c r="C303" s="163">
        <v>39853</v>
      </c>
      <c r="D303" s="175">
        <v>250000</v>
      </c>
      <c r="E303" s="175"/>
      <c r="F303" s="67">
        <f t="shared" si="63"/>
        <v>250000</v>
      </c>
      <c r="G303" s="67">
        <v>249000</v>
      </c>
      <c r="H303" s="67">
        <f t="shared" si="71"/>
        <v>1000</v>
      </c>
      <c r="I303" s="68">
        <v>5</v>
      </c>
      <c r="J303" s="68">
        <v>0.2</v>
      </c>
      <c r="K303" s="68">
        <v>0</v>
      </c>
      <c r="L303" s="110">
        <f t="shared" si="75"/>
        <v>0</v>
      </c>
      <c r="M303" s="67">
        <f t="shared" si="76"/>
        <v>249000</v>
      </c>
      <c r="N303" s="110">
        <f t="shared" si="64"/>
        <v>1000</v>
      </c>
      <c r="O303" s="68" t="s">
        <v>2164</v>
      </c>
      <c r="P303" s="555">
        <v>2</v>
      </c>
      <c r="Q303" s="592"/>
      <c r="R303" s="23"/>
      <c r="S303" s="10">
        <f t="shared" si="65"/>
        <v>12500</v>
      </c>
      <c r="T303" s="10">
        <f t="shared" si="66"/>
        <v>-11500</v>
      </c>
      <c r="U303" s="10">
        <f t="shared" si="73"/>
        <v>0</v>
      </c>
      <c r="V303" s="10">
        <f t="shared" si="67"/>
        <v>50000</v>
      </c>
      <c r="W303" s="10">
        <f t="shared" si="68"/>
        <v>0</v>
      </c>
      <c r="X303" s="10">
        <f t="shared" si="69"/>
        <v>0</v>
      </c>
    </row>
    <row r="304" spans="1:24" s="9" customFormat="1" ht="13.5" customHeight="1" x14ac:dyDescent="0.2">
      <c r="A304" s="107">
        <f t="shared" si="70"/>
        <v>300</v>
      </c>
      <c r="B304" s="65" t="s">
        <v>2166</v>
      </c>
      <c r="C304" s="163">
        <v>39853</v>
      </c>
      <c r="D304" s="175">
        <v>120000</v>
      </c>
      <c r="E304" s="175"/>
      <c r="F304" s="67">
        <f t="shared" si="63"/>
        <v>120000</v>
      </c>
      <c r="G304" s="67">
        <v>119000</v>
      </c>
      <c r="H304" s="67">
        <f t="shared" si="71"/>
        <v>1000</v>
      </c>
      <c r="I304" s="68">
        <v>5</v>
      </c>
      <c r="J304" s="68">
        <v>0.2</v>
      </c>
      <c r="K304" s="68">
        <v>0</v>
      </c>
      <c r="L304" s="110">
        <f t="shared" si="75"/>
        <v>0</v>
      </c>
      <c r="M304" s="67">
        <f t="shared" si="76"/>
        <v>119000</v>
      </c>
      <c r="N304" s="110">
        <f t="shared" si="64"/>
        <v>1000</v>
      </c>
      <c r="O304" s="68" t="s">
        <v>2164</v>
      </c>
      <c r="P304" s="555">
        <v>1</v>
      </c>
      <c r="Q304" s="592"/>
      <c r="R304" s="23"/>
      <c r="S304" s="10">
        <f t="shared" si="65"/>
        <v>6000</v>
      </c>
      <c r="T304" s="10">
        <f t="shared" si="66"/>
        <v>-5000</v>
      </c>
      <c r="U304" s="10">
        <f t="shared" si="73"/>
        <v>0</v>
      </c>
      <c r="V304" s="10">
        <f t="shared" si="67"/>
        <v>24000</v>
      </c>
      <c r="W304" s="10">
        <f t="shared" si="68"/>
        <v>0</v>
      </c>
      <c r="X304" s="10">
        <f t="shared" si="69"/>
        <v>0</v>
      </c>
    </row>
    <row r="305" spans="1:25" s="9" customFormat="1" ht="13.5" customHeight="1" x14ac:dyDescent="0.2">
      <c r="A305" s="107">
        <f t="shared" si="70"/>
        <v>301</v>
      </c>
      <c r="B305" s="65" t="s">
        <v>2167</v>
      </c>
      <c r="C305" s="163">
        <v>39872</v>
      </c>
      <c r="D305" s="175">
        <v>930000</v>
      </c>
      <c r="E305" s="175"/>
      <c r="F305" s="67">
        <f t="shared" si="63"/>
        <v>930000</v>
      </c>
      <c r="G305" s="67">
        <v>929000</v>
      </c>
      <c r="H305" s="67">
        <f t="shared" si="71"/>
        <v>1000</v>
      </c>
      <c r="I305" s="68">
        <v>5</v>
      </c>
      <c r="J305" s="68">
        <v>0.2</v>
      </c>
      <c r="K305" s="68">
        <v>0</v>
      </c>
      <c r="L305" s="110">
        <f t="shared" si="75"/>
        <v>0</v>
      </c>
      <c r="M305" s="67">
        <f t="shared" si="76"/>
        <v>929000</v>
      </c>
      <c r="N305" s="110">
        <f t="shared" si="64"/>
        <v>1000</v>
      </c>
      <c r="O305" s="68" t="s">
        <v>2168</v>
      </c>
      <c r="P305" s="555">
        <v>1</v>
      </c>
      <c r="Q305" s="592"/>
      <c r="R305" s="23"/>
      <c r="S305" s="10">
        <f t="shared" si="65"/>
        <v>46500</v>
      </c>
      <c r="T305" s="10">
        <f t="shared" si="66"/>
        <v>-45500</v>
      </c>
      <c r="U305" s="10">
        <f t="shared" si="73"/>
        <v>0</v>
      </c>
      <c r="V305" s="10">
        <f t="shared" si="67"/>
        <v>186000</v>
      </c>
      <c r="W305" s="10">
        <f t="shared" si="68"/>
        <v>0</v>
      </c>
      <c r="X305" s="10">
        <f t="shared" si="69"/>
        <v>0</v>
      </c>
    </row>
    <row r="306" spans="1:25" s="9" customFormat="1" ht="13.5" customHeight="1" x14ac:dyDescent="0.2">
      <c r="A306" s="107">
        <f t="shared" si="70"/>
        <v>302</v>
      </c>
      <c r="B306" s="65" t="s">
        <v>2169</v>
      </c>
      <c r="C306" s="163">
        <v>39872</v>
      </c>
      <c r="D306" s="175">
        <v>5700000</v>
      </c>
      <c r="E306" s="175"/>
      <c r="F306" s="67">
        <f t="shared" si="63"/>
        <v>5700000</v>
      </c>
      <c r="G306" s="67">
        <v>5699000</v>
      </c>
      <c r="H306" s="67">
        <f t="shared" si="71"/>
        <v>1000</v>
      </c>
      <c r="I306" s="68">
        <v>5</v>
      </c>
      <c r="J306" s="68">
        <v>0.2</v>
      </c>
      <c r="K306" s="68">
        <v>0</v>
      </c>
      <c r="L306" s="110">
        <f t="shared" si="75"/>
        <v>0</v>
      </c>
      <c r="M306" s="67">
        <f t="shared" si="76"/>
        <v>5699000</v>
      </c>
      <c r="N306" s="110">
        <f t="shared" si="64"/>
        <v>1000</v>
      </c>
      <c r="O306" s="68" t="s">
        <v>2004</v>
      </c>
      <c r="P306" s="555">
        <v>1</v>
      </c>
      <c r="Q306" s="592"/>
      <c r="R306" s="23"/>
      <c r="S306" s="10">
        <f t="shared" si="65"/>
        <v>285000</v>
      </c>
      <c r="T306" s="10">
        <f t="shared" si="66"/>
        <v>-284000</v>
      </c>
      <c r="U306" s="10">
        <f t="shared" si="73"/>
        <v>0</v>
      </c>
      <c r="V306" s="10">
        <f t="shared" si="67"/>
        <v>1140000</v>
      </c>
      <c r="W306" s="10">
        <f t="shared" si="68"/>
        <v>0</v>
      </c>
      <c r="X306" s="10">
        <f t="shared" si="69"/>
        <v>0</v>
      </c>
    </row>
    <row r="307" spans="1:25" s="9" customFormat="1" ht="13.5" customHeight="1" x14ac:dyDescent="0.2">
      <c r="A307" s="107">
        <f t="shared" si="70"/>
        <v>303</v>
      </c>
      <c r="B307" s="65" t="s">
        <v>2170</v>
      </c>
      <c r="C307" s="163">
        <v>39874</v>
      </c>
      <c r="D307" s="175">
        <v>259091</v>
      </c>
      <c r="E307" s="175"/>
      <c r="F307" s="67">
        <f t="shared" si="63"/>
        <v>259091</v>
      </c>
      <c r="G307" s="67">
        <v>258091</v>
      </c>
      <c r="H307" s="67">
        <f t="shared" si="71"/>
        <v>1000</v>
      </c>
      <c r="I307" s="68">
        <v>5</v>
      </c>
      <c r="J307" s="68">
        <v>0.2</v>
      </c>
      <c r="K307" s="68">
        <v>0</v>
      </c>
      <c r="L307" s="110">
        <f t="shared" si="75"/>
        <v>0</v>
      </c>
      <c r="M307" s="67">
        <f t="shared" si="76"/>
        <v>258091</v>
      </c>
      <c r="N307" s="110">
        <f t="shared" si="64"/>
        <v>1000</v>
      </c>
      <c r="O307" s="68" t="s">
        <v>2171</v>
      </c>
      <c r="P307" s="555">
        <v>1</v>
      </c>
      <c r="Q307" s="592"/>
      <c r="R307" s="23"/>
      <c r="S307" s="10">
        <f t="shared" si="65"/>
        <v>12954.550000000001</v>
      </c>
      <c r="T307" s="10">
        <f t="shared" si="66"/>
        <v>-11954.550000000001</v>
      </c>
      <c r="U307" s="10">
        <f t="shared" si="73"/>
        <v>0</v>
      </c>
      <c r="V307" s="10">
        <f t="shared" si="67"/>
        <v>51818.2</v>
      </c>
      <c r="W307" s="10">
        <f t="shared" si="68"/>
        <v>0</v>
      </c>
      <c r="X307" s="10">
        <f t="shared" si="69"/>
        <v>0</v>
      </c>
    </row>
    <row r="308" spans="1:25" s="9" customFormat="1" ht="13.5" customHeight="1" x14ac:dyDescent="0.2">
      <c r="A308" s="107">
        <f t="shared" si="70"/>
        <v>304</v>
      </c>
      <c r="B308" s="65" t="s">
        <v>2142</v>
      </c>
      <c r="C308" s="163">
        <v>39896</v>
      </c>
      <c r="D308" s="175">
        <v>300000</v>
      </c>
      <c r="E308" s="175"/>
      <c r="F308" s="67">
        <f t="shared" si="63"/>
        <v>300000</v>
      </c>
      <c r="G308" s="67">
        <v>299000</v>
      </c>
      <c r="H308" s="67">
        <f t="shared" si="71"/>
        <v>1000</v>
      </c>
      <c r="I308" s="68">
        <v>5</v>
      </c>
      <c r="J308" s="68">
        <v>0.2</v>
      </c>
      <c r="K308" s="68">
        <v>0</v>
      </c>
      <c r="L308" s="110">
        <f t="shared" si="75"/>
        <v>0</v>
      </c>
      <c r="M308" s="67">
        <f t="shared" si="76"/>
        <v>299000</v>
      </c>
      <c r="N308" s="110">
        <f t="shared" si="64"/>
        <v>1000</v>
      </c>
      <c r="O308" s="68" t="s">
        <v>2164</v>
      </c>
      <c r="P308" s="555">
        <v>2</v>
      </c>
      <c r="Q308" s="592"/>
      <c r="R308" s="23"/>
      <c r="S308" s="10">
        <f t="shared" si="65"/>
        <v>15000</v>
      </c>
      <c r="T308" s="10">
        <f t="shared" si="66"/>
        <v>-14000</v>
      </c>
      <c r="U308" s="10">
        <f t="shared" si="73"/>
        <v>0</v>
      </c>
      <c r="V308" s="10">
        <f t="shared" si="67"/>
        <v>60000</v>
      </c>
      <c r="W308" s="10">
        <f t="shared" si="68"/>
        <v>0</v>
      </c>
      <c r="X308" s="10">
        <f t="shared" si="69"/>
        <v>0</v>
      </c>
    </row>
    <row r="309" spans="1:25" s="9" customFormat="1" ht="13.5" customHeight="1" x14ac:dyDescent="0.2">
      <c r="A309" s="709">
        <f t="shared" si="70"/>
        <v>305</v>
      </c>
      <c r="B309" s="710" t="s">
        <v>2172</v>
      </c>
      <c r="C309" s="711">
        <v>39903</v>
      </c>
      <c r="D309" s="712">
        <v>760000</v>
      </c>
      <c r="E309" s="712"/>
      <c r="F309" s="713">
        <f t="shared" si="63"/>
        <v>760000</v>
      </c>
      <c r="G309" s="713">
        <v>759000</v>
      </c>
      <c r="H309" s="713">
        <f t="shared" si="71"/>
        <v>1000</v>
      </c>
      <c r="I309" s="714">
        <v>5</v>
      </c>
      <c r="J309" s="714">
        <v>0.2</v>
      </c>
      <c r="K309" s="706">
        <v>0</v>
      </c>
      <c r="L309" s="705">
        <f t="shared" si="75"/>
        <v>0</v>
      </c>
      <c r="M309" s="713">
        <f t="shared" si="76"/>
        <v>759000</v>
      </c>
      <c r="N309" s="715">
        <f t="shared" si="64"/>
        <v>1000</v>
      </c>
      <c r="O309" s="716" t="s">
        <v>1965</v>
      </c>
      <c r="P309" s="717">
        <v>1</v>
      </c>
      <c r="Q309" s="718"/>
      <c r="R309" s="23"/>
      <c r="S309" s="10">
        <f t="shared" si="65"/>
        <v>38000</v>
      </c>
      <c r="T309" s="10">
        <f t="shared" si="66"/>
        <v>-37000</v>
      </c>
      <c r="U309" s="10">
        <f t="shared" si="73"/>
        <v>0</v>
      </c>
      <c r="V309" s="10">
        <f t="shared" si="67"/>
        <v>152000</v>
      </c>
      <c r="W309" s="10">
        <f t="shared" si="68"/>
        <v>0</v>
      </c>
      <c r="X309" s="10">
        <f t="shared" si="69"/>
        <v>0</v>
      </c>
    </row>
    <row r="310" spans="1:25" s="9" customFormat="1" ht="13.5" customHeight="1" x14ac:dyDescent="0.2">
      <c r="A310" s="64">
        <f t="shared" si="70"/>
        <v>306</v>
      </c>
      <c r="B310" s="65" t="s">
        <v>2173</v>
      </c>
      <c r="C310" s="163">
        <v>39918</v>
      </c>
      <c r="D310" s="175">
        <v>209090</v>
      </c>
      <c r="E310" s="175"/>
      <c r="F310" s="67">
        <f t="shared" si="63"/>
        <v>209090</v>
      </c>
      <c r="G310" s="67">
        <v>208090</v>
      </c>
      <c r="H310" s="67">
        <f t="shared" si="71"/>
        <v>1000</v>
      </c>
      <c r="I310" s="68">
        <v>5</v>
      </c>
      <c r="J310" s="68">
        <v>0.2</v>
      </c>
      <c r="K310" s="68">
        <v>0</v>
      </c>
      <c r="L310" s="110">
        <f t="shared" si="75"/>
        <v>0</v>
      </c>
      <c r="M310" s="67">
        <f t="shared" si="76"/>
        <v>208090</v>
      </c>
      <c r="N310" s="110">
        <f t="shared" si="64"/>
        <v>1000</v>
      </c>
      <c r="O310" s="68" t="s">
        <v>2174</v>
      </c>
      <c r="P310" s="555">
        <v>1</v>
      </c>
      <c r="Q310" s="592"/>
      <c r="R310" s="23"/>
      <c r="S310" s="10">
        <f t="shared" si="65"/>
        <v>10454.5</v>
      </c>
      <c r="T310" s="10">
        <f t="shared" si="66"/>
        <v>-9454.5</v>
      </c>
      <c r="U310" s="10">
        <f t="shared" si="73"/>
        <v>0</v>
      </c>
      <c r="V310" s="10">
        <f t="shared" si="67"/>
        <v>41818</v>
      </c>
      <c r="W310" s="10">
        <f t="shared" si="68"/>
        <v>0</v>
      </c>
      <c r="X310" s="10">
        <f t="shared" si="69"/>
        <v>0</v>
      </c>
    </row>
    <row r="311" spans="1:25" s="9" customFormat="1" ht="13.5" customHeight="1" x14ac:dyDescent="0.2">
      <c r="A311" s="701">
        <f t="shared" si="70"/>
        <v>307</v>
      </c>
      <c r="B311" s="702" t="s">
        <v>2175</v>
      </c>
      <c r="C311" s="703">
        <v>39933</v>
      </c>
      <c r="D311" s="719">
        <v>290000</v>
      </c>
      <c r="E311" s="719"/>
      <c r="F311" s="704">
        <f t="shared" si="63"/>
        <v>290000</v>
      </c>
      <c r="G311" s="704">
        <v>289000</v>
      </c>
      <c r="H311" s="704">
        <f t="shared" si="71"/>
        <v>1000</v>
      </c>
      <c r="I311" s="706">
        <v>5</v>
      </c>
      <c r="J311" s="706">
        <v>0.2</v>
      </c>
      <c r="K311" s="706">
        <v>0</v>
      </c>
      <c r="L311" s="705">
        <f t="shared" si="75"/>
        <v>0</v>
      </c>
      <c r="M311" s="704">
        <f t="shared" si="76"/>
        <v>289000</v>
      </c>
      <c r="N311" s="705">
        <f t="shared" si="64"/>
        <v>1000</v>
      </c>
      <c r="O311" s="706" t="s">
        <v>1965</v>
      </c>
      <c r="P311" s="720">
        <v>1</v>
      </c>
      <c r="Q311" s="721"/>
      <c r="R311" s="23"/>
      <c r="S311" s="10">
        <f t="shared" si="65"/>
        <v>14500</v>
      </c>
      <c r="T311" s="10">
        <f t="shared" si="66"/>
        <v>-13500</v>
      </c>
      <c r="U311" s="10">
        <f t="shared" si="73"/>
        <v>0</v>
      </c>
      <c r="V311" s="10">
        <f t="shared" si="67"/>
        <v>58000</v>
      </c>
      <c r="W311" s="10">
        <f t="shared" si="68"/>
        <v>0</v>
      </c>
      <c r="X311" s="10">
        <f t="shared" si="69"/>
        <v>0</v>
      </c>
    </row>
    <row r="312" spans="1:25" s="9" customFormat="1" ht="13.5" customHeight="1" x14ac:dyDescent="0.2">
      <c r="A312" s="107">
        <f t="shared" si="70"/>
        <v>308</v>
      </c>
      <c r="B312" s="616" t="s">
        <v>1914</v>
      </c>
      <c r="C312" s="148">
        <v>39946</v>
      </c>
      <c r="D312" s="372">
        <v>3300000</v>
      </c>
      <c r="E312" s="372"/>
      <c r="F312" s="73">
        <f t="shared" si="63"/>
        <v>3300000</v>
      </c>
      <c r="G312" s="73">
        <v>3299000</v>
      </c>
      <c r="H312" s="73">
        <f t="shared" si="71"/>
        <v>1000</v>
      </c>
      <c r="I312" s="68">
        <v>5</v>
      </c>
      <c r="J312" s="68">
        <v>0.2</v>
      </c>
      <c r="K312" s="68">
        <v>0</v>
      </c>
      <c r="L312" s="110">
        <f t="shared" si="75"/>
        <v>0</v>
      </c>
      <c r="M312" s="73">
        <f t="shared" si="76"/>
        <v>3299000</v>
      </c>
      <c r="N312" s="140">
        <f t="shared" si="64"/>
        <v>1000</v>
      </c>
      <c r="O312" s="74" t="s">
        <v>354</v>
      </c>
      <c r="P312" s="617">
        <v>1</v>
      </c>
      <c r="Q312" s="618"/>
      <c r="R312" s="23"/>
      <c r="S312" s="10">
        <f t="shared" si="65"/>
        <v>165000</v>
      </c>
      <c r="T312" s="10">
        <f t="shared" si="66"/>
        <v>-164000</v>
      </c>
      <c r="U312" s="10">
        <f t="shared" si="73"/>
        <v>0</v>
      </c>
      <c r="V312" s="10">
        <f t="shared" si="67"/>
        <v>660000</v>
      </c>
      <c r="W312" s="10">
        <f t="shared" si="68"/>
        <v>0</v>
      </c>
      <c r="X312" s="10">
        <f t="shared" si="69"/>
        <v>0</v>
      </c>
    </row>
    <row r="313" spans="1:25" s="9" customFormat="1" ht="13.5" customHeight="1" x14ac:dyDescent="0.2">
      <c r="A313" s="692">
        <f t="shared" si="70"/>
        <v>309</v>
      </c>
      <c r="B313" s="724" t="s">
        <v>2176</v>
      </c>
      <c r="C313" s="725">
        <v>40016</v>
      </c>
      <c r="D313" s="726">
        <v>0</v>
      </c>
      <c r="E313" s="726"/>
      <c r="F313" s="727">
        <f t="shared" si="63"/>
        <v>0</v>
      </c>
      <c r="G313" s="727"/>
      <c r="H313" s="727"/>
      <c r="I313" s="728">
        <v>5</v>
      </c>
      <c r="J313" s="728">
        <v>0.2</v>
      </c>
      <c r="K313" s="728">
        <v>0</v>
      </c>
      <c r="L313" s="729"/>
      <c r="M313" s="727"/>
      <c r="N313" s="729"/>
      <c r="O313" s="728" t="s">
        <v>2177</v>
      </c>
      <c r="P313" s="730">
        <v>1</v>
      </c>
      <c r="Q313" s="731" t="s">
        <v>2906</v>
      </c>
      <c r="R313" s="23"/>
      <c r="S313" s="10">
        <f t="shared" si="65"/>
        <v>0</v>
      </c>
      <c r="T313" s="10">
        <f t="shared" si="66"/>
        <v>0</v>
      </c>
      <c r="U313" s="10">
        <f t="shared" si="73"/>
        <v>-1000</v>
      </c>
      <c r="V313" s="10">
        <f t="shared" si="67"/>
        <v>0</v>
      </c>
      <c r="W313" s="10">
        <f t="shared" si="68"/>
        <v>0</v>
      </c>
      <c r="X313" s="10">
        <f t="shared" si="69"/>
        <v>0</v>
      </c>
    </row>
    <row r="314" spans="1:25" s="9" customFormat="1" ht="13.5" customHeight="1" x14ac:dyDescent="0.2">
      <c r="A314" s="107">
        <f t="shared" si="70"/>
        <v>310</v>
      </c>
      <c r="B314" s="65" t="s">
        <v>2178</v>
      </c>
      <c r="C314" s="163">
        <v>40025</v>
      </c>
      <c r="D314" s="175">
        <v>2300000</v>
      </c>
      <c r="E314" s="175"/>
      <c r="F314" s="67">
        <f t="shared" ref="F314:F377" si="77">+D314+E314</f>
        <v>2300000</v>
      </c>
      <c r="G314" s="67">
        <v>2299000</v>
      </c>
      <c r="H314" s="67">
        <f t="shared" si="71"/>
        <v>1000</v>
      </c>
      <c r="I314" s="68">
        <v>5</v>
      </c>
      <c r="J314" s="68">
        <v>0.2</v>
      </c>
      <c r="K314" s="68">
        <v>0</v>
      </c>
      <c r="L314" s="110">
        <f t="shared" si="75"/>
        <v>0</v>
      </c>
      <c r="M314" s="67">
        <f t="shared" si="76"/>
        <v>2299000</v>
      </c>
      <c r="N314" s="110">
        <f t="shared" ref="N314:N377" si="78">+F314-M314</f>
        <v>1000</v>
      </c>
      <c r="O314" s="68" t="s">
        <v>1752</v>
      </c>
      <c r="P314" s="555">
        <v>1</v>
      </c>
      <c r="Q314" s="592"/>
      <c r="R314" s="23"/>
      <c r="S314" s="10">
        <f t="shared" si="65"/>
        <v>115000</v>
      </c>
      <c r="T314" s="10">
        <f t="shared" si="66"/>
        <v>-114000</v>
      </c>
      <c r="U314" s="10">
        <f t="shared" si="73"/>
        <v>0</v>
      </c>
      <c r="V314" s="10">
        <f t="shared" si="67"/>
        <v>460000</v>
      </c>
      <c r="W314" s="10">
        <f t="shared" si="68"/>
        <v>0</v>
      </c>
      <c r="X314" s="10">
        <f t="shared" si="69"/>
        <v>0</v>
      </c>
    </row>
    <row r="315" spans="1:25" s="9" customFormat="1" ht="13.5" customHeight="1" x14ac:dyDescent="0.2">
      <c r="A315" s="107">
        <f t="shared" si="70"/>
        <v>311</v>
      </c>
      <c r="B315" s="65" t="s">
        <v>2179</v>
      </c>
      <c r="C315" s="163">
        <v>40025</v>
      </c>
      <c r="D315" s="175">
        <v>2400000</v>
      </c>
      <c r="E315" s="175"/>
      <c r="F315" s="67">
        <f t="shared" si="77"/>
        <v>2400000</v>
      </c>
      <c r="G315" s="67">
        <v>2399000</v>
      </c>
      <c r="H315" s="67">
        <f t="shared" si="71"/>
        <v>1000</v>
      </c>
      <c r="I315" s="68">
        <v>5</v>
      </c>
      <c r="J315" s="68">
        <v>0.2</v>
      </c>
      <c r="K315" s="68">
        <v>0</v>
      </c>
      <c r="L315" s="110">
        <f t="shared" si="75"/>
        <v>0</v>
      </c>
      <c r="M315" s="67">
        <f t="shared" si="76"/>
        <v>2399000</v>
      </c>
      <c r="N315" s="110">
        <f t="shared" si="78"/>
        <v>1000</v>
      </c>
      <c r="O315" s="68" t="s">
        <v>1752</v>
      </c>
      <c r="P315" s="555">
        <v>1</v>
      </c>
      <c r="Q315" s="592"/>
      <c r="R315" s="23"/>
      <c r="S315" s="10">
        <f t="shared" si="65"/>
        <v>120000</v>
      </c>
      <c r="T315" s="10">
        <f t="shared" si="66"/>
        <v>-119000</v>
      </c>
      <c r="U315" s="10">
        <f t="shared" si="73"/>
        <v>0</v>
      </c>
      <c r="V315" s="10">
        <f t="shared" si="67"/>
        <v>480000</v>
      </c>
      <c r="W315" s="10">
        <f t="shared" si="68"/>
        <v>0</v>
      </c>
      <c r="X315" s="10">
        <f t="shared" si="69"/>
        <v>0</v>
      </c>
    </row>
    <row r="316" spans="1:25" s="9" customFormat="1" ht="13.5" customHeight="1" x14ac:dyDescent="0.2">
      <c r="A316" s="107">
        <f t="shared" si="70"/>
        <v>312</v>
      </c>
      <c r="B316" s="65" t="s">
        <v>2180</v>
      </c>
      <c r="C316" s="163">
        <v>40056</v>
      </c>
      <c r="D316" s="175">
        <v>3160000</v>
      </c>
      <c r="E316" s="175"/>
      <c r="F316" s="67">
        <f t="shared" si="77"/>
        <v>3160000</v>
      </c>
      <c r="G316" s="67">
        <v>3159000</v>
      </c>
      <c r="H316" s="67">
        <f t="shared" si="71"/>
        <v>1000</v>
      </c>
      <c r="I316" s="68">
        <v>5</v>
      </c>
      <c r="J316" s="68">
        <v>0.2</v>
      </c>
      <c r="K316" s="68">
        <v>0</v>
      </c>
      <c r="L316" s="110">
        <f t="shared" si="75"/>
        <v>0</v>
      </c>
      <c r="M316" s="67">
        <f t="shared" si="76"/>
        <v>3159000</v>
      </c>
      <c r="N316" s="110">
        <f t="shared" si="78"/>
        <v>1000</v>
      </c>
      <c r="O316" s="68" t="s">
        <v>1981</v>
      </c>
      <c r="P316" s="555">
        <v>4</v>
      </c>
      <c r="Q316" s="592"/>
      <c r="R316" s="23"/>
      <c r="S316" s="10">
        <f t="shared" si="65"/>
        <v>158000</v>
      </c>
      <c r="T316" s="10">
        <f t="shared" si="66"/>
        <v>-157000</v>
      </c>
      <c r="U316" s="10">
        <f t="shared" si="73"/>
        <v>0</v>
      </c>
      <c r="V316" s="10">
        <f t="shared" si="67"/>
        <v>632000</v>
      </c>
      <c r="W316" s="10">
        <f t="shared" si="68"/>
        <v>0</v>
      </c>
      <c r="X316" s="10">
        <f t="shared" si="69"/>
        <v>0</v>
      </c>
    </row>
    <row r="317" spans="1:25" s="9" customFormat="1" ht="13.5" customHeight="1" x14ac:dyDescent="0.2">
      <c r="A317" s="107">
        <f t="shared" si="70"/>
        <v>313</v>
      </c>
      <c r="B317" s="65" t="s">
        <v>2181</v>
      </c>
      <c r="C317" s="163">
        <v>40060</v>
      </c>
      <c r="D317" s="175">
        <v>200000</v>
      </c>
      <c r="E317" s="175"/>
      <c r="F317" s="67">
        <f t="shared" si="77"/>
        <v>200000</v>
      </c>
      <c r="G317" s="67">
        <v>199000</v>
      </c>
      <c r="H317" s="67">
        <f t="shared" si="71"/>
        <v>1000</v>
      </c>
      <c r="I317" s="68">
        <v>5</v>
      </c>
      <c r="J317" s="68">
        <v>0.2</v>
      </c>
      <c r="K317" s="68">
        <v>0</v>
      </c>
      <c r="L317" s="110">
        <f t="shared" si="75"/>
        <v>0</v>
      </c>
      <c r="M317" s="67">
        <f t="shared" si="76"/>
        <v>199000</v>
      </c>
      <c r="N317" s="110">
        <f t="shared" si="78"/>
        <v>1000</v>
      </c>
      <c r="O317" s="68" t="s">
        <v>2177</v>
      </c>
      <c r="P317" s="555">
        <v>2</v>
      </c>
      <c r="Q317" s="592"/>
      <c r="R317" s="23"/>
      <c r="S317" s="10">
        <f t="shared" si="65"/>
        <v>10000</v>
      </c>
      <c r="T317" s="10">
        <f t="shared" si="66"/>
        <v>-9000</v>
      </c>
      <c r="U317" s="10">
        <f t="shared" si="73"/>
        <v>0</v>
      </c>
      <c r="V317" s="10">
        <f t="shared" si="67"/>
        <v>40000</v>
      </c>
      <c r="W317" s="10">
        <f t="shared" si="68"/>
        <v>0</v>
      </c>
      <c r="X317" s="10">
        <f t="shared" si="69"/>
        <v>0</v>
      </c>
      <c r="Y317" s="796"/>
    </row>
    <row r="318" spans="1:25" s="9" customFormat="1" ht="13.5" customHeight="1" x14ac:dyDescent="0.2">
      <c r="A318" s="107">
        <f t="shared" si="70"/>
        <v>314</v>
      </c>
      <c r="B318" s="65" t="s">
        <v>1855</v>
      </c>
      <c r="C318" s="163">
        <v>40060</v>
      </c>
      <c r="D318" s="175">
        <v>110000</v>
      </c>
      <c r="E318" s="175"/>
      <c r="F318" s="67">
        <f t="shared" si="77"/>
        <v>110000</v>
      </c>
      <c r="G318" s="67">
        <v>109000</v>
      </c>
      <c r="H318" s="67">
        <f t="shared" si="71"/>
        <v>1000</v>
      </c>
      <c r="I318" s="68">
        <v>5</v>
      </c>
      <c r="J318" s="68">
        <v>0.2</v>
      </c>
      <c r="K318" s="68">
        <v>0</v>
      </c>
      <c r="L318" s="110">
        <f t="shared" si="75"/>
        <v>0</v>
      </c>
      <c r="M318" s="67">
        <f t="shared" si="76"/>
        <v>109000</v>
      </c>
      <c r="N318" s="110">
        <f t="shared" si="78"/>
        <v>1000</v>
      </c>
      <c r="O318" s="68" t="s">
        <v>2177</v>
      </c>
      <c r="P318" s="555">
        <v>2</v>
      </c>
      <c r="Q318" s="592"/>
      <c r="R318" s="23"/>
      <c r="S318" s="10">
        <f t="shared" si="65"/>
        <v>5500</v>
      </c>
      <c r="T318" s="10">
        <f t="shared" si="66"/>
        <v>-4500</v>
      </c>
      <c r="U318" s="10">
        <f t="shared" si="73"/>
        <v>0</v>
      </c>
      <c r="V318" s="10">
        <f t="shared" si="67"/>
        <v>22000</v>
      </c>
      <c r="W318" s="10">
        <f t="shared" si="68"/>
        <v>0</v>
      </c>
      <c r="X318" s="10">
        <f t="shared" si="69"/>
        <v>0</v>
      </c>
    </row>
    <row r="319" spans="1:25" s="9" customFormat="1" ht="13.5" customHeight="1" x14ac:dyDescent="0.2">
      <c r="A319" s="107">
        <f t="shared" si="70"/>
        <v>315</v>
      </c>
      <c r="B319" s="65" t="s">
        <v>1873</v>
      </c>
      <c r="C319" s="163">
        <v>40060</v>
      </c>
      <c r="D319" s="175">
        <v>85000</v>
      </c>
      <c r="E319" s="175"/>
      <c r="F319" s="67">
        <f t="shared" si="77"/>
        <v>85000</v>
      </c>
      <c r="G319" s="67">
        <v>84000</v>
      </c>
      <c r="H319" s="67">
        <f t="shared" si="71"/>
        <v>1000</v>
      </c>
      <c r="I319" s="68">
        <v>5</v>
      </c>
      <c r="J319" s="68">
        <v>0.2</v>
      </c>
      <c r="K319" s="68">
        <v>0</v>
      </c>
      <c r="L319" s="110">
        <f t="shared" si="75"/>
        <v>0</v>
      </c>
      <c r="M319" s="67">
        <f t="shared" si="76"/>
        <v>84000</v>
      </c>
      <c r="N319" s="110">
        <f t="shared" si="78"/>
        <v>1000</v>
      </c>
      <c r="O319" s="68" t="s">
        <v>2177</v>
      </c>
      <c r="P319" s="555">
        <v>1</v>
      </c>
      <c r="Q319" s="592"/>
      <c r="R319" s="23"/>
      <c r="S319" s="10">
        <f t="shared" si="65"/>
        <v>4250</v>
      </c>
      <c r="T319" s="10">
        <f t="shared" si="66"/>
        <v>-3250</v>
      </c>
      <c r="U319" s="10">
        <f t="shared" si="73"/>
        <v>0</v>
      </c>
      <c r="V319" s="10">
        <f t="shared" si="67"/>
        <v>17000</v>
      </c>
      <c r="W319" s="10">
        <f t="shared" si="68"/>
        <v>0</v>
      </c>
      <c r="X319" s="10">
        <f t="shared" si="69"/>
        <v>0</v>
      </c>
    </row>
    <row r="320" spans="1:25" s="9" customFormat="1" ht="13.5" customHeight="1" x14ac:dyDescent="0.2">
      <c r="A320" s="64">
        <f t="shared" si="70"/>
        <v>316</v>
      </c>
      <c r="B320" s="65" t="s">
        <v>1873</v>
      </c>
      <c r="C320" s="163">
        <v>40060</v>
      </c>
      <c r="D320" s="175">
        <v>80000</v>
      </c>
      <c r="E320" s="175"/>
      <c r="F320" s="67">
        <f t="shared" si="77"/>
        <v>80000</v>
      </c>
      <c r="G320" s="67">
        <v>79000</v>
      </c>
      <c r="H320" s="67">
        <f t="shared" si="71"/>
        <v>1000</v>
      </c>
      <c r="I320" s="68">
        <v>5</v>
      </c>
      <c r="J320" s="68">
        <v>0.2</v>
      </c>
      <c r="K320" s="68">
        <v>0</v>
      </c>
      <c r="L320" s="110">
        <f t="shared" si="75"/>
        <v>0</v>
      </c>
      <c r="M320" s="67">
        <f t="shared" si="76"/>
        <v>79000</v>
      </c>
      <c r="N320" s="110">
        <f t="shared" si="78"/>
        <v>1000</v>
      </c>
      <c r="O320" s="68" t="s">
        <v>2177</v>
      </c>
      <c r="P320" s="555">
        <v>1</v>
      </c>
      <c r="Q320" s="592"/>
      <c r="R320" s="23"/>
      <c r="S320" s="10">
        <f t="shared" si="65"/>
        <v>4000</v>
      </c>
      <c r="T320" s="10">
        <f t="shared" si="66"/>
        <v>-3000</v>
      </c>
      <c r="U320" s="10">
        <f t="shared" si="73"/>
        <v>0</v>
      </c>
      <c r="V320" s="10">
        <f t="shared" si="67"/>
        <v>16000</v>
      </c>
      <c r="W320" s="10">
        <f t="shared" si="68"/>
        <v>0</v>
      </c>
      <c r="X320" s="10">
        <f t="shared" si="69"/>
        <v>0</v>
      </c>
    </row>
    <row r="321" spans="1:24" s="9" customFormat="1" ht="13.5" customHeight="1" x14ac:dyDescent="0.2">
      <c r="A321" s="64">
        <f t="shared" si="70"/>
        <v>317</v>
      </c>
      <c r="B321" s="65" t="s">
        <v>2182</v>
      </c>
      <c r="C321" s="163">
        <v>40065</v>
      </c>
      <c r="D321" s="175">
        <v>10000000</v>
      </c>
      <c r="E321" s="175"/>
      <c r="F321" s="67">
        <f t="shared" si="77"/>
        <v>10000000</v>
      </c>
      <c r="G321" s="67">
        <v>9999000</v>
      </c>
      <c r="H321" s="67">
        <f t="shared" si="71"/>
        <v>1000</v>
      </c>
      <c r="I321" s="68">
        <v>5</v>
      </c>
      <c r="J321" s="68">
        <v>0.2</v>
      </c>
      <c r="K321" s="68">
        <v>0</v>
      </c>
      <c r="L321" s="110">
        <f t="shared" si="75"/>
        <v>0</v>
      </c>
      <c r="M321" s="67">
        <f t="shared" si="76"/>
        <v>9999000</v>
      </c>
      <c r="N321" s="110">
        <f t="shared" si="78"/>
        <v>1000</v>
      </c>
      <c r="O321" s="68" t="s">
        <v>2183</v>
      </c>
      <c r="P321" s="555">
        <v>1</v>
      </c>
      <c r="Q321" s="592"/>
      <c r="R321" s="23"/>
      <c r="S321" s="10">
        <f t="shared" si="65"/>
        <v>500000</v>
      </c>
      <c r="T321" s="10">
        <f t="shared" si="66"/>
        <v>-499000</v>
      </c>
      <c r="U321" s="10">
        <f t="shared" si="73"/>
        <v>0</v>
      </c>
      <c r="V321" s="10">
        <f t="shared" si="67"/>
        <v>2000000</v>
      </c>
      <c r="W321" s="10">
        <f t="shared" si="68"/>
        <v>0</v>
      </c>
      <c r="X321" s="10">
        <f t="shared" si="69"/>
        <v>0</v>
      </c>
    </row>
    <row r="322" spans="1:24" s="9" customFormat="1" ht="13.5" customHeight="1" x14ac:dyDescent="0.2">
      <c r="A322" s="64">
        <f t="shared" si="70"/>
        <v>318</v>
      </c>
      <c r="B322" s="204" t="s">
        <v>2184</v>
      </c>
      <c r="C322" s="163">
        <v>40087</v>
      </c>
      <c r="D322" s="175">
        <v>1040000</v>
      </c>
      <c r="E322" s="249"/>
      <c r="F322" s="67">
        <f t="shared" si="77"/>
        <v>1040000</v>
      </c>
      <c r="G322" s="67">
        <v>1039000</v>
      </c>
      <c r="H322" s="67">
        <f t="shared" si="71"/>
        <v>1000</v>
      </c>
      <c r="I322" s="68">
        <v>5</v>
      </c>
      <c r="J322" s="68">
        <v>0.2</v>
      </c>
      <c r="K322" s="68">
        <v>0</v>
      </c>
      <c r="L322" s="110">
        <f t="shared" si="75"/>
        <v>0</v>
      </c>
      <c r="M322" s="67">
        <f t="shared" si="76"/>
        <v>1039000</v>
      </c>
      <c r="N322" s="110">
        <f t="shared" si="78"/>
        <v>1000</v>
      </c>
      <c r="O322" s="145" t="s">
        <v>2177</v>
      </c>
      <c r="P322" s="514">
        <v>4</v>
      </c>
      <c r="Q322" s="592"/>
      <c r="R322" s="23"/>
      <c r="S322" s="10">
        <f t="shared" si="65"/>
        <v>52000</v>
      </c>
      <c r="T322" s="10">
        <f t="shared" si="66"/>
        <v>-51000</v>
      </c>
      <c r="U322" s="10">
        <f t="shared" si="73"/>
        <v>0</v>
      </c>
      <c r="V322" s="10">
        <f t="shared" si="67"/>
        <v>208000</v>
      </c>
      <c r="W322" s="10">
        <f t="shared" si="68"/>
        <v>0</v>
      </c>
      <c r="X322" s="10">
        <f t="shared" si="69"/>
        <v>0</v>
      </c>
    </row>
    <row r="323" spans="1:24" s="9" customFormat="1" ht="13.5" customHeight="1" x14ac:dyDescent="0.2">
      <c r="A323" s="734">
        <f t="shared" si="70"/>
        <v>319</v>
      </c>
      <c r="B323" s="738" t="s">
        <v>1864</v>
      </c>
      <c r="C323" s="725">
        <v>40095</v>
      </c>
      <c r="D323" s="726">
        <v>0</v>
      </c>
      <c r="E323" s="739"/>
      <c r="F323" s="727">
        <f t="shared" si="77"/>
        <v>0</v>
      </c>
      <c r="G323" s="727"/>
      <c r="H323" s="727"/>
      <c r="I323" s="728">
        <v>5</v>
      </c>
      <c r="J323" s="728">
        <v>0.2</v>
      </c>
      <c r="K323" s="728">
        <v>0</v>
      </c>
      <c r="L323" s="729"/>
      <c r="M323" s="727"/>
      <c r="N323" s="729"/>
      <c r="O323" s="740" t="s">
        <v>2177</v>
      </c>
      <c r="P323" s="741">
        <v>31</v>
      </c>
      <c r="Q323" s="731" t="s">
        <v>2906</v>
      </c>
      <c r="R323" s="23"/>
      <c r="S323" s="10">
        <f t="shared" si="65"/>
        <v>0</v>
      </c>
      <c r="T323" s="10">
        <f t="shared" si="66"/>
        <v>0</v>
      </c>
      <c r="U323" s="10">
        <f t="shared" si="73"/>
        <v>-1000</v>
      </c>
      <c r="V323" s="10">
        <f t="shared" si="67"/>
        <v>0</v>
      </c>
      <c r="W323" s="10">
        <f t="shared" si="68"/>
        <v>0</v>
      </c>
      <c r="X323" s="10">
        <f t="shared" si="69"/>
        <v>0</v>
      </c>
    </row>
    <row r="324" spans="1:24" s="9" customFormat="1" ht="13.5" customHeight="1" x14ac:dyDescent="0.2">
      <c r="A324" s="64">
        <f t="shared" si="70"/>
        <v>320</v>
      </c>
      <c r="B324" s="204" t="s">
        <v>1891</v>
      </c>
      <c r="C324" s="163">
        <v>40095</v>
      </c>
      <c r="D324" s="175">
        <v>480000</v>
      </c>
      <c r="E324" s="249"/>
      <c r="F324" s="67">
        <f t="shared" si="77"/>
        <v>480000</v>
      </c>
      <c r="G324" s="67">
        <v>479000</v>
      </c>
      <c r="H324" s="67">
        <f t="shared" si="71"/>
        <v>1000</v>
      </c>
      <c r="I324" s="68">
        <v>5</v>
      </c>
      <c r="J324" s="68">
        <v>0.2</v>
      </c>
      <c r="K324" s="68">
        <v>0</v>
      </c>
      <c r="L324" s="110">
        <f t="shared" si="75"/>
        <v>0</v>
      </c>
      <c r="M324" s="67">
        <f t="shared" si="76"/>
        <v>479000</v>
      </c>
      <c r="N324" s="110">
        <f t="shared" si="78"/>
        <v>1000</v>
      </c>
      <c r="O324" s="145" t="s">
        <v>2177</v>
      </c>
      <c r="P324" s="514">
        <v>10</v>
      </c>
      <c r="Q324" s="592"/>
      <c r="R324" s="23"/>
      <c r="S324" s="10">
        <f t="shared" si="65"/>
        <v>24000</v>
      </c>
      <c r="T324" s="10">
        <f t="shared" si="66"/>
        <v>-23000</v>
      </c>
      <c r="U324" s="10">
        <f t="shared" si="73"/>
        <v>0</v>
      </c>
      <c r="V324" s="10">
        <f t="shared" si="67"/>
        <v>96000</v>
      </c>
      <c r="W324" s="10">
        <f t="shared" si="68"/>
        <v>0</v>
      </c>
      <c r="X324" s="10">
        <f t="shared" si="69"/>
        <v>0</v>
      </c>
    </row>
    <row r="325" spans="1:24" s="9" customFormat="1" ht="13.5" customHeight="1" x14ac:dyDescent="0.2">
      <c r="A325" s="64">
        <f t="shared" si="70"/>
        <v>321</v>
      </c>
      <c r="B325" s="204" t="s">
        <v>2185</v>
      </c>
      <c r="C325" s="163">
        <v>40095</v>
      </c>
      <c r="D325" s="175">
        <v>350000</v>
      </c>
      <c r="E325" s="249"/>
      <c r="F325" s="67">
        <f t="shared" si="77"/>
        <v>350000</v>
      </c>
      <c r="G325" s="67">
        <v>349000</v>
      </c>
      <c r="H325" s="67">
        <f t="shared" si="71"/>
        <v>1000</v>
      </c>
      <c r="I325" s="68">
        <v>5</v>
      </c>
      <c r="J325" s="68">
        <v>0.2</v>
      </c>
      <c r="K325" s="68">
        <v>0</v>
      </c>
      <c r="L325" s="110">
        <f t="shared" si="75"/>
        <v>0</v>
      </c>
      <c r="M325" s="67">
        <f t="shared" si="76"/>
        <v>349000</v>
      </c>
      <c r="N325" s="110">
        <f t="shared" si="78"/>
        <v>1000</v>
      </c>
      <c r="O325" s="145" t="s">
        <v>2177</v>
      </c>
      <c r="P325" s="514">
        <v>2</v>
      </c>
      <c r="Q325" s="592"/>
      <c r="R325" s="23"/>
      <c r="S325" s="10">
        <f t="shared" ref="S325:S388" si="79">D325*0.05</f>
        <v>17500</v>
      </c>
      <c r="T325" s="10">
        <f t="shared" ref="T325:T388" si="80">N325-S325</f>
        <v>-16500</v>
      </c>
      <c r="U325" s="10">
        <f t="shared" si="73"/>
        <v>0</v>
      </c>
      <c r="V325" s="10">
        <f t="shared" ref="V325:V388" si="81">F325/I325</f>
        <v>70000</v>
      </c>
      <c r="W325" s="10">
        <f t="shared" ref="W325:W352" si="82">ROUND(IF(H325&lt;=1000,0,V325/12*0),0)</f>
        <v>0</v>
      </c>
      <c r="X325" s="10">
        <f t="shared" ref="X325:X388" si="83">L325-W325</f>
        <v>0</v>
      </c>
    </row>
    <row r="326" spans="1:24" s="9" customFormat="1" ht="13.5" customHeight="1" x14ac:dyDescent="0.2">
      <c r="A326" s="64">
        <f t="shared" ref="A326:A389" si="84">A325+1</f>
        <v>322</v>
      </c>
      <c r="B326" s="204" t="s">
        <v>2039</v>
      </c>
      <c r="C326" s="163">
        <v>40108</v>
      </c>
      <c r="D326" s="175">
        <v>660000</v>
      </c>
      <c r="E326" s="249"/>
      <c r="F326" s="67">
        <f t="shared" si="77"/>
        <v>660000</v>
      </c>
      <c r="G326" s="67">
        <v>659000</v>
      </c>
      <c r="H326" s="67">
        <f t="shared" si="71"/>
        <v>1000</v>
      </c>
      <c r="I326" s="68">
        <v>5</v>
      </c>
      <c r="J326" s="68">
        <v>0.2</v>
      </c>
      <c r="K326" s="68">
        <v>0</v>
      </c>
      <c r="L326" s="110">
        <f t="shared" si="75"/>
        <v>0</v>
      </c>
      <c r="M326" s="67">
        <f t="shared" si="76"/>
        <v>659000</v>
      </c>
      <c r="N326" s="110">
        <f t="shared" si="78"/>
        <v>1000</v>
      </c>
      <c r="O326" s="145" t="s">
        <v>2186</v>
      </c>
      <c r="P326" s="514">
        <v>6</v>
      </c>
      <c r="Q326" s="592"/>
      <c r="R326" s="23"/>
      <c r="S326" s="10">
        <f t="shared" si="79"/>
        <v>33000</v>
      </c>
      <c r="T326" s="10">
        <f t="shared" si="80"/>
        <v>-32000</v>
      </c>
      <c r="U326" s="10">
        <f t="shared" si="73"/>
        <v>0</v>
      </c>
      <c r="V326" s="10">
        <f t="shared" si="81"/>
        <v>132000</v>
      </c>
      <c r="W326" s="10">
        <f t="shared" si="82"/>
        <v>0</v>
      </c>
      <c r="X326" s="10">
        <f t="shared" si="83"/>
        <v>0</v>
      </c>
    </row>
    <row r="327" spans="1:24" s="9" customFormat="1" ht="13.5" customHeight="1" x14ac:dyDescent="0.2">
      <c r="A327" s="64">
        <f t="shared" si="84"/>
        <v>323</v>
      </c>
      <c r="B327" s="204" t="s">
        <v>1846</v>
      </c>
      <c r="C327" s="163">
        <v>40108</v>
      </c>
      <c r="D327" s="175">
        <v>960000</v>
      </c>
      <c r="E327" s="249"/>
      <c r="F327" s="67">
        <f t="shared" si="77"/>
        <v>960000</v>
      </c>
      <c r="G327" s="67">
        <v>959000</v>
      </c>
      <c r="H327" s="67">
        <f t="shared" ref="H327:H390" si="85">+F327-G327</f>
        <v>1000</v>
      </c>
      <c r="I327" s="68">
        <v>5</v>
      </c>
      <c r="J327" s="68">
        <v>0.2</v>
      </c>
      <c r="K327" s="68">
        <v>0</v>
      </c>
      <c r="L327" s="110">
        <f t="shared" si="75"/>
        <v>0</v>
      </c>
      <c r="M327" s="67">
        <f t="shared" si="76"/>
        <v>959000</v>
      </c>
      <c r="N327" s="110">
        <f t="shared" si="78"/>
        <v>1000</v>
      </c>
      <c r="O327" s="145" t="s">
        <v>2187</v>
      </c>
      <c r="P327" s="514">
        <v>1</v>
      </c>
      <c r="Q327" s="592"/>
      <c r="R327" s="23"/>
      <c r="S327" s="10">
        <f t="shared" si="79"/>
        <v>48000</v>
      </c>
      <c r="T327" s="10">
        <f t="shared" si="80"/>
        <v>-47000</v>
      </c>
      <c r="U327" s="10">
        <f t="shared" ref="U327:U390" si="86">N327-1000</f>
        <v>0</v>
      </c>
      <c r="V327" s="10">
        <f t="shared" si="81"/>
        <v>192000</v>
      </c>
      <c r="W327" s="10">
        <f t="shared" si="82"/>
        <v>0</v>
      </c>
      <c r="X327" s="10">
        <f t="shared" si="83"/>
        <v>0</v>
      </c>
    </row>
    <row r="328" spans="1:24" s="9" customFormat="1" ht="13.5" customHeight="1" x14ac:dyDescent="0.2">
      <c r="A328" s="64">
        <f t="shared" si="84"/>
        <v>324</v>
      </c>
      <c r="B328" s="204" t="s">
        <v>2188</v>
      </c>
      <c r="C328" s="163">
        <v>40111</v>
      </c>
      <c r="D328" s="175">
        <v>2340000</v>
      </c>
      <c r="E328" s="249"/>
      <c r="F328" s="67">
        <f t="shared" si="77"/>
        <v>2340000</v>
      </c>
      <c r="G328" s="67">
        <v>2339000</v>
      </c>
      <c r="H328" s="67">
        <f t="shared" si="85"/>
        <v>1000</v>
      </c>
      <c r="I328" s="68">
        <v>5</v>
      </c>
      <c r="J328" s="68">
        <v>0.2</v>
      </c>
      <c r="K328" s="68">
        <v>0</v>
      </c>
      <c r="L328" s="110">
        <f t="shared" si="75"/>
        <v>0</v>
      </c>
      <c r="M328" s="67">
        <f t="shared" si="76"/>
        <v>2339000</v>
      </c>
      <c r="N328" s="110">
        <f t="shared" si="78"/>
        <v>1000</v>
      </c>
      <c r="O328" s="145" t="s">
        <v>2189</v>
      </c>
      <c r="P328" s="514">
        <v>1</v>
      </c>
      <c r="Q328" s="592"/>
      <c r="R328" s="23"/>
      <c r="S328" s="10">
        <f t="shared" si="79"/>
        <v>117000</v>
      </c>
      <c r="T328" s="10">
        <f t="shared" si="80"/>
        <v>-116000</v>
      </c>
      <c r="U328" s="10">
        <f t="shared" si="86"/>
        <v>0</v>
      </c>
      <c r="V328" s="10">
        <f t="shared" si="81"/>
        <v>468000</v>
      </c>
      <c r="W328" s="10">
        <f t="shared" si="82"/>
        <v>0</v>
      </c>
      <c r="X328" s="10">
        <f t="shared" si="83"/>
        <v>0</v>
      </c>
    </row>
    <row r="329" spans="1:24" s="9" customFormat="1" ht="13.5" customHeight="1" x14ac:dyDescent="0.2">
      <c r="A329" s="64">
        <f t="shared" si="84"/>
        <v>325</v>
      </c>
      <c r="B329" s="204" t="s">
        <v>2190</v>
      </c>
      <c r="C329" s="163">
        <v>40116</v>
      </c>
      <c r="D329" s="175">
        <v>65000</v>
      </c>
      <c r="E329" s="249"/>
      <c r="F329" s="67">
        <f t="shared" si="77"/>
        <v>65000</v>
      </c>
      <c r="G329" s="67">
        <v>64000</v>
      </c>
      <c r="H329" s="67">
        <f t="shared" si="85"/>
        <v>1000</v>
      </c>
      <c r="I329" s="68">
        <v>5</v>
      </c>
      <c r="J329" s="68">
        <v>0.2</v>
      </c>
      <c r="K329" s="68">
        <v>0</v>
      </c>
      <c r="L329" s="110">
        <f t="shared" si="75"/>
        <v>0</v>
      </c>
      <c r="M329" s="67">
        <f t="shared" si="76"/>
        <v>64000</v>
      </c>
      <c r="N329" s="110">
        <f t="shared" si="78"/>
        <v>1000</v>
      </c>
      <c r="O329" s="145" t="s">
        <v>2177</v>
      </c>
      <c r="P329" s="514">
        <v>1</v>
      </c>
      <c r="Q329" s="592"/>
      <c r="R329" s="23"/>
      <c r="S329" s="10">
        <f t="shared" si="79"/>
        <v>3250</v>
      </c>
      <c r="T329" s="10">
        <f t="shared" si="80"/>
        <v>-2250</v>
      </c>
      <c r="U329" s="10">
        <f t="shared" si="86"/>
        <v>0</v>
      </c>
      <c r="V329" s="10">
        <f t="shared" si="81"/>
        <v>13000</v>
      </c>
      <c r="W329" s="10">
        <f t="shared" si="82"/>
        <v>0</v>
      </c>
      <c r="X329" s="10">
        <f t="shared" si="83"/>
        <v>0</v>
      </c>
    </row>
    <row r="330" spans="1:24" s="9" customFormat="1" ht="13.5" customHeight="1" x14ac:dyDescent="0.2">
      <c r="A330" s="64">
        <f t="shared" si="84"/>
        <v>326</v>
      </c>
      <c r="B330" s="204" t="s">
        <v>2191</v>
      </c>
      <c r="C330" s="163">
        <v>40123</v>
      </c>
      <c r="D330" s="175">
        <v>175000</v>
      </c>
      <c r="E330" s="249"/>
      <c r="F330" s="67">
        <f t="shared" si="77"/>
        <v>175000</v>
      </c>
      <c r="G330" s="67">
        <v>174000</v>
      </c>
      <c r="H330" s="67">
        <f t="shared" si="85"/>
        <v>1000</v>
      </c>
      <c r="I330" s="68">
        <v>5</v>
      </c>
      <c r="J330" s="68">
        <v>0.2</v>
      </c>
      <c r="K330" s="68">
        <v>0</v>
      </c>
      <c r="L330" s="110">
        <f t="shared" si="75"/>
        <v>0</v>
      </c>
      <c r="M330" s="67">
        <f t="shared" si="76"/>
        <v>174000</v>
      </c>
      <c r="N330" s="110">
        <f t="shared" si="78"/>
        <v>1000</v>
      </c>
      <c r="O330" s="145" t="s">
        <v>2177</v>
      </c>
      <c r="P330" s="514">
        <v>1</v>
      </c>
      <c r="Q330" s="592"/>
      <c r="R330" s="23"/>
      <c r="S330" s="10">
        <f t="shared" si="79"/>
        <v>8750</v>
      </c>
      <c r="T330" s="10">
        <f t="shared" si="80"/>
        <v>-7750</v>
      </c>
      <c r="U330" s="10">
        <f t="shared" si="86"/>
        <v>0</v>
      </c>
      <c r="V330" s="10">
        <f t="shared" si="81"/>
        <v>35000</v>
      </c>
      <c r="W330" s="10">
        <f t="shared" si="82"/>
        <v>0</v>
      </c>
      <c r="X330" s="10">
        <f t="shared" si="83"/>
        <v>0</v>
      </c>
    </row>
    <row r="331" spans="1:24" s="9" customFormat="1" ht="13.5" customHeight="1" x14ac:dyDescent="0.2">
      <c r="A331" s="64">
        <f t="shared" si="84"/>
        <v>327</v>
      </c>
      <c r="B331" s="204" t="s">
        <v>1891</v>
      </c>
      <c r="C331" s="163">
        <v>40123</v>
      </c>
      <c r="D331" s="175">
        <v>480000</v>
      </c>
      <c r="E331" s="249"/>
      <c r="F331" s="67">
        <f t="shared" si="77"/>
        <v>480000</v>
      </c>
      <c r="G331" s="67">
        <v>479000</v>
      </c>
      <c r="H331" s="67">
        <f t="shared" si="85"/>
        <v>1000</v>
      </c>
      <c r="I331" s="68">
        <v>5</v>
      </c>
      <c r="J331" s="68">
        <v>0.2</v>
      </c>
      <c r="K331" s="68">
        <v>0</v>
      </c>
      <c r="L331" s="110">
        <f t="shared" si="75"/>
        <v>0</v>
      </c>
      <c r="M331" s="67">
        <f t="shared" si="76"/>
        <v>479000</v>
      </c>
      <c r="N331" s="110">
        <f t="shared" si="78"/>
        <v>1000</v>
      </c>
      <c r="O331" s="145" t="s">
        <v>2177</v>
      </c>
      <c r="P331" s="514">
        <v>10</v>
      </c>
      <c r="Q331" s="592"/>
      <c r="R331" s="23"/>
      <c r="S331" s="10">
        <f t="shared" si="79"/>
        <v>24000</v>
      </c>
      <c r="T331" s="10">
        <f t="shared" si="80"/>
        <v>-23000</v>
      </c>
      <c r="U331" s="10">
        <f t="shared" si="86"/>
        <v>0</v>
      </c>
      <c r="V331" s="10">
        <f t="shared" si="81"/>
        <v>96000</v>
      </c>
      <c r="W331" s="10">
        <f t="shared" si="82"/>
        <v>0</v>
      </c>
      <c r="X331" s="10">
        <f t="shared" si="83"/>
        <v>0</v>
      </c>
    </row>
    <row r="332" spans="1:24" s="9" customFormat="1" ht="13.5" customHeight="1" x14ac:dyDescent="0.2">
      <c r="A332" s="64">
        <f t="shared" si="84"/>
        <v>328</v>
      </c>
      <c r="B332" s="204" t="s">
        <v>2192</v>
      </c>
      <c r="C332" s="163">
        <v>40126</v>
      </c>
      <c r="D332" s="175">
        <v>780000</v>
      </c>
      <c r="E332" s="249"/>
      <c r="F332" s="67">
        <f t="shared" si="77"/>
        <v>780000</v>
      </c>
      <c r="G332" s="67">
        <v>779000</v>
      </c>
      <c r="H332" s="67">
        <f t="shared" si="85"/>
        <v>1000</v>
      </c>
      <c r="I332" s="68">
        <v>5</v>
      </c>
      <c r="J332" s="68">
        <v>0.2</v>
      </c>
      <c r="K332" s="68">
        <v>0</v>
      </c>
      <c r="L332" s="110">
        <f t="shared" si="75"/>
        <v>0</v>
      </c>
      <c r="M332" s="67">
        <f t="shared" si="76"/>
        <v>779000</v>
      </c>
      <c r="N332" s="110">
        <f t="shared" si="78"/>
        <v>1000</v>
      </c>
      <c r="O332" s="145" t="s">
        <v>2189</v>
      </c>
      <c r="P332" s="514">
        <v>2</v>
      </c>
      <c r="Q332" s="592"/>
      <c r="R332" s="23"/>
      <c r="S332" s="10">
        <f t="shared" si="79"/>
        <v>39000</v>
      </c>
      <c r="T332" s="10">
        <f t="shared" si="80"/>
        <v>-38000</v>
      </c>
      <c r="U332" s="10">
        <f t="shared" si="86"/>
        <v>0</v>
      </c>
      <c r="V332" s="10">
        <f t="shared" si="81"/>
        <v>156000</v>
      </c>
      <c r="W332" s="10">
        <f t="shared" si="82"/>
        <v>0</v>
      </c>
      <c r="X332" s="10">
        <f t="shared" si="83"/>
        <v>0</v>
      </c>
    </row>
    <row r="333" spans="1:24" s="9" customFormat="1" ht="13.5" customHeight="1" x14ac:dyDescent="0.2">
      <c r="A333" s="64">
        <f t="shared" si="84"/>
        <v>329</v>
      </c>
      <c r="B333" s="204" t="s">
        <v>2160</v>
      </c>
      <c r="C333" s="163">
        <v>40128</v>
      </c>
      <c r="D333" s="175">
        <v>980000</v>
      </c>
      <c r="E333" s="249"/>
      <c r="F333" s="67">
        <f t="shared" si="77"/>
        <v>980000</v>
      </c>
      <c r="G333" s="67">
        <v>979000</v>
      </c>
      <c r="H333" s="67">
        <f t="shared" si="85"/>
        <v>1000</v>
      </c>
      <c r="I333" s="68">
        <v>5</v>
      </c>
      <c r="J333" s="68">
        <v>0.2</v>
      </c>
      <c r="K333" s="68">
        <v>0</v>
      </c>
      <c r="L333" s="110">
        <f t="shared" si="75"/>
        <v>0</v>
      </c>
      <c r="M333" s="67">
        <f t="shared" si="76"/>
        <v>979000</v>
      </c>
      <c r="N333" s="110">
        <f t="shared" si="78"/>
        <v>1000</v>
      </c>
      <c r="O333" s="145" t="s">
        <v>2193</v>
      </c>
      <c r="P333" s="514">
        <v>2</v>
      </c>
      <c r="Q333" s="592"/>
      <c r="R333" s="23"/>
      <c r="S333" s="10">
        <f t="shared" si="79"/>
        <v>49000</v>
      </c>
      <c r="T333" s="10">
        <f t="shared" si="80"/>
        <v>-48000</v>
      </c>
      <c r="U333" s="10">
        <f t="shared" si="86"/>
        <v>0</v>
      </c>
      <c r="V333" s="10">
        <f t="shared" si="81"/>
        <v>196000</v>
      </c>
      <c r="W333" s="10">
        <f t="shared" si="82"/>
        <v>0</v>
      </c>
      <c r="X333" s="10">
        <f t="shared" si="83"/>
        <v>0</v>
      </c>
    </row>
    <row r="334" spans="1:24" s="9" customFormat="1" ht="13.5" customHeight="1" x14ac:dyDescent="0.2">
      <c r="A334" s="64">
        <f t="shared" si="84"/>
        <v>330</v>
      </c>
      <c r="B334" s="204" t="s">
        <v>1914</v>
      </c>
      <c r="C334" s="163">
        <v>40130</v>
      </c>
      <c r="D334" s="175">
        <v>3300000</v>
      </c>
      <c r="E334" s="249"/>
      <c r="F334" s="67">
        <f t="shared" si="77"/>
        <v>3300000</v>
      </c>
      <c r="G334" s="67">
        <v>3299000</v>
      </c>
      <c r="H334" s="67">
        <f t="shared" si="85"/>
        <v>1000</v>
      </c>
      <c r="I334" s="68">
        <v>5</v>
      </c>
      <c r="J334" s="68">
        <v>0.2</v>
      </c>
      <c r="K334" s="68">
        <v>0</v>
      </c>
      <c r="L334" s="110">
        <f t="shared" si="75"/>
        <v>0</v>
      </c>
      <c r="M334" s="67">
        <f t="shared" si="76"/>
        <v>3299000</v>
      </c>
      <c r="N334" s="110">
        <f t="shared" si="78"/>
        <v>1000</v>
      </c>
      <c r="O334" s="145" t="s">
        <v>473</v>
      </c>
      <c r="P334" s="514">
        <v>1</v>
      </c>
      <c r="Q334" s="592"/>
      <c r="R334" s="23"/>
      <c r="S334" s="10">
        <f t="shared" si="79"/>
        <v>165000</v>
      </c>
      <c r="T334" s="10">
        <f t="shared" si="80"/>
        <v>-164000</v>
      </c>
      <c r="U334" s="10">
        <f t="shared" si="86"/>
        <v>0</v>
      </c>
      <c r="V334" s="10">
        <f t="shared" si="81"/>
        <v>660000</v>
      </c>
      <c r="W334" s="10">
        <f t="shared" si="82"/>
        <v>0</v>
      </c>
      <c r="X334" s="10">
        <f t="shared" si="83"/>
        <v>0</v>
      </c>
    </row>
    <row r="335" spans="1:24" s="9" customFormat="1" ht="13.5" customHeight="1" x14ac:dyDescent="0.2">
      <c r="A335" s="785">
        <f t="shared" si="84"/>
        <v>331</v>
      </c>
      <c r="B335" s="786" t="s">
        <v>2194</v>
      </c>
      <c r="C335" s="787">
        <v>40147</v>
      </c>
      <c r="D335" s="788">
        <v>0</v>
      </c>
      <c r="E335" s="789"/>
      <c r="F335" s="790"/>
      <c r="G335" s="790"/>
      <c r="H335" s="790"/>
      <c r="I335" s="791">
        <v>5</v>
      </c>
      <c r="J335" s="791">
        <v>0.2</v>
      </c>
      <c r="K335" s="791">
        <v>0</v>
      </c>
      <c r="L335" s="792"/>
      <c r="M335" s="790"/>
      <c r="N335" s="792"/>
      <c r="O335" s="793" t="s">
        <v>1965</v>
      </c>
      <c r="P335" s="795">
        <v>1</v>
      </c>
      <c r="Q335" s="794" t="s">
        <v>2969</v>
      </c>
      <c r="R335" s="23"/>
      <c r="S335" s="10">
        <f t="shared" si="79"/>
        <v>0</v>
      </c>
      <c r="T335" s="10">
        <f t="shared" si="80"/>
        <v>0</v>
      </c>
      <c r="U335" s="10">
        <f t="shared" si="86"/>
        <v>-1000</v>
      </c>
      <c r="V335" s="10">
        <f t="shared" si="81"/>
        <v>0</v>
      </c>
      <c r="W335" s="10">
        <f t="shared" si="82"/>
        <v>0</v>
      </c>
      <c r="X335" s="10">
        <f t="shared" si="83"/>
        <v>0</v>
      </c>
    </row>
    <row r="336" spans="1:24" s="9" customFormat="1" ht="13.5" customHeight="1" x14ac:dyDescent="0.2">
      <c r="A336" s="785">
        <f t="shared" si="84"/>
        <v>332</v>
      </c>
      <c r="B336" s="786" t="s">
        <v>2195</v>
      </c>
      <c r="C336" s="787">
        <v>40147</v>
      </c>
      <c r="D336" s="788">
        <v>0</v>
      </c>
      <c r="E336" s="789"/>
      <c r="F336" s="790"/>
      <c r="G336" s="790"/>
      <c r="H336" s="790"/>
      <c r="I336" s="791">
        <v>5</v>
      </c>
      <c r="J336" s="791">
        <v>0.2</v>
      </c>
      <c r="K336" s="791">
        <v>0</v>
      </c>
      <c r="L336" s="792"/>
      <c r="M336" s="790"/>
      <c r="N336" s="792"/>
      <c r="O336" s="793" t="s">
        <v>1965</v>
      </c>
      <c r="P336" s="795">
        <v>1</v>
      </c>
      <c r="Q336" s="794" t="s">
        <v>2969</v>
      </c>
      <c r="R336" s="23"/>
      <c r="S336" s="10">
        <f t="shared" si="79"/>
        <v>0</v>
      </c>
      <c r="T336" s="10">
        <f t="shared" si="80"/>
        <v>0</v>
      </c>
      <c r="U336" s="10">
        <f t="shared" si="86"/>
        <v>-1000</v>
      </c>
      <c r="V336" s="10">
        <f t="shared" si="81"/>
        <v>0</v>
      </c>
      <c r="W336" s="10">
        <f t="shared" si="82"/>
        <v>0</v>
      </c>
      <c r="X336" s="10">
        <f t="shared" si="83"/>
        <v>0</v>
      </c>
    </row>
    <row r="337" spans="1:24" s="9" customFormat="1" ht="13.5" customHeight="1" x14ac:dyDescent="0.2">
      <c r="A337" s="785">
        <f t="shared" si="84"/>
        <v>333</v>
      </c>
      <c r="B337" s="786" t="s">
        <v>2196</v>
      </c>
      <c r="C337" s="787">
        <v>40147</v>
      </c>
      <c r="D337" s="788">
        <v>0</v>
      </c>
      <c r="E337" s="789"/>
      <c r="F337" s="790"/>
      <c r="G337" s="790"/>
      <c r="H337" s="790"/>
      <c r="I337" s="791">
        <v>5</v>
      </c>
      <c r="J337" s="791">
        <v>0.2</v>
      </c>
      <c r="K337" s="791">
        <v>0</v>
      </c>
      <c r="L337" s="792"/>
      <c r="M337" s="790"/>
      <c r="N337" s="792"/>
      <c r="O337" s="793" t="s">
        <v>2197</v>
      </c>
      <c r="P337" s="795">
        <v>1</v>
      </c>
      <c r="Q337" s="794" t="s">
        <v>2969</v>
      </c>
      <c r="R337" s="23"/>
      <c r="S337" s="10">
        <f t="shared" si="79"/>
        <v>0</v>
      </c>
      <c r="T337" s="10">
        <f t="shared" si="80"/>
        <v>0</v>
      </c>
      <c r="U337" s="10">
        <f t="shared" si="86"/>
        <v>-1000</v>
      </c>
      <c r="V337" s="10">
        <f t="shared" si="81"/>
        <v>0</v>
      </c>
      <c r="W337" s="10">
        <f t="shared" si="82"/>
        <v>0</v>
      </c>
      <c r="X337" s="10">
        <f t="shared" si="83"/>
        <v>0</v>
      </c>
    </row>
    <row r="338" spans="1:24" s="9" customFormat="1" ht="13.5" customHeight="1" x14ac:dyDescent="0.2">
      <c r="A338" s="64">
        <f t="shared" si="84"/>
        <v>334</v>
      </c>
      <c r="B338" s="204" t="s">
        <v>2198</v>
      </c>
      <c r="C338" s="163">
        <v>40158</v>
      </c>
      <c r="D338" s="175">
        <v>140000</v>
      </c>
      <c r="E338" s="249"/>
      <c r="F338" s="67">
        <f t="shared" si="77"/>
        <v>140000</v>
      </c>
      <c r="G338" s="67">
        <v>139000</v>
      </c>
      <c r="H338" s="67">
        <f t="shared" si="85"/>
        <v>1000</v>
      </c>
      <c r="I338" s="68">
        <v>5</v>
      </c>
      <c r="J338" s="68">
        <v>0.2</v>
      </c>
      <c r="K338" s="68">
        <v>0</v>
      </c>
      <c r="L338" s="110">
        <f t="shared" si="75"/>
        <v>0</v>
      </c>
      <c r="M338" s="67">
        <f t="shared" si="76"/>
        <v>139000</v>
      </c>
      <c r="N338" s="110">
        <f t="shared" si="78"/>
        <v>1000</v>
      </c>
      <c r="O338" s="145" t="s">
        <v>2177</v>
      </c>
      <c r="P338" s="514">
        <v>1</v>
      </c>
      <c r="Q338" s="592"/>
      <c r="R338" s="23"/>
      <c r="S338" s="10">
        <f t="shared" si="79"/>
        <v>7000</v>
      </c>
      <c r="T338" s="10">
        <f t="shared" si="80"/>
        <v>-6000</v>
      </c>
      <c r="U338" s="10">
        <f t="shared" si="86"/>
        <v>0</v>
      </c>
      <c r="V338" s="10">
        <f t="shared" si="81"/>
        <v>28000</v>
      </c>
      <c r="W338" s="10">
        <f t="shared" si="82"/>
        <v>0</v>
      </c>
      <c r="X338" s="10">
        <f t="shared" si="83"/>
        <v>0</v>
      </c>
    </row>
    <row r="339" spans="1:24" s="9" customFormat="1" ht="13.5" customHeight="1" x14ac:dyDescent="0.2">
      <c r="A339" s="64">
        <f t="shared" si="84"/>
        <v>335</v>
      </c>
      <c r="B339" s="204" t="s">
        <v>1855</v>
      </c>
      <c r="C339" s="163">
        <v>40158</v>
      </c>
      <c r="D339" s="175">
        <v>55000</v>
      </c>
      <c r="E339" s="249"/>
      <c r="F339" s="67">
        <f t="shared" si="77"/>
        <v>55000</v>
      </c>
      <c r="G339" s="67">
        <v>54000</v>
      </c>
      <c r="H339" s="67">
        <f t="shared" si="85"/>
        <v>1000</v>
      </c>
      <c r="I339" s="68">
        <v>5</v>
      </c>
      <c r="J339" s="68">
        <v>0.2</v>
      </c>
      <c r="K339" s="68">
        <v>0</v>
      </c>
      <c r="L339" s="110">
        <f t="shared" si="75"/>
        <v>0</v>
      </c>
      <c r="M339" s="67">
        <f t="shared" si="76"/>
        <v>54000</v>
      </c>
      <c r="N339" s="110">
        <f t="shared" si="78"/>
        <v>1000</v>
      </c>
      <c r="O339" s="145" t="s">
        <v>2177</v>
      </c>
      <c r="P339" s="514">
        <v>1</v>
      </c>
      <c r="Q339" s="592"/>
      <c r="R339" s="23"/>
      <c r="S339" s="10">
        <f t="shared" si="79"/>
        <v>2750</v>
      </c>
      <c r="T339" s="10">
        <f t="shared" si="80"/>
        <v>-1750</v>
      </c>
      <c r="U339" s="10">
        <f t="shared" si="86"/>
        <v>0</v>
      </c>
      <c r="V339" s="10">
        <f t="shared" si="81"/>
        <v>11000</v>
      </c>
      <c r="W339" s="10">
        <f t="shared" si="82"/>
        <v>0</v>
      </c>
      <c r="X339" s="10">
        <f t="shared" si="83"/>
        <v>0</v>
      </c>
    </row>
    <row r="340" spans="1:24" s="9" customFormat="1" ht="13.5" customHeight="1" x14ac:dyDescent="0.2">
      <c r="A340" s="64">
        <f t="shared" si="84"/>
        <v>336</v>
      </c>
      <c r="B340" s="204" t="s">
        <v>2199</v>
      </c>
      <c r="C340" s="163">
        <v>40158</v>
      </c>
      <c r="D340" s="175">
        <v>80000</v>
      </c>
      <c r="E340" s="249"/>
      <c r="F340" s="67">
        <f t="shared" si="77"/>
        <v>80000</v>
      </c>
      <c r="G340" s="67">
        <v>79000</v>
      </c>
      <c r="H340" s="67">
        <f t="shared" si="85"/>
        <v>1000</v>
      </c>
      <c r="I340" s="68">
        <v>5</v>
      </c>
      <c r="J340" s="68">
        <v>0.2</v>
      </c>
      <c r="K340" s="68">
        <v>0</v>
      </c>
      <c r="L340" s="110">
        <f t="shared" si="75"/>
        <v>0</v>
      </c>
      <c r="M340" s="67">
        <f t="shared" si="76"/>
        <v>79000</v>
      </c>
      <c r="N340" s="110">
        <f t="shared" si="78"/>
        <v>1000</v>
      </c>
      <c r="O340" s="145" t="s">
        <v>2177</v>
      </c>
      <c r="P340" s="514">
        <v>1</v>
      </c>
      <c r="Q340" s="592"/>
      <c r="R340" s="23"/>
      <c r="S340" s="10">
        <f t="shared" si="79"/>
        <v>4000</v>
      </c>
      <c r="T340" s="10">
        <f t="shared" si="80"/>
        <v>-3000</v>
      </c>
      <c r="U340" s="10">
        <f t="shared" si="86"/>
        <v>0</v>
      </c>
      <c r="V340" s="10">
        <f t="shared" si="81"/>
        <v>16000</v>
      </c>
      <c r="W340" s="10">
        <f t="shared" si="82"/>
        <v>0</v>
      </c>
      <c r="X340" s="10">
        <f t="shared" si="83"/>
        <v>0</v>
      </c>
    </row>
    <row r="341" spans="1:24" s="9" customFormat="1" ht="13.5" customHeight="1" x14ac:dyDescent="0.2">
      <c r="A341" s="64">
        <f t="shared" si="84"/>
        <v>337</v>
      </c>
      <c r="B341" s="204" t="s">
        <v>2200</v>
      </c>
      <c r="C341" s="163">
        <v>40158</v>
      </c>
      <c r="D341" s="175">
        <v>909091</v>
      </c>
      <c r="E341" s="249"/>
      <c r="F341" s="67">
        <f t="shared" si="77"/>
        <v>909091</v>
      </c>
      <c r="G341" s="67">
        <v>908091</v>
      </c>
      <c r="H341" s="67">
        <f t="shared" si="85"/>
        <v>1000</v>
      </c>
      <c r="I341" s="68">
        <v>5</v>
      </c>
      <c r="J341" s="68">
        <v>0.2</v>
      </c>
      <c r="K341" s="68">
        <v>0</v>
      </c>
      <c r="L341" s="110">
        <f t="shared" si="75"/>
        <v>0</v>
      </c>
      <c r="M341" s="67">
        <f t="shared" si="76"/>
        <v>908091</v>
      </c>
      <c r="N341" s="110">
        <f t="shared" si="78"/>
        <v>1000</v>
      </c>
      <c r="O341" s="145" t="s">
        <v>427</v>
      </c>
      <c r="P341" s="514">
        <v>1</v>
      </c>
      <c r="Q341" s="592"/>
      <c r="R341" s="23"/>
      <c r="S341" s="10">
        <f t="shared" si="79"/>
        <v>45454.55</v>
      </c>
      <c r="T341" s="10">
        <f t="shared" si="80"/>
        <v>-44454.55</v>
      </c>
      <c r="U341" s="10">
        <f t="shared" si="86"/>
        <v>0</v>
      </c>
      <c r="V341" s="10">
        <f t="shared" si="81"/>
        <v>181818.2</v>
      </c>
      <c r="W341" s="10">
        <f t="shared" si="82"/>
        <v>0</v>
      </c>
      <c r="X341" s="10">
        <f t="shared" si="83"/>
        <v>0</v>
      </c>
    </row>
    <row r="342" spans="1:24" s="9" customFormat="1" ht="13.5" customHeight="1" x14ac:dyDescent="0.2">
      <c r="A342" s="64">
        <f t="shared" si="84"/>
        <v>338</v>
      </c>
      <c r="B342" s="204" t="s">
        <v>2201</v>
      </c>
      <c r="C342" s="163">
        <v>40177</v>
      </c>
      <c r="D342" s="175">
        <v>685000</v>
      </c>
      <c r="E342" s="249"/>
      <c r="F342" s="67">
        <f t="shared" si="77"/>
        <v>685000</v>
      </c>
      <c r="G342" s="67">
        <v>684000</v>
      </c>
      <c r="H342" s="67">
        <f t="shared" si="85"/>
        <v>1000</v>
      </c>
      <c r="I342" s="68">
        <v>5</v>
      </c>
      <c r="J342" s="68">
        <v>0.2</v>
      </c>
      <c r="K342" s="68">
        <v>0</v>
      </c>
      <c r="L342" s="110">
        <f t="shared" si="75"/>
        <v>0</v>
      </c>
      <c r="M342" s="67">
        <f t="shared" si="76"/>
        <v>684000</v>
      </c>
      <c r="N342" s="110">
        <f t="shared" si="78"/>
        <v>1000</v>
      </c>
      <c r="O342" s="145" t="s">
        <v>2202</v>
      </c>
      <c r="P342" s="514">
        <v>1</v>
      </c>
      <c r="Q342" s="592"/>
      <c r="R342" s="23"/>
      <c r="S342" s="10">
        <f t="shared" si="79"/>
        <v>34250</v>
      </c>
      <c r="T342" s="10">
        <f t="shared" si="80"/>
        <v>-33250</v>
      </c>
      <c r="U342" s="10">
        <f t="shared" si="86"/>
        <v>0</v>
      </c>
      <c r="V342" s="10">
        <f t="shared" si="81"/>
        <v>137000</v>
      </c>
      <c r="W342" s="10">
        <f t="shared" si="82"/>
        <v>0</v>
      </c>
      <c r="X342" s="10">
        <f t="shared" si="83"/>
        <v>0</v>
      </c>
    </row>
    <row r="343" spans="1:24" s="9" customFormat="1" ht="13.5" customHeight="1" x14ac:dyDescent="0.2">
      <c r="A343" s="64">
        <f t="shared" si="84"/>
        <v>339</v>
      </c>
      <c r="B343" s="204" t="s">
        <v>2203</v>
      </c>
      <c r="C343" s="163">
        <v>40178</v>
      </c>
      <c r="D343" s="175">
        <v>980000</v>
      </c>
      <c r="E343" s="249"/>
      <c r="F343" s="67">
        <f t="shared" si="77"/>
        <v>980000</v>
      </c>
      <c r="G343" s="67">
        <v>979000</v>
      </c>
      <c r="H343" s="67">
        <f t="shared" si="85"/>
        <v>1000</v>
      </c>
      <c r="I343" s="68">
        <v>5</v>
      </c>
      <c r="J343" s="68">
        <v>0.2</v>
      </c>
      <c r="K343" s="68">
        <v>0</v>
      </c>
      <c r="L343" s="110">
        <f t="shared" si="75"/>
        <v>0</v>
      </c>
      <c r="M343" s="67">
        <f t="shared" si="76"/>
        <v>979000</v>
      </c>
      <c r="N343" s="110">
        <f t="shared" si="78"/>
        <v>1000</v>
      </c>
      <c r="O343" s="145" t="s">
        <v>1965</v>
      </c>
      <c r="P343" s="514">
        <v>1</v>
      </c>
      <c r="Q343" s="592"/>
      <c r="R343" s="23"/>
      <c r="S343" s="10">
        <f t="shared" si="79"/>
        <v>49000</v>
      </c>
      <c r="T343" s="10">
        <f t="shared" si="80"/>
        <v>-48000</v>
      </c>
      <c r="U343" s="10">
        <f t="shared" si="86"/>
        <v>0</v>
      </c>
      <c r="V343" s="10">
        <f t="shared" si="81"/>
        <v>196000</v>
      </c>
      <c r="W343" s="10">
        <f t="shared" si="82"/>
        <v>0</v>
      </c>
      <c r="X343" s="10">
        <f t="shared" si="83"/>
        <v>0</v>
      </c>
    </row>
    <row r="344" spans="1:24" s="9" customFormat="1" ht="13.5" customHeight="1" x14ac:dyDescent="0.2">
      <c r="A344" s="64">
        <f t="shared" si="84"/>
        <v>340</v>
      </c>
      <c r="B344" s="65" t="s">
        <v>2204</v>
      </c>
      <c r="C344" s="163">
        <v>40187</v>
      </c>
      <c r="D344" s="175">
        <v>1040000</v>
      </c>
      <c r="E344" s="175"/>
      <c r="F344" s="67">
        <f t="shared" si="77"/>
        <v>1040000</v>
      </c>
      <c r="G344" s="67">
        <v>1039000</v>
      </c>
      <c r="H344" s="67">
        <f t="shared" si="85"/>
        <v>1000</v>
      </c>
      <c r="I344" s="68">
        <v>5</v>
      </c>
      <c r="J344" s="68">
        <v>0.2</v>
      </c>
      <c r="K344" s="68">
        <v>0</v>
      </c>
      <c r="L344" s="110">
        <f t="shared" si="75"/>
        <v>0</v>
      </c>
      <c r="M344" s="67">
        <f t="shared" si="76"/>
        <v>1039000</v>
      </c>
      <c r="N344" s="110">
        <f t="shared" si="78"/>
        <v>1000</v>
      </c>
      <c r="O344" s="68" t="s">
        <v>2177</v>
      </c>
      <c r="P344" s="68">
        <v>4</v>
      </c>
      <c r="Q344" s="592"/>
      <c r="R344" s="23"/>
      <c r="S344" s="10">
        <f t="shared" si="79"/>
        <v>52000</v>
      </c>
      <c r="T344" s="10">
        <f t="shared" si="80"/>
        <v>-51000</v>
      </c>
      <c r="U344" s="10">
        <f t="shared" si="86"/>
        <v>0</v>
      </c>
      <c r="V344" s="10">
        <f t="shared" si="81"/>
        <v>208000</v>
      </c>
      <c r="W344" s="10">
        <f t="shared" si="82"/>
        <v>0</v>
      </c>
      <c r="X344" s="10">
        <f t="shared" si="83"/>
        <v>0</v>
      </c>
    </row>
    <row r="345" spans="1:24" s="9" customFormat="1" ht="13.5" customHeight="1" x14ac:dyDescent="0.2">
      <c r="A345" s="64">
        <f t="shared" si="84"/>
        <v>341</v>
      </c>
      <c r="B345" s="65" t="s">
        <v>2205</v>
      </c>
      <c r="C345" s="163">
        <v>40187</v>
      </c>
      <c r="D345" s="175">
        <v>120000</v>
      </c>
      <c r="E345" s="175"/>
      <c r="F345" s="67">
        <f t="shared" si="77"/>
        <v>120000</v>
      </c>
      <c r="G345" s="67">
        <v>119000</v>
      </c>
      <c r="H345" s="67">
        <f t="shared" si="85"/>
        <v>1000</v>
      </c>
      <c r="I345" s="68">
        <v>5</v>
      </c>
      <c r="J345" s="68">
        <v>0.2</v>
      </c>
      <c r="K345" s="68">
        <v>0</v>
      </c>
      <c r="L345" s="110">
        <f t="shared" si="75"/>
        <v>0</v>
      </c>
      <c r="M345" s="67">
        <f t="shared" si="76"/>
        <v>119000</v>
      </c>
      <c r="N345" s="110">
        <f t="shared" si="78"/>
        <v>1000</v>
      </c>
      <c r="O345" s="68" t="s">
        <v>2177</v>
      </c>
      <c r="P345" s="555">
        <v>1</v>
      </c>
      <c r="Q345" s="592"/>
      <c r="R345" s="23"/>
      <c r="S345" s="10">
        <f t="shared" si="79"/>
        <v>6000</v>
      </c>
      <c r="T345" s="10">
        <f t="shared" si="80"/>
        <v>-5000</v>
      </c>
      <c r="U345" s="10">
        <f t="shared" si="86"/>
        <v>0</v>
      </c>
      <c r="V345" s="10">
        <f t="shared" si="81"/>
        <v>24000</v>
      </c>
      <c r="W345" s="10">
        <f t="shared" si="82"/>
        <v>0</v>
      </c>
      <c r="X345" s="10">
        <f t="shared" si="83"/>
        <v>0</v>
      </c>
    </row>
    <row r="346" spans="1:24" s="9" customFormat="1" ht="13.5" customHeight="1" x14ac:dyDescent="0.2">
      <c r="A346" s="64">
        <f t="shared" si="84"/>
        <v>342</v>
      </c>
      <c r="B346" s="65" t="s">
        <v>1855</v>
      </c>
      <c r="C346" s="163">
        <v>40187</v>
      </c>
      <c r="D346" s="175">
        <v>55000</v>
      </c>
      <c r="E346" s="175"/>
      <c r="F346" s="67">
        <f t="shared" si="77"/>
        <v>55000</v>
      </c>
      <c r="G346" s="67">
        <v>54000</v>
      </c>
      <c r="H346" s="67">
        <f t="shared" si="85"/>
        <v>1000</v>
      </c>
      <c r="I346" s="68">
        <v>5</v>
      </c>
      <c r="J346" s="68">
        <v>0.2</v>
      </c>
      <c r="K346" s="68">
        <v>0</v>
      </c>
      <c r="L346" s="110">
        <f t="shared" si="75"/>
        <v>0</v>
      </c>
      <c r="M346" s="67">
        <f t="shared" si="76"/>
        <v>54000</v>
      </c>
      <c r="N346" s="110">
        <f t="shared" si="78"/>
        <v>1000</v>
      </c>
      <c r="O346" s="68" t="s">
        <v>2177</v>
      </c>
      <c r="P346" s="555">
        <v>1</v>
      </c>
      <c r="Q346" s="592"/>
      <c r="R346" s="23"/>
      <c r="S346" s="10">
        <f t="shared" si="79"/>
        <v>2750</v>
      </c>
      <c r="T346" s="10">
        <f t="shared" si="80"/>
        <v>-1750</v>
      </c>
      <c r="U346" s="10">
        <f t="shared" si="86"/>
        <v>0</v>
      </c>
      <c r="V346" s="10">
        <f t="shared" si="81"/>
        <v>11000</v>
      </c>
      <c r="W346" s="10">
        <f t="shared" si="82"/>
        <v>0</v>
      </c>
      <c r="X346" s="10">
        <f t="shared" si="83"/>
        <v>0</v>
      </c>
    </row>
    <row r="347" spans="1:24" s="9" customFormat="1" ht="13.5" customHeight="1" x14ac:dyDescent="0.2">
      <c r="A347" s="64">
        <f t="shared" si="84"/>
        <v>343</v>
      </c>
      <c r="B347" s="65" t="s">
        <v>1873</v>
      </c>
      <c r="C347" s="163">
        <v>40187</v>
      </c>
      <c r="D347" s="175">
        <v>85000</v>
      </c>
      <c r="E347" s="175"/>
      <c r="F347" s="67">
        <f t="shared" si="77"/>
        <v>85000</v>
      </c>
      <c r="G347" s="67">
        <v>84000</v>
      </c>
      <c r="H347" s="67">
        <f t="shared" si="85"/>
        <v>1000</v>
      </c>
      <c r="I347" s="68">
        <v>5</v>
      </c>
      <c r="J347" s="68">
        <v>0.2</v>
      </c>
      <c r="K347" s="68">
        <v>0</v>
      </c>
      <c r="L347" s="110">
        <f t="shared" si="75"/>
        <v>0</v>
      </c>
      <c r="M347" s="67">
        <f t="shared" si="76"/>
        <v>84000</v>
      </c>
      <c r="N347" s="110">
        <f t="shared" si="78"/>
        <v>1000</v>
      </c>
      <c r="O347" s="68" t="s">
        <v>2177</v>
      </c>
      <c r="P347" s="555">
        <v>1</v>
      </c>
      <c r="Q347" s="592"/>
      <c r="R347" s="23"/>
      <c r="S347" s="10">
        <f t="shared" si="79"/>
        <v>4250</v>
      </c>
      <c r="T347" s="10">
        <f t="shared" si="80"/>
        <v>-3250</v>
      </c>
      <c r="U347" s="10">
        <f t="shared" si="86"/>
        <v>0</v>
      </c>
      <c r="V347" s="10">
        <f t="shared" si="81"/>
        <v>17000</v>
      </c>
      <c r="W347" s="10">
        <f t="shared" si="82"/>
        <v>0</v>
      </c>
      <c r="X347" s="10">
        <f t="shared" si="83"/>
        <v>0</v>
      </c>
    </row>
    <row r="348" spans="1:24" s="9" customFormat="1" ht="13.5" customHeight="1" x14ac:dyDescent="0.2">
      <c r="A348" s="64">
        <f t="shared" si="84"/>
        <v>344</v>
      </c>
      <c r="B348" s="65" t="s">
        <v>2206</v>
      </c>
      <c r="C348" s="163">
        <v>40199</v>
      </c>
      <c r="D348" s="175">
        <v>14250000</v>
      </c>
      <c r="E348" s="175"/>
      <c r="F348" s="67">
        <f t="shared" si="77"/>
        <v>14250000</v>
      </c>
      <c r="G348" s="67">
        <v>14249000</v>
      </c>
      <c r="H348" s="67">
        <f t="shared" si="85"/>
        <v>1000</v>
      </c>
      <c r="I348" s="68">
        <v>5</v>
      </c>
      <c r="J348" s="68">
        <v>0.2</v>
      </c>
      <c r="K348" s="68">
        <v>0</v>
      </c>
      <c r="L348" s="110">
        <f t="shared" si="75"/>
        <v>0</v>
      </c>
      <c r="M348" s="67">
        <f t="shared" si="76"/>
        <v>14249000</v>
      </c>
      <c r="N348" s="110">
        <f t="shared" si="78"/>
        <v>1000</v>
      </c>
      <c r="O348" s="68" t="s">
        <v>2207</v>
      </c>
      <c r="P348" s="555">
        <v>1</v>
      </c>
      <c r="Q348" s="592"/>
      <c r="R348" s="23"/>
      <c r="S348" s="10">
        <f t="shared" si="79"/>
        <v>712500</v>
      </c>
      <c r="T348" s="10">
        <f t="shared" si="80"/>
        <v>-711500</v>
      </c>
      <c r="U348" s="10">
        <f t="shared" si="86"/>
        <v>0</v>
      </c>
      <c r="V348" s="10">
        <f t="shared" si="81"/>
        <v>2850000</v>
      </c>
      <c r="W348" s="10">
        <f t="shared" si="82"/>
        <v>0</v>
      </c>
      <c r="X348" s="10">
        <f t="shared" si="83"/>
        <v>0</v>
      </c>
    </row>
    <row r="349" spans="1:24" s="9" customFormat="1" ht="13.5" customHeight="1" x14ac:dyDescent="0.2">
      <c r="A349" s="64">
        <f t="shared" si="84"/>
        <v>345</v>
      </c>
      <c r="B349" s="65" t="s">
        <v>2208</v>
      </c>
      <c r="C349" s="163">
        <v>40200</v>
      </c>
      <c r="D349" s="175">
        <v>232000</v>
      </c>
      <c r="E349" s="175"/>
      <c r="F349" s="67">
        <f t="shared" si="77"/>
        <v>232000</v>
      </c>
      <c r="G349" s="67">
        <v>231000</v>
      </c>
      <c r="H349" s="67">
        <f t="shared" si="85"/>
        <v>1000</v>
      </c>
      <c r="I349" s="68">
        <v>5</v>
      </c>
      <c r="J349" s="68">
        <v>0.2</v>
      </c>
      <c r="K349" s="68">
        <v>0</v>
      </c>
      <c r="L349" s="110">
        <f t="shared" si="75"/>
        <v>0</v>
      </c>
      <c r="M349" s="67">
        <f t="shared" si="76"/>
        <v>231000</v>
      </c>
      <c r="N349" s="110">
        <f t="shared" si="78"/>
        <v>1000</v>
      </c>
      <c r="O349" s="68" t="s">
        <v>427</v>
      </c>
      <c r="P349" s="555">
        <v>1</v>
      </c>
      <c r="Q349" s="592"/>
      <c r="R349" s="23"/>
      <c r="S349" s="10">
        <f t="shared" si="79"/>
        <v>11600</v>
      </c>
      <c r="T349" s="10">
        <f t="shared" si="80"/>
        <v>-10600</v>
      </c>
      <c r="U349" s="10">
        <f t="shared" si="86"/>
        <v>0</v>
      </c>
      <c r="V349" s="10">
        <f t="shared" si="81"/>
        <v>46400</v>
      </c>
      <c r="W349" s="10">
        <f t="shared" si="82"/>
        <v>0</v>
      </c>
      <c r="X349" s="10">
        <f t="shared" si="83"/>
        <v>0</v>
      </c>
    </row>
    <row r="350" spans="1:24" s="9" customFormat="1" ht="13.5" customHeight="1" x14ac:dyDescent="0.2">
      <c r="A350" s="64">
        <f t="shared" si="84"/>
        <v>346</v>
      </c>
      <c r="B350" s="65" t="s">
        <v>2192</v>
      </c>
      <c r="C350" s="163">
        <v>40209</v>
      </c>
      <c r="D350" s="175">
        <v>1950000</v>
      </c>
      <c r="E350" s="175"/>
      <c r="F350" s="67">
        <f t="shared" si="77"/>
        <v>1950000</v>
      </c>
      <c r="G350" s="67">
        <v>1949000</v>
      </c>
      <c r="H350" s="67">
        <f t="shared" si="85"/>
        <v>1000</v>
      </c>
      <c r="I350" s="68">
        <v>5</v>
      </c>
      <c r="J350" s="68">
        <v>0.2</v>
      </c>
      <c r="K350" s="68">
        <v>0</v>
      </c>
      <c r="L350" s="110">
        <f t="shared" si="75"/>
        <v>0</v>
      </c>
      <c r="M350" s="67">
        <f t="shared" si="76"/>
        <v>1949000</v>
      </c>
      <c r="N350" s="110">
        <f t="shared" si="78"/>
        <v>1000</v>
      </c>
      <c r="O350" s="68" t="s">
        <v>2209</v>
      </c>
      <c r="P350" s="555">
        <v>5</v>
      </c>
      <c r="Q350" s="592"/>
      <c r="R350" s="23"/>
      <c r="S350" s="10">
        <f t="shared" si="79"/>
        <v>97500</v>
      </c>
      <c r="T350" s="10">
        <f t="shared" si="80"/>
        <v>-96500</v>
      </c>
      <c r="U350" s="10">
        <f t="shared" si="86"/>
        <v>0</v>
      </c>
      <c r="V350" s="10">
        <f t="shared" si="81"/>
        <v>390000</v>
      </c>
      <c r="W350" s="10">
        <f t="shared" si="82"/>
        <v>0</v>
      </c>
      <c r="X350" s="10">
        <f t="shared" si="83"/>
        <v>0</v>
      </c>
    </row>
    <row r="351" spans="1:24" s="9" customFormat="1" ht="13.5" customHeight="1" x14ac:dyDescent="0.2">
      <c r="A351" s="64">
        <f t="shared" si="84"/>
        <v>347</v>
      </c>
      <c r="B351" s="65" t="s">
        <v>1891</v>
      </c>
      <c r="C351" s="163">
        <v>40209</v>
      </c>
      <c r="D351" s="175">
        <v>528000</v>
      </c>
      <c r="E351" s="175"/>
      <c r="F351" s="67">
        <f t="shared" si="77"/>
        <v>528000</v>
      </c>
      <c r="G351" s="67">
        <v>527000</v>
      </c>
      <c r="H351" s="67">
        <f t="shared" si="85"/>
        <v>1000</v>
      </c>
      <c r="I351" s="68">
        <v>5</v>
      </c>
      <c r="J351" s="68">
        <v>0.2</v>
      </c>
      <c r="K351" s="68">
        <v>0</v>
      </c>
      <c r="L351" s="110">
        <f t="shared" si="75"/>
        <v>0</v>
      </c>
      <c r="M351" s="67">
        <f t="shared" si="76"/>
        <v>527000</v>
      </c>
      <c r="N351" s="110">
        <f t="shared" si="78"/>
        <v>1000</v>
      </c>
      <c r="O351" s="68" t="s">
        <v>2177</v>
      </c>
      <c r="P351" s="555">
        <v>11</v>
      </c>
      <c r="Q351" s="592"/>
      <c r="R351" s="23"/>
      <c r="S351" s="10">
        <f t="shared" si="79"/>
        <v>26400</v>
      </c>
      <c r="T351" s="10">
        <f t="shared" si="80"/>
        <v>-25400</v>
      </c>
      <c r="U351" s="10">
        <f t="shared" si="86"/>
        <v>0</v>
      </c>
      <c r="V351" s="10">
        <f t="shared" si="81"/>
        <v>105600</v>
      </c>
      <c r="W351" s="10">
        <f t="shared" si="82"/>
        <v>0</v>
      </c>
      <c r="X351" s="10">
        <f t="shared" si="83"/>
        <v>0</v>
      </c>
    </row>
    <row r="352" spans="1:24" s="9" customFormat="1" ht="13.5" customHeight="1" x14ac:dyDescent="0.2">
      <c r="A352" s="64">
        <f t="shared" si="84"/>
        <v>348</v>
      </c>
      <c r="B352" s="65" t="s">
        <v>1891</v>
      </c>
      <c r="C352" s="163">
        <v>40209</v>
      </c>
      <c r="D352" s="175">
        <v>384000</v>
      </c>
      <c r="E352" s="175"/>
      <c r="F352" s="67">
        <f t="shared" si="77"/>
        <v>384000</v>
      </c>
      <c r="G352" s="67">
        <v>383000</v>
      </c>
      <c r="H352" s="67">
        <f t="shared" si="85"/>
        <v>1000</v>
      </c>
      <c r="I352" s="68">
        <v>5</v>
      </c>
      <c r="J352" s="68">
        <v>0.2</v>
      </c>
      <c r="K352" s="68">
        <v>0</v>
      </c>
      <c r="L352" s="110">
        <f t="shared" si="75"/>
        <v>0</v>
      </c>
      <c r="M352" s="67">
        <f t="shared" si="76"/>
        <v>383000</v>
      </c>
      <c r="N352" s="110">
        <f t="shared" si="78"/>
        <v>1000</v>
      </c>
      <c r="O352" s="68" t="s">
        <v>2177</v>
      </c>
      <c r="P352" s="555">
        <v>8</v>
      </c>
      <c r="Q352" s="592"/>
      <c r="R352" s="23"/>
      <c r="S352" s="10">
        <f t="shared" si="79"/>
        <v>19200</v>
      </c>
      <c r="T352" s="10">
        <f t="shared" si="80"/>
        <v>-18200</v>
      </c>
      <c r="U352" s="10">
        <f t="shared" si="86"/>
        <v>0</v>
      </c>
      <c r="V352" s="10">
        <f t="shared" si="81"/>
        <v>76800</v>
      </c>
      <c r="W352" s="10">
        <f t="shared" si="82"/>
        <v>0</v>
      </c>
      <c r="X352" s="10">
        <f t="shared" si="83"/>
        <v>0</v>
      </c>
    </row>
    <row r="353" spans="1:24" s="9" customFormat="1" ht="13.5" customHeight="1" x14ac:dyDescent="0.2">
      <c r="A353" s="64">
        <f t="shared" si="84"/>
        <v>349</v>
      </c>
      <c r="B353" s="65" t="s">
        <v>2142</v>
      </c>
      <c r="C353" s="163">
        <v>40226</v>
      </c>
      <c r="D353" s="175">
        <v>150000</v>
      </c>
      <c r="E353" s="175"/>
      <c r="F353" s="67">
        <f t="shared" si="77"/>
        <v>150000</v>
      </c>
      <c r="G353" s="67">
        <v>149000</v>
      </c>
      <c r="H353" s="67">
        <f t="shared" si="85"/>
        <v>1000</v>
      </c>
      <c r="I353" s="68">
        <v>5</v>
      </c>
      <c r="J353" s="68">
        <v>0.2</v>
      </c>
      <c r="K353" s="68">
        <v>0</v>
      </c>
      <c r="L353" s="110">
        <f t="shared" si="75"/>
        <v>0</v>
      </c>
      <c r="M353" s="67">
        <f t="shared" si="76"/>
        <v>149000</v>
      </c>
      <c r="N353" s="110">
        <f t="shared" si="78"/>
        <v>1000</v>
      </c>
      <c r="O353" s="68" t="s">
        <v>2177</v>
      </c>
      <c r="P353" s="555">
        <v>1</v>
      </c>
      <c r="Q353" s="592"/>
      <c r="R353" s="23"/>
      <c r="S353" s="10">
        <f t="shared" si="79"/>
        <v>7500</v>
      </c>
      <c r="T353" s="10">
        <f t="shared" si="80"/>
        <v>-6500</v>
      </c>
      <c r="U353" s="10">
        <f t="shared" si="86"/>
        <v>0</v>
      </c>
      <c r="V353" s="10">
        <f t="shared" si="81"/>
        <v>30000</v>
      </c>
      <c r="W353" s="10">
        <f t="shared" ref="W353:W416" si="87">ROUND(IF(H353&lt;=1000,0,V353/12*3),0)</f>
        <v>0</v>
      </c>
      <c r="X353" s="10">
        <f t="shared" si="83"/>
        <v>0</v>
      </c>
    </row>
    <row r="354" spans="1:24" s="9" customFormat="1" ht="13.5" customHeight="1" x14ac:dyDescent="0.2">
      <c r="A354" s="64">
        <f t="shared" si="84"/>
        <v>350</v>
      </c>
      <c r="B354" s="65" t="s">
        <v>1873</v>
      </c>
      <c r="C354" s="163">
        <v>40226</v>
      </c>
      <c r="D354" s="175">
        <v>160000</v>
      </c>
      <c r="E354" s="175"/>
      <c r="F354" s="67">
        <f t="shared" si="77"/>
        <v>160000</v>
      </c>
      <c r="G354" s="67">
        <v>159000</v>
      </c>
      <c r="H354" s="67">
        <f t="shared" si="85"/>
        <v>1000</v>
      </c>
      <c r="I354" s="68">
        <v>5</v>
      </c>
      <c r="J354" s="68">
        <v>0.2</v>
      </c>
      <c r="K354" s="68">
        <v>0</v>
      </c>
      <c r="L354" s="110">
        <f t="shared" si="75"/>
        <v>0</v>
      </c>
      <c r="M354" s="67">
        <f t="shared" si="76"/>
        <v>159000</v>
      </c>
      <c r="N354" s="110">
        <f t="shared" si="78"/>
        <v>1000</v>
      </c>
      <c r="O354" s="68" t="s">
        <v>2177</v>
      </c>
      <c r="P354" s="555">
        <v>1</v>
      </c>
      <c r="Q354" s="592"/>
      <c r="R354" s="23"/>
      <c r="S354" s="10">
        <f t="shared" si="79"/>
        <v>8000</v>
      </c>
      <c r="T354" s="10">
        <f t="shared" si="80"/>
        <v>-7000</v>
      </c>
      <c r="U354" s="10">
        <f t="shared" si="86"/>
        <v>0</v>
      </c>
      <c r="V354" s="10">
        <f t="shared" si="81"/>
        <v>32000</v>
      </c>
      <c r="W354" s="10">
        <f t="shared" si="87"/>
        <v>0</v>
      </c>
      <c r="X354" s="10">
        <f t="shared" si="83"/>
        <v>0</v>
      </c>
    </row>
    <row r="355" spans="1:24" s="9" customFormat="1" ht="13.5" customHeight="1" x14ac:dyDescent="0.2">
      <c r="A355" s="64">
        <f t="shared" si="84"/>
        <v>351</v>
      </c>
      <c r="B355" s="65" t="s">
        <v>2210</v>
      </c>
      <c r="C355" s="163">
        <v>40234</v>
      </c>
      <c r="D355" s="175">
        <v>909091</v>
      </c>
      <c r="E355" s="175"/>
      <c r="F355" s="67">
        <f t="shared" si="77"/>
        <v>909091</v>
      </c>
      <c r="G355" s="67">
        <v>908091</v>
      </c>
      <c r="H355" s="67">
        <f t="shared" si="85"/>
        <v>1000</v>
      </c>
      <c r="I355" s="68">
        <v>5</v>
      </c>
      <c r="J355" s="68">
        <v>0.2</v>
      </c>
      <c r="K355" s="68">
        <v>0</v>
      </c>
      <c r="L355" s="110">
        <f t="shared" si="75"/>
        <v>0</v>
      </c>
      <c r="M355" s="67">
        <f t="shared" si="76"/>
        <v>908091</v>
      </c>
      <c r="N355" s="110">
        <f t="shared" si="78"/>
        <v>1000</v>
      </c>
      <c r="O355" s="68" t="s">
        <v>427</v>
      </c>
      <c r="P355" s="555">
        <v>1</v>
      </c>
      <c r="Q355" s="592"/>
      <c r="R355" s="23"/>
      <c r="S355" s="10">
        <f t="shared" si="79"/>
        <v>45454.55</v>
      </c>
      <c r="T355" s="10">
        <f t="shared" si="80"/>
        <v>-44454.55</v>
      </c>
      <c r="U355" s="10">
        <f t="shared" si="86"/>
        <v>0</v>
      </c>
      <c r="V355" s="10">
        <f t="shared" si="81"/>
        <v>181818.2</v>
      </c>
      <c r="W355" s="10">
        <f t="shared" si="87"/>
        <v>0</v>
      </c>
      <c r="X355" s="10">
        <f t="shared" si="83"/>
        <v>0</v>
      </c>
    </row>
    <row r="356" spans="1:24" s="9" customFormat="1" ht="13.5" customHeight="1" x14ac:dyDescent="0.2">
      <c r="A356" s="64">
        <f t="shared" si="84"/>
        <v>352</v>
      </c>
      <c r="B356" s="65" t="s">
        <v>2211</v>
      </c>
      <c r="C356" s="163">
        <v>40268</v>
      </c>
      <c r="D356" s="175">
        <v>840000</v>
      </c>
      <c r="E356" s="175"/>
      <c r="F356" s="67">
        <f t="shared" si="77"/>
        <v>840000</v>
      </c>
      <c r="G356" s="67">
        <v>839000</v>
      </c>
      <c r="H356" s="67">
        <f t="shared" si="85"/>
        <v>1000</v>
      </c>
      <c r="I356" s="68">
        <v>5</v>
      </c>
      <c r="J356" s="68">
        <v>0.2</v>
      </c>
      <c r="K356" s="68">
        <v>0</v>
      </c>
      <c r="L356" s="110">
        <f t="shared" si="75"/>
        <v>0</v>
      </c>
      <c r="M356" s="67">
        <f t="shared" si="76"/>
        <v>839000</v>
      </c>
      <c r="N356" s="110">
        <f t="shared" si="78"/>
        <v>1000</v>
      </c>
      <c r="O356" s="145" t="s">
        <v>2202</v>
      </c>
      <c r="P356" s="555">
        <v>2</v>
      </c>
      <c r="Q356" s="592"/>
      <c r="R356" s="23"/>
      <c r="S356" s="10">
        <f t="shared" si="79"/>
        <v>42000</v>
      </c>
      <c r="T356" s="10">
        <f t="shared" si="80"/>
        <v>-41000</v>
      </c>
      <c r="U356" s="10">
        <f t="shared" si="86"/>
        <v>0</v>
      </c>
      <c r="V356" s="10">
        <f t="shared" si="81"/>
        <v>168000</v>
      </c>
      <c r="W356" s="10">
        <f t="shared" si="87"/>
        <v>0</v>
      </c>
      <c r="X356" s="10">
        <f t="shared" si="83"/>
        <v>0</v>
      </c>
    </row>
    <row r="357" spans="1:24" s="9" customFormat="1" ht="13.5" customHeight="1" x14ac:dyDescent="0.2">
      <c r="A357" s="64">
        <f t="shared" si="84"/>
        <v>353</v>
      </c>
      <c r="B357" s="65" t="s">
        <v>2212</v>
      </c>
      <c r="C357" s="163">
        <v>40268</v>
      </c>
      <c r="D357" s="175">
        <v>1140000</v>
      </c>
      <c r="E357" s="175"/>
      <c r="F357" s="67">
        <f t="shared" si="77"/>
        <v>1140000</v>
      </c>
      <c r="G357" s="67">
        <v>1139000</v>
      </c>
      <c r="H357" s="67">
        <f t="shared" si="85"/>
        <v>1000</v>
      </c>
      <c r="I357" s="68">
        <v>5</v>
      </c>
      <c r="J357" s="68">
        <v>0.2</v>
      </c>
      <c r="K357" s="68">
        <v>0</v>
      </c>
      <c r="L357" s="110">
        <f t="shared" si="75"/>
        <v>0</v>
      </c>
      <c r="M357" s="67">
        <f t="shared" si="76"/>
        <v>1139000</v>
      </c>
      <c r="N357" s="110">
        <f t="shared" si="78"/>
        <v>1000</v>
      </c>
      <c r="O357" s="145" t="s">
        <v>2202</v>
      </c>
      <c r="P357" s="555">
        <v>3</v>
      </c>
      <c r="Q357" s="592"/>
      <c r="R357" s="23"/>
      <c r="S357" s="10">
        <f t="shared" si="79"/>
        <v>57000</v>
      </c>
      <c r="T357" s="10">
        <f t="shared" si="80"/>
        <v>-56000</v>
      </c>
      <c r="U357" s="10">
        <f t="shared" si="86"/>
        <v>0</v>
      </c>
      <c r="V357" s="10">
        <f t="shared" si="81"/>
        <v>228000</v>
      </c>
      <c r="W357" s="10">
        <f t="shared" si="87"/>
        <v>0</v>
      </c>
      <c r="X357" s="10">
        <f t="shared" si="83"/>
        <v>0</v>
      </c>
    </row>
    <row r="358" spans="1:24" s="9" customFormat="1" ht="13.5" customHeight="1" x14ac:dyDescent="0.2">
      <c r="A358" s="64">
        <f t="shared" si="84"/>
        <v>354</v>
      </c>
      <c r="B358" s="65" t="s">
        <v>2213</v>
      </c>
      <c r="C358" s="163">
        <v>40268</v>
      </c>
      <c r="D358" s="175">
        <v>380000</v>
      </c>
      <c r="E358" s="175"/>
      <c r="F358" s="67">
        <f t="shared" si="77"/>
        <v>380000</v>
      </c>
      <c r="G358" s="67">
        <v>379000</v>
      </c>
      <c r="H358" s="67">
        <f t="shared" si="85"/>
        <v>1000</v>
      </c>
      <c r="I358" s="68">
        <v>5</v>
      </c>
      <c r="J358" s="68">
        <v>0.2</v>
      </c>
      <c r="K358" s="68">
        <v>0</v>
      </c>
      <c r="L358" s="110">
        <f t="shared" si="75"/>
        <v>0</v>
      </c>
      <c r="M358" s="67">
        <f t="shared" si="76"/>
        <v>379000</v>
      </c>
      <c r="N358" s="110">
        <f t="shared" si="78"/>
        <v>1000</v>
      </c>
      <c r="O358" s="145" t="s">
        <v>2214</v>
      </c>
      <c r="P358" s="555">
        <v>1</v>
      </c>
      <c r="Q358" s="592"/>
      <c r="R358" s="23"/>
      <c r="S358" s="10">
        <f t="shared" si="79"/>
        <v>19000</v>
      </c>
      <c r="T358" s="10">
        <f t="shared" si="80"/>
        <v>-18000</v>
      </c>
      <c r="U358" s="10">
        <f t="shared" si="86"/>
        <v>0</v>
      </c>
      <c r="V358" s="10">
        <f t="shared" si="81"/>
        <v>76000</v>
      </c>
      <c r="W358" s="10">
        <f t="shared" si="87"/>
        <v>0</v>
      </c>
      <c r="X358" s="10">
        <f t="shared" si="83"/>
        <v>0</v>
      </c>
    </row>
    <row r="359" spans="1:24" s="9" customFormat="1" ht="13.5" customHeight="1" x14ac:dyDescent="0.2">
      <c r="A359" s="64">
        <f t="shared" si="84"/>
        <v>355</v>
      </c>
      <c r="B359" s="65" t="s">
        <v>2215</v>
      </c>
      <c r="C359" s="163">
        <v>40268</v>
      </c>
      <c r="D359" s="175">
        <v>380000</v>
      </c>
      <c r="E359" s="175"/>
      <c r="F359" s="67">
        <f t="shared" si="77"/>
        <v>380000</v>
      </c>
      <c r="G359" s="67">
        <v>379000</v>
      </c>
      <c r="H359" s="67">
        <f t="shared" si="85"/>
        <v>1000</v>
      </c>
      <c r="I359" s="68">
        <v>5</v>
      </c>
      <c r="J359" s="68">
        <v>0.2</v>
      </c>
      <c r="K359" s="68">
        <v>0</v>
      </c>
      <c r="L359" s="110">
        <f t="shared" si="75"/>
        <v>0</v>
      </c>
      <c r="M359" s="67">
        <f t="shared" si="76"/>
        <v>379000</v>
      </c>
      <c r="N359" s="110">
        <f t="shared" si="78"/>
        <v>1000</v>
      </c>
      <c r="O359" s="145" t="s">
        <v>2202</v>
      </c>
      <c r="P359" s="555">
        <v>1</v>
      </c>
      <c r="Q359" s="592"/>
      <c r="R359" s="23"/>
      <c r="S359" s="10">
        <f t="shared" si="79"/>
        <v>19000</v>
      </c>
      <c r="T359" s="10">
        <f t="shared" si="80"/>
        <v>-18000</v>
      </c>
      <c r="U359" s="10">
        <f t="shared" si="86"/>
        <v>0</v>
      </c>
      <c r="V359" s="10">
        <f t="shared" si="81"/>
        <v>76000</v>
      </c>
      <c r="W359" s="10">
        <f t="shared" si="87"/>
        <v>0</v>
      </c>
      <c r="X359" s="10">
        <f t="shared" si="83"/>
        <v>0</v>
      </c>
    </row>
    <row r="360" spans="1:24" s="9" customFormat="1" ht="13.5" customHeight="1" x14ac:dyDescent="0.2">
      <c r="A360" s="64">
        <f t="shared" si="84"/>
        <v>356</v>
      </c>
      <c r="B360" s="65" t="s">
        <v>2216</v>
      </c>
      <c r="C360" s="163">
        <v>40268</v>
      </c>
      <c r="D360" s="175">
        <v>1050000</v>
      </c>
      <c r="E360" s="175"/>
      <c r="F360" s="67">
        <f t="shared" si="77"/>
        <v>1050000</v>
      </c>
      <c r="G360" s="67">
        <v>1049000</v>
      </c>
      <c r="H360" s="67">
        <f t="shared" si="85"/>
        <v>1000</v>
      </c>
      <c r="I360" s="68">
        <v>5</v>
      </c>
      <c r="J360" s="68">
        <v>0.2</v>
      </c>
      <c r="K360" s="68">
        <v>0</v>
      </c>
      <c r="L360" s="110">
        <f t="shared" si="75"/>
        <v>0</v>
      </c>
      <c r="M360" s="67">
        <f t="shared" si="76"/>
        <v>1049000</v>
      </c>
      <c r="N360" s="110">
        <f t="shared" si="78"/>
        <v>1000</v>
      </c>
      <c r="O360" s="145" t="s">
        <v>2202</v>
      </c>
      <c r="P360" s="555">
        <v>3</v>
      </c>
      <c r="Q360" s="592"/>
      <c r="R360" s="23"/>
      <c r="S360" s="10">
        <f t="shared" si="79"/>
        <v>52500</v>
      </c>
      <c r="T360" s="10">
        <f t="shared" si="80"/>
        <v>-51500</v>
      </c>
      <c r="U360" s="10">
        <f t="shared" si="86"/>
        <v>0</v>
      </c>
      <c r="V360" s="10">
        <f t="shared" si="81"/>
        <v>210000</v>
      </c>
      <c r="W360" s="10">
        <f t="shared" si="87"/>
        <v>0</v>
      </c>
      <c r="X360" s="10">
        <f t="shared" si="83"/>
        <v>0</v>
      </c>
    </row>
    <row r="361" spans="1:24" s="9" customFormat="1" ht="13.5" customHeight="1" x14ac:dyDescent="0.2">
      <c r="A361" s="64">
        <f t="shared" si="84"/>
        <v>357</v>
      </c>
      <c r="B361" s="65" t="s">
        <v>2217</v>
      </c>
      <c r="C361" s="163">
        <v>40268</v>
      </c>
      <c r="D361" s="175">
        <v>800000</v>
      </c>
      <c r="E361" s="175"/>
      <c r="F361" s="67">
        <f t="shared" si="77"/>
        <v>800000</v>
      </c>
      <c r="G361" s="67">
        <v>799000</v>
      </c>
      <c r="H361" s="67">
        <f t="shared" si="85"/>
        <v>1000</v>
      </c>
      <c r="I361" s="68">
        <v>5</v>
      </c>
      <c r="J361" s="68">
        <v>0.2</v>
      </c>
      <c r="K361" s="68">
        <v>0</v>
      </c>
      <c r="L361" s="110">
        <f t="shared" ref="L361:L424" si="88">ROUND(IF(F361*J361*K361/12&gt;=H361,H361-1000,F361*J361*K361/12),0)</f>
        <v>0</v>
      </c>
      <c r="M361" s="67">
        <f t="shared" ref="M361:M424" si="89">+G361+L361</f>
        <v>799000</v>
      </c>
      <c r="N361" s="110">
        <f t="shared" si="78"/>
        <v>1000</v>
      </c>
      <c r="O361" s="145" t="s">
        <v>2202</v>
      </c>
      <c r="P361" s="555">
        <v>2</v>
      </c>
      <c r="Q361" s="592"/>
      <c r="R361" s="23"/>
      <c r="S361" s="10">
        <f t="shared" si="79"/>
        <v>40000</v>
      </c>
      <c r="T361" s="10">
        <f t="shared" si="80"/>
        <v>-39000</v>
      </c>
      <c r="U361" s="10">
        <f t="shared" si="86"/>
        <v>0</v>
      </c>
      <c r="V361" s="10">
        <f t="shared" si="81"/>
        <v>160000</v>
      </c>
      <c r="W361" s="10">
        <f t="shared" si="87"/>
        <v>0</v>
      </c>
      <c r="X361" s="10">
        <f t="shared" si="83"/>
        <v>0</v>
      </c>
    </row>
    <row r="362" spans="1:24" s="9" customFormat="1" ht="13.5" customHeight="1" x14ac:dyDescent="0.2">
      <c r="A362" s="64">
        <f t="shared" si="84"/>
        <v>358</v>
      </c>
      <c r="B362" s="65" t="s">
        <v>2218</v>
      </c>
      <c r="C362" s="163">
        <v>40268</v>
      </c>
      <c r="D362" s="175">
        <v>840000</v>
      </c>
      <c r="E362" s="175"/>
      <c r="F362" s="67">
        <f t="shared" si="77"/>
        <v>840000</v>
      </c>
      <c r="G362" s="67">
        <v>839000</v>
      </c>
      <c r="H362" s="67">
        <f t="shared" si="85"/>
        <v>1000</v>
      </c>
      <c r="I362" s="68">
        <v>5</v>
      </c>
      <c r="J362" s="68">
        <v>0.2</v>
      </c>
      <c r="K362" s="68">
        <v>0</v>
      </c>
      <c r="L362" s="110">
        <f t="shared" si="88"/>
        <v>0</v>
      </c>
      <c r="M362" s="67">
        <f t="shared" si="89"/>
        <v>839000</v>
      </c>
      <c r="N362" s="110">
        <f t="shared" si="78"/>
        <v>1000</v>
      </c>
      <c r="O362" s="145" t="s">
        <v>2202</v>
      </c>
      <c r="P362" s="555">
        <v>2</v>
      </c>
      <c r="Q362" s="592"/>
      <c r="R362" s="23"/>
      <c r="S362" s="10">
        <f t="shared" si="79"/>
        <v>42000</v>
      </c>
      <c r="T362" s="10">
        <f t="shared" si="80"/>
        <v>-41000</v>
      </c>
      <c r="U362" s="10">
        <f t="shared" si="86"/>
        <v>0</v>
      </c>
      <c r="V362" s="10">
        <f t="shared" si="81"/>
        <v>168000</v>
      </c>
      <c r="W362" s="10">
        <f t="shared" si="87"/>
        <v>0</v>
      </c>
      <c r="X362" s="10">
        <f t="shared" si="83"/>
        <v>0</v>
      </c>
    </row>
    <row r="363" spans="1:24" s="9" customFormat="1" ht="13.5" customHeight="1" x14ac:dyDescent="0.2">
      <c r="A363" s="64">
        <f t="shared" si="84"/>
        <v>359</v>
      </c>
      <c r="B363" s="65" t="s">
        <v>2219</v>
      </c>
      <c r="C363" s="163">
        <v>40268</v>
      </c>
      <c r="D363" s="175">
        <v>770000</v>
      </c>
      <c r="E363" s="175"/>
      <c r="F363" s="67">
        <f t="shared" si="77"/>
        <v>770000</v>
      </c>
      <c r="G363" s="67">
        <v>769000</v>
      </c>
      <c r="H363" s="67">
        <f t="shared" si="85"/>
        <v>1000</v>
      </c>
      <c r="I363" s="68">
        <v>5</v>
      </c>
      <c r="J363" s="68">
        <v>0.2</v>
      </c>
      <c r="K363" s="68">
        <v>0</v>
      </c>
      <c r="L363" s="110">
        <f t="shared" si="88"/>
        <v>0</v>
      </c>
      <c r="M363" s="67">
        <f t="shared" si="89"/>
        <v>769000</v>
      </c>
      <c r="N363" s="110">
        <f t="shared" si="78"/>
        <v>1000</v>
      </c>
      <c r="O363" s="145" t="s">
        <v>2202</v>
      </c>
      <c r="P363" s="555">
        <v>1</v>
      </c>
      <c r="Q363" s="592"/>
      <c r="R363" s="23"/>
      <c r="S363" s="10">
        <f t="shared" si="79"/>
        <v>38500</v>
      </c>
      <c r="T363" s="10">
        <f t="shared" si="80"/>
        <v>-37500</v>
      </c>
      <c r="U363" s="10">
        <f t="shared" si="86"/>
        <v>0</v>
      </c>
      <c r="V363" s="10">
        <f t="shared" si="81"/>
        <v>154000</v>
      </c>
      <c r="W363" s="10">
        <f t="shared" si="87"/>
        <v>0</v>
      </c>
      <c r="X363" s="10">
        <f t="shared" si="83"/>
        <v>0</v>
      </c>
    </row>
    <row r="364" spans="1:24" s="9" customFormat="1" ht="13.5" customHeight="1" x14ac:dyDescent="0.2">
      <c r="A364" s="64">
        <f t="shared" si="84"/>
        <v>360</v>
      </c>
      <c r="B364" s="65" t="s">
        <v>2179</v>
      </c>
      <c r="C364" s="163">
        <v>40268</v>
      </c>
      <c r="D364" s="175">
        <v>2300000</v>
      </c>
      <c r="E364" s="175"/>
      <c r="F364" s="67">
        <f t="shared" si="77"/>
        <v>2300000</v>
      </c>
      <c r="G364" s="67">
        <v>2299000</v>
      </c>
      <c r="H364" s="67">
        <f t="shared" si="85"/>
        <v>1000</v>
      </c>
      <c r="I364" s="68">
        <v>5</v>
      </c>
      <c r="J364" s="68">
        <v>0.2</v>
      </c>
      <c r="K364" s="68">
        <v>0</v>
      </c>
      <c r="L364" s="110">
        <f t="shared" si="88"/>
        <v>0</v>
      </c>
      <c r="M364" s="67">
        <f t="shared" si="89"/>
        <v>2299000</v>
      </c>
      <c r="N364" s="110">
        <f t="shared" si="78"/>
        <v>1000</v>
      </c>
      <c r="O364" s="145" t="s">
        <v>2202</v>
      </c>
      <c r="P364" s="555">
        <v>1</v>
      </c>
      <c r="Q364" s="592"/>
      <c r="R364" s="23"/>
      <c r="S364" s="10">
        <f t="shared" si="79"/>
        <v>115000</v>
      </c>
      <c r="T364" s="10">
        <f t="shared" si="80"/>
        <v>-114000</v>
      </c>
      <c r="U364" s="10">
        <f t="shared" si="86"/>
        <v>0</v>
      </c>
      <c r="V364" s="10">
        <f t="shared" si="81"/>
        <v>460000</v>
      </c>
      <c r="W364" s="10">
        <f t="shared" si="87"/>
        <v>0</v>
      </c>
      <c r="X364" s="10">
        <f t="shared" si="83"/>
        <v>0</v>
      </c>
    </row>
    <row r="365" spans="1:24" s="9" customFormat="1" ht="13.5" customHeight="1" x14ac:dyDescent="0.2">
      <c r="A365" s="64">
        <f t="shared" si="84"/>
        <v>361</v>
      </c>
      <c r="B365" s="65" t="s">
        <v>2220</v>
      </c>
      <c r="C365" s="163">
        <v>40268</v>
      </c>
      <c r="D365" s="175">
        <v>525164</v>
      </c>
      <c r="E365" s="175"/>
      <c r="F365" s="67">
        <f t="shared" si="77"/>
        <v>525164</v>
      </c>
      <c r="G365" s="67">
        <v>524164</v>
      </c>
      <c r="H365" s="67">
        <f t="shared" si="85"/>
        <v>1000</v>
      </c>
      <c r="I365" s="68">
        <v>5</v>
      </c>
      <c r="J365" s="68">
        <v>0.2</v>
      </c>
      <c r="K365" s="68">
        <v>0</v>
      </c>
      <c r="L365" s="110">
        <f t="shared" si="88"/>
        <v>0</v>
      </c>
      <c r="M365" s="67">
        <f t="shared" si="89"/>
        <v>524164</v>
      </c>
      <c r="N365" s="110">
        <f t="shared" si="78"/>
        <v>1000</v>
      </c>
      <c r="O365" s="68" t="s">
        <v>2221</v>
      </c>
      <c r="P365" s="555">
        <v>4</v>
      </c>
      <c r="Q365" s="592"/>
      <c r="R365" s="23"/>
      <c r="S365" s="10">
        <f t="shared" si="79"/>
        <v>26258.2</v>
      </c>
      <c r="T365" s="10">
        <f t="shared" si="80"/>
        <v>-25258.2</v>
      </c>
      <c r="U365" s="10">
        <f t="shared" si="86"/>
        <v>0</v>
      </c>
      <c r="V365" s="10">
        <f t="shared" si="81"/>
        <v>105032.8</v>
      </c>
      <c r="W365" s="10">
        <f t="shared" si="87"/>
        <v>0</v>
      </c>
      <c r="X365" s="10">
        <f t="shared" si="83"/>
        <v>0</v>
      </c>
    </row>
    <row r="366" spans="1:24" s="9" customFormat="1" ht="13.5" customHeight="1" x14ac:dyDescent="0.2">
      <c r="A366" s="64">
        <f t="shared" si="84"/>
        <v>362</v>
      </c>
      <c r="B366" s="65" t="s">
        <v>2222</v>
      </c>
      <c r="C366" s="163">
        <v>40268</v>
      </c>
      <c r="D366" s="175">
        <v>900000</v>
      </c>
      <c r="E366" s="175"/>
      <c r="F366" s="67">
        <f t="shared" si="77"/>
        <v>900000</v>
      </c>
      <c r="G366" s="67">
        <v>899000</v>
      </c>
      <c r="H366" s="67">
        <f t="shared" si="85"/>
        <v>1000</v>
      </c>
      <c r="I366" s="68">
        <v>5</v>
      </c>
      <c r="J366" s="68">
        <v>0.2</v>
      </c>
      <c r="K366" s="68">
        <v>0</v>
      </c>
      <c r="L366" s="110">
        <f t="shared" si="88"/>
        <v>0</v>
      </c>
      <c r="M366" s="67">
        <f t="shared" si="89"/>
        <v>899000</v>
      </c>
      <c r="N366" s="110">
        <f t="shared" si="78"/>
        <v>1000</v>
      </c>
      <c r="O366" s="68" t="s">
        <v>427</v>
      </c>
      <c r="P366" s="555">
        <v>1</v>
      </c>
      <c r="Q366" s="592"/>
      <c r="R366" s="23"/>
      <c r="S366" s="10">
        <f t="shared" si="79"/>
        <v>45000</v>
      </c>
      <c r="T366" s="10">
        <f t="shared" si="80"/>
        <v>-44000</v>
      </c>
      <c r="U366" s="10">
        <f t="shared" si="86"/>
        <v>0</v>
      </c>
      <c r="V366" s="10">
        <f t="shared" si="81"/>
        <v>180000</v>
      </c>
      <c r="W366" s="10">
        <f t="shared" si="87"/>
        <v>0</v>
      </c>
      <c r="X366" s="10">
        <f t="shared" si="83"/>
        <v>0</v>
      </c>
    </row>
    <row r="367" spans="1:24" s="9" customFormat="1" ht="13.5" customHeight="1" x14ac:dyDescent="0.2">
      <c r="A367" s="64">
        <f t="shared" si="84"/>
        <v>363</v>
      </c>
      <c r="B367" s="65" t="s">
        <v>2223</v>
      </c>
      <c r="C367" s="163">
        <v>40268</v>
      </c>
      <c r="D367" s="175">
        <v>4750000</v>
      </c>
      <c r="E367" s="175"/>
      <c r="F367" s="67">
        <f t="shared" si="77"/>
        <v>4750000</v>
      </c>
      <c r="G367" s="67">
        <v>4749000</v>
      </c>
      <c r="H367" s="67">
        <f t="shared" si="85"/>
        <v>1000</v>
      </c>
      <c r="I367" s="68">
        <v>5</v>
      </c>
      <c r="J367" s="68">
        <v>0.2</v>
      </c>
      <c r="K367" s="68">
        <v>0</v>
      </c>
      <c r="L367" s="110">
        <f t="shared" si="88"/>
        <v>0</v>
      </c>
      <c r="M367" s="67">
        <f t="shared" si="89"/>
        <v>4749000</v>
      </c>
      <c r="N367" s="110">
        <f t="shared" si="78"/>
        <v>1000</v>
      </c>
      <c r="O367" s="68" t="s">
        <v>2224</v>
      </c>
      <c r="P367" s="555">
        <v>5</v>
      </c>
      <c r="Q367" s="592"/>
      <c r="R367" s="23"/>
      <c r="S367" s="10">
        <f t="shared" si="79"/>
        <v>237500</v>
      </c>
      <c r="T367" s="10">
        <f t="shared" si="80"/>
        <v>-236500</v>
      </c>
      <c r="U367" s="10">
        <f t="shared" si="86"/>
        <v>0</v>
      </c>
      <c r="V367" s="10">
        <f t="shared" si="81"/>
        <v>950000</v>
      </c>
      <c r="W367" s="10">
        <f t="shared" si="87"/>
        <v>0</v>
      </c>
      <c r="X367" s="10">
        <f t="shared" si="83"/>
        <v>0</v>
      </c>
    </row>
    <row r="368" spans="1:24" s="9" customFormat="1" ht="13.5" customHeight="1" x14ac:dyDescent="0.2">
      <c r="A368" s="64">
        <f t="shared" si="84"/>
        <v>364</v>
      </c>
      <c r="B368" s="65" t="s">
        <v>2225</v>
      </c>
      <c r="C368" s="163">
        <v>40270</v>
      </c>
      <c r="D368" s="175">
        <v>420000</v>
      </c>
      <c r="E368" s="175"/>
      <c r="F368" s="67">
        <f t="shared" si="77"/>
        <v>420000</v>
      </c>
      <c r="G368" s="67">
        <v>419000</v>
      </c>
      <c r="H368" s="67">
        <f t="shared" si="85"/>
        <v>1000</v>
      </c>
      <c r="I368" s="68">
        <v>5</v>
      </c>
      <c r="J368" s="68">
        <v>0.2</v>
      </c>
      <c r="K368" s="68">
        <v>0</v>
      </c>
      <c r="L368" s="110">
        <f t="shared" si="88"/>
        <v>0</v>
      </c>
      <c r="M368" s="67">
        <f t="shared" si="89"/>
        <v>419000</v>
      </c>
      <c r="N368" s="110">
        <f t="shared" si="78"/>
        <v>1000</v>
      </c>
      <c r="O368" s="68" t="s">
        <v>2177</v>
      </c>
      <c r="P368" s="555">
        <v>4</v>
      </c>
      <c r="Q368" s="592"/>
      <c r="R368" s="23"/>
      <c r="S368" s="10">
        <f t="shared" si="79"/>
        <v>21000</v>
      </c>
      <c r="T368" s="10">
        <f t="shared" si="80"/>
        <v>-20000</v>
      </c>
      <c r="U368" s="10">
        <f t="shared" si="86"/>
        <v>0</v>
      </c>
      <c r="V368" s="10">
        <f t="shared" si="81"/>
        <v>84000</v>
      </c>
      <c r="W368" s="10">
        <f t="shared" si="87"/>
        <v>0</v>
      </c>
      <c r="X368" s="10">
        <f t="shared" si="83"/>
        <v>0</v>
      </c>
    </row>
    <row r="369" spans="1:24" s="9" customFormat="1" ht="13.5" customHeight="1" x14ac:dyDescent="0.2">
      <c r="A369" s="64">
        <f t="shared" si="84"/>
        <v>365</v>
      </c>
      <c r="B369" s="65" t="s">
        <v>1855</v>
      </c>
      <c r="C369" s="163">
        <v>40270</v>
      </c>
      <c r="D369" s="175">
        <v>220000</v>
      </c>
      <c r="E369" s="175"/>
      <c r="F369" s="67">
        <f t="shared" si="77"/>
        <v>220000</v>
      </c>
      <c r="G369" s="67">
        <v>219000</v>
      </c>
      <c r="H369" s="67">
        <f t="shared" si="85"/>
        <v>1000</v>
      </c>
      <c r="I369" s="68">
        <v>5</v>
      </c>
      <c r="J369" s="68">
        <v>0.2</v>
      </c>
      <c r="K369" s="68">
        <v>0</v>
      </c>
      <c r="L369" s="110">
        <f t="shared" si="88"/>
        <v>0</v>
      </c>
      <c r="M369" s="67">
        <f t="shared" si="89"/>
        <v>219000</v>
      </c>
      <c r="N369" s="110">
        <f t="shared" si="78"/>
        <v>1000</v>
      </c>
      <c r="O369" s="68" t="s">
        <v>2177</v>
      </c>
      <c r="P369" s="555">
        <v>4</v>
      </c>
      <c r="Q369" s="592"/>
      <c r="R369" s="23"/>
      <c r="S369" s="10">
        <f t="shared" si="79"/>
        <v>11000</v>
      </c>
      <c r="T369" s="10">
        <f t="shared" si="80"/>
        <v>-10000</v>
      </c>
      <c r="U369" s="10">
        <f t="shared" si="86"/>
        <v>0</v>
      </c>
      <c r="V369" s="10">
        <f t="shared" si="81"/>
        <v>44000</v>
      </c>
      <c r="W369" s="10">
        <f t="shared" si="87"/>
        <v>0</v>
      </c>
      <c r="X369" s="10">
        <f t="shared" si="83"/>
        <v>0</v>
      </c>
    </row>
    <row r="370" spans="1:24" s="9" customFormat="1" ht="13.5" customHeight="1" x14ac:dyDescent="0.2">
      <c r="A370" s="64">
        <f t="shared" si="84"/>
        <v>366</v>
      </c>
      <c r="B370" s="65" t="s">
        <v>1873</v>
      </c>
      <c r="C370" s="163">
        <v>40270</v>
      </c>
      <c r="D370" s="175">
        <v>400000</v>
      </c>
      <c r="E370" s="175"/>
      <c r="F370" s="67">
        <f t="shared" si="77"/>
        <v>400000</v>
      </c>
      <c r="G370" s="67">
        <v>399000</v>
      </c>
      <c r="H370" s="67">
        <f t="shared" si="85"/>
        <v>1000</v>
      </c>
      <c r="I370" s="68">
        <v>5</v>
      </c>
      <c r="J370" s="68">
        <v>0.2</v>
      </c>
      <c r="K370" s="68">
        <v>0</v>
      </c>
      <c r="L370" s="110">
        <f t="shared" si="88"/>
        <v>0</v>
      </c>
      <c r="M370" s="67">
        <f t="shared" si="89"/>
        <v>399000</v>
      </c>
      <c r="N370" s="110">
        <f t="shared" si="78"/>
        <v>1000</v>
      </c>
      <c r="O370" s="68" t="s">
        <v>2226</v>
      </c>
      <c r="P370" s="555">
        <v>5</v>
      </c>
      <c r="Q370" s="592"/>
      <c r="R370" s="23"/>
      <c r="S370" s="10">
        <f t="shared" si="79"/>
        <v>20000</v>
      </c>
      <c r="T370" s="10">
        <f t="shared" si="80"/>
        <v>-19000</v>
      </c>
      <c r="U370" s="10">
        <f t="shared" si="86"/>
        <v>0</v>
      </c>
      <c r="V370" s="10">
        <f t="shared" si="81"/>
        <v>80000</v>
      </c>
      <c r="W370" s="10">
        <f t="shared" si="87"/>
        <v>0</v>
      </c>
      <c r="X370" s="10">
        <f t="shared" si="83"/>
        <v>0</v>
      </c>
    </row>
    <row r="371" spans="1:24" s="9" customFormat="1" ht="13.5" customHeight="1" x14ac:dyDescent="0.2">
      <c r="A371" s="64">
        <f t="shared" si="84"/>
        <v>367</v>
      </c>
      <c r="B371" s="65" t="s">
        <v>2204</v>
      </c>
      <c r="C371" s="163">
        <v>40270</v>
      </c>
      <c r="D371" s="175">
        <v>1820000</v>
      </c>
      <c r="E371" s="175"/>
      <c r="F371" s="67">
        <f t="shared" si="77"/>
        <v>1820000</v>
      </c>
      <c r="G371" s="67">
        <v>1819000</v>
      </c>
      <c r="H371" s="67">
        <f t="shared" si="85"/>
        <v>1000</v>
      </c>
      <c r="I371" s="68">
        <v>5</v>
      </c>
      <c r="J371" s="68">
        <v>0.2</v>
      </c>
      <c r="K371" s="68">
        <v>0</v>
      </c>
      <c r="L371" s="110">
        <f t="shared" si="88"/>
        <v>0</v>
      </c>
      <c r="M371" s="67">
        <f t="shared" si="89"/>
        <v>1819000</v>
      </c>
      <c r="N371" s="110">
        <f t="shared" si="78"/>
        <v>1000</v>
      </c>
      <c r="O371" s="68" t="s">
        <v>2177</v>
      </c>
      <c r="P371" s="555">
        <v>7</v>
      </c>
      <c r="Q371" s="592"/>
      <c r="R371" s="23"/>
      <c r="S371" s="10">
        <f t="shared" si="79"/>
        <v>91000</v>
      </c>
      <c r="T371" s="10">
        <f t="shared" si="80"/>
        <v>-90000</v>
      </c>
      <c r="U371" s="10">
        <f t="shared" si="86"/>
        <v>0</v>
      </c>
      <c r="V371" s="10">
        <f t="shared" si="81"/>
        <v>364000</v>
      </c>
      <c r="W371" s="10">
        <f t="shared" si="87"/>
        <v>0</v>
      </c>
      <c r="X371" s="10">
        <f t="shared" si="83"/>
        <v>0</v>
      </c>
    </row>
    <row r="372" spans="1:24" s="9" customFormat="1" ht="13.5" customHeight="1" x14ac:dyDescent="0.2">
      <c r="A372" s="64">
        <f t="shared" si="84"/>
        <v>368</v>
      </c>
      <c r="B372" s="65" t="s">
        <v>2225</v>
      </c>
      <c r="C372" s="163">
        <v>40294</v>
      </c>
      <c r="D372" s="175">
        <v>105000</v>
      </c>
      <c r="E372" s="175"/>
      <c r="F372" s="67">
        <f t="shared" si="77"/>
        <v>105000</v>
      </c>
      <c r="G372" s="67">
        <v>104000</v>
      </c>
      <c r="H372" s="67">
        <f t="shared" si="85"/>
        <v>1000</v>
      </c>
      <c r="I372" s="68">
        <v>5</v>
      </c>
      <c r="J372" s="68">
        <v>0.2</v>
      </c>
      <c r="K372" s="68">
        <v>0</v>
      </c>
      <c r="L372" s="110">
        <f t="shared" si="88"/>
        <v>0</v>
      </c>
      <c r="M372" s="67">
        <f t="shared" si="89"/>
        <v>104000</v>
      </c>
      <c r="N372" s="110">
        <f t="shared" si="78"/>
        <v>1000</v>
      </c>
      <c r="O372" s="68" t="s">
        <v>2177</v>
      </c>
      <c r="P372" s="555">
        <v>1</v>
      </c>
      <c r="Q372" s="592"/>
      <c r="R372" s="23"/>
      <c r="S372" s="10">
        <f t="shared" si="79"/>
        <v>5250</v>
      </c>
      <c r="T372" s="10">
        <f t="shared" si="80"/>
        <v>-4250</v>
      </c>
      <c r="U372" s="10">
        <f t="shared" si="86"/>
        <v>0</v>
      </c>
      <c r="V372" s="10">
        <f t="shared" si="81"/>
        <v>21000</v>
      </c>
      <c r="W372" s="10">
        <f t="shared" si="87"/>
        <v>0</v>
      </c>
      <c r="X372" s="10">
        <f t="shared" si="83"/>
        <v>0</v>
      </c>
    </row>
    <row r="373" spans="1:24" s="9" customFormat="1" ht="13.5" customHeight="1" x14ac:dyDescent="0.2">
      <c r="A373" s="64">
        <f t="shared" si="84"/>
        <v>369</v>
      </c>
      <c r="B373" s="65" t="s">
        <v>1855</v>
      </c>
      <c r="C373" s="163">
        <v>40294</v>
      </c>
      <c r="D373" s="175">
        <v>110000</v>
      </c>
      <c r="E373" s="175"/>
      <c r="F373" s="67">
        <f t="shared" si="77"/>
        <v>110000</v>
      </c>
      <c r="G373" s="67">
        <v>109000</v>
      </c>
      <c r="H373" s="67">
        <f t="shared" si="85"/>
        <v>1000</v>
      </c>
      <c r="I373" s="68">
        <v>5</v>
      </c>
      <c r="J373" s="68">
        <v>0.2</v>
      </c>
      <c r="K373" s="68">
        <v>0</v>
      </c>
      <c r="L373" s="110">
        <f t="shared" si="88"/>
        <v>0</v>
      </c>
      <c r="M373" s="67">
        <f t="shared" si="89"/>
        <v>109000</v>
      </c>
      <c r="N373" s="110">
        <f t="shared" si="78"/>
        <v>1000</v>
      </c>
      <c r="O373" s="68" t="s">
        <v>2177</v>
      </c>
      <c r="P373" s="555">
        <v>2</v>
      </c>
      <c r="Q373" s="592"/>
      <c r="R373" s="23"/>
      <c r="S373" s="10">
        <f t="shared" si="79"/>
        <v>5500</v>
      </c>
      <c r="T373" s="10">
        <f t="shared" si="80"/>
        <v>-4500</v>
      </c>
      <c r="U373" s="10">
        <f t="shared" si="86"/>
        <v>0</v>
      </c>
      <c r="V373" s="10">
        <f t="shared" si="81"/>
        <v>22000</v>
      </c>
      <c r="W373" s="10">
        <f t="shared" si="87"/>
        <v>0</v>
      </c>
      <c r="X373" s="10">
        <f t="shared" si="83"/>
        <v>0</v>
      </c>
    </row>
    <row r="374" spans="1:24" s="9" customFormat="1" ht="13.5" customHeight="1" x14ac:dyDescent="0.2">
      <c r="A374" s="64">
        <f t="shared" si="84"/>
        <v>370</v>
      </c>
      <c r="B374" s="65" t="s">
        <v>1873</v>
      </c>
      <c r="C374" s="163">
        <v>40294</v>
      </c>
      <c r="D374" s="175">
        <v>160000</v>
      </c>
      <c r="E374" s="175"/>
      <c r="F374" s="67">
        <f t="shared" si="77"/>
        <v>160000</v>
      </c>
      <c r="G374" s="67">
        <v>159000</v>
      </c>
      <c r="H374" s="67">
        <f t="shared" si="85"/>
        <v>1000</v>
      </c>
      <c r="I374" s="68">
        <v>5</v>
      </c>
      <c r="J374" s="68">
        <v>0.2</v>
      </c>
      <c r="K374" s="68">
        <v>0</v>
      </c>
      <c r="L374" s="110">
        <f t="shared" si="88"/>
        <v>0</v>
      </c>
      <c r="M374" s="67">
        <f t="shared" si="89"/>
        <v>159000</v>
      </c>
      <c r="N374" s="110">
        <f t="shared" si="78"/>
        <v>1000</v>
      </c>
      <c r="O374" s="68" t="s">
        <v>2177</v>
      </c>
      <c r="P374" s="555">
        <v>2</v>
      </c>
      <c r="Q374" s="592"/>
      <c r="R374" s="23"/>
      <c r="S374" s="10">
        <f t="shared" si="79"/>
        <v>8000</v>
      </c>
      <c r="T374" s="10">
        <f t="shared" si="80"/>
        <v>-7000</v>
      </c>
      <c r="U374" s="10">
        <f t="shared" si="86"/>
        <v>0</v>
      </c>
      <c r="V374" s="10">
        <f t="shared" si="81"/>
        <v>32000</v>
      </c>
      <c r="W374" s="10">
        <f t="shared" si="87"/>
        <v>0</v>
      </c>
      <c r="X374" s="10">
        <f t="shared" si="83"/>
        <v>0</v>
      </c>
    </row>
    <row r="375" spans="1:24" s="9" customFormat="1" ht="13.5" customHeight="1" x14ac:dyDescent="0.2">
      <c r="A375" s="64">
        <f t="shared" si="84"/>
        <v>371</v>
      </c>
      <c r="B375" s="65" t="s">
        <v>2227</v>
      </c>
      <c r="C375" s="163">
        <v>40294</v>
      </c>
      <c r="D375" s="175">
        <v>896000</v>
      </c>
      <c r="E375" s="175"/>
      <c r="F375" s="67">
        <f t="shared" si="77"/>
        <v>896000</v>
      </c>
      <c r="G375" s="67">
        <v>895000</v>
      </c>
      <c r="H375" s="67">
        <f t="shared" si="85"/>
        <v>1000</v>
      </c>
      <c r="I375" s="68">
        <v>5</v>
      </c>
      <c r="J375" s="68">
        <v>0.2</v>
      </c>
      <c r="K375" s="68">
        <v>0</v>
      </c>
      <c r="L375" s="110">
        <f t="shared" si="88"/>
        <v>0</v>
      </c>
      <c r="M375" s="67">
        <f t="shared" si="89"/>
        <v>895000</v>
      </c>
      <c r="N375" s="110">
        <f t="shared" si="78"/>
        <v>1000</v>
      </c>
      <c r="O375" s="68" t="s">
        <v>2177</v>
      </c>
      <c r="P375" s="555">
        <v>56</v>
      </c>
      <c r="Q375" s="592"/>
      <c r="R375" s="23"/>
      <c r="S375" s="10">
        <f t="shared" si="79"/>
        <v>44800</v>
      </c>
      <c r="T375" s="10">
        <f t="shared" si="80"/>
        <v>-43800</v>
      </c>
      <c r="U375" s="10">
        <f t="shared" si="86"/>
        <v>0</v>
      </c>
      <c r="V375" s="10">
        <f t="shared" si="81"/>
        <v>179200</v>
      </c>
      <c r="W375" s="10">
        <f t="shared" si="87"/>
        <v>0</v>
      </c>
      <c r="X375" s="10">
        <f t="shared" si="83"/>
        <v>0</v>
      </c>
    </row>
    <row r="376" spans="1:24" s="9" customFormat="1" ht="13.5" customHeight="1" x14ac:dyDescent="0.2">
      <c r="A376" s="64">
        <f t="shared" si="84"/>
        <v>372</v>
      </c>
      <c r="B376" s="65" t="s">
        <v>2210</v>
      </c>
      <c r="C376" s="163">
        <v>40297</v>
      </c>
      <c r="D376" s="175">
        <v>1840000</v>
      </c>
      <c r="E376" s="175"/>
      <c r="F376" s="67">
        <f t="shared" si="77"/>
        <v>1840000</v>
      </c>
      <c r="G376" s="67">
        <v>1839000</v>
      </c>
      <c r="H376" s="67">
        <f t="shared" si="85"/>
        <v>1000</v>
      </c>
      <c r="I376" s="68">
        <v>5</v>
      </c>
      <c r="J376" s="68">
        <v>0.2</v>
      </c>
      <c r="K376" s="68">
        <v>0</v>
      </c>
      <c r="L376" s="110">
        <f t="shared" si="88"/>
        <v>0</v>
      </c>
      <c r="M376" s="67">
        <f t="shared" si="89"/>
        <v>1839000</v>
      </c>
      <c r="N376" s="110">
        <f t="shared" si="78"/>
        <v>1000</v>
      </c>
      <c r="O376" s="68" t="s">
        <v>427</v>
      </c>
      <c r="P376" s="555">
        <v>2</v>
      </c>
      <c r="Q376" s="592"/>
      <c r="R376" s="23"/>
      <c r="S376" s="10">
        <f t="shared" si="79"/>
        <v>92000</v>
      </c>
      <c r="T376" s="10">
        <f t="shared" si="80"/>
        <v>-91000</v>
      </c>
      <c r="U376" s="10">
        <f t="shared" si="86"/>
        <v>0</v>
      </c>
      <c r="V376" s="10">
        <f t="shared" si="81"/>
        <v>368000</v>
      </c>
      <c r="W376" s="10">
        <f t="shared" si="87"/>
        <v>0</v>
      </c>
      <c r="X376" s="10">
        <f t="shared" si="83"/>
        <v>0</v>
      </c>
    </row>
    <row r="377" spans="1:24" s="9" customFormat="1" ht="13.5" customHeight="1" x14ac:dyDescent="0.2">
      <c r="A377" s="64">
        <f t="shared" si="84"/>
        <v>373</v>
      </c>
      <c r="B377" s="65" t="s">
        <v>2039</v>
      </c>
      <c r="C377" s="163">
        <v>40312</v>
      </c>
      <c r="D377" s="175">
        <v>530000</v>
      </c>
      <c r="E377" s="175"/>
      <c r="F377" s="67">
        <f t="shared" si="77"/>
        <v>530000</v>
      </c>
      <c r="G377" s="67">
        <v>529000</v>
      </c>
      <c r="H377" s="67">
        <f t="shared" si="85"/>
        <v>1000</v>
      </c>
      <c r="I377" s="68">
        <v>5</v>
      </c>
      <c r="J377" s="68">
        <v>0.2</v>
      </c>
      <c r="K377" s="68">
        <v>0</v>
      </c>
      <c r="L377" s="110">
        <f t="shared" si="88"/>
        <v>0</v>
      </c>
      <c r="M377" s="67">
        <f t="shared" si="89"/>
        <v>529000</v>
      </c>
      <c r="N377" s="110">
        <f t="shared" si="78"/>
        <v>1000</v>
      </c>
      <c r="O377" s="68" t="s">
        <v>2228</v>
      </c>
      <c r="P377" s="555">
        <v>5</v>
      </c>
      <c r="Q377" s="592"/>
      <c r="R377" s="23"/>
      <c r="S377" s="10">
        <f t="shared" si="79"/>
        <v>26500</v>
      </c>
      <c r="T377" s="10">
        <f t="shared" si="80"/>
        <v>-25500</v>
      </c>
      <c r="U377" s="10">
        <f t="shared" si="86"/>
        <v>0</v>
      </c>
      <c r="V377" s="10">
        <f t="shared" si="81"/>
        <v>106000</v>
      </c>
      <c r="W377" s="10">
        <f t="shared" si="87"/>
        <v>0</v>
      </c>
      <c r="X377" s="10">
        <f t="shared" si="83"/>
        <v>0</v>
      </c>
    </row>
    <row r="378" spans="1:24" s="9" customFormat="1" ht="13.5" customHeight="1" x14ac:dyDescent="0.2">
      <c r="A378" s="64">
        <f t="shared" si="84"/>
        <v>374</v>
      </c>
      <c r="B378" s="65" t="s">
        <v>2229</v>
      </c>
      <c r="C378" s="163">
        <v>40323</v>
      </c>
      <c r="D378" s="175">
        <v>550000</v>
      </c>
      <c r="E378" s="175"/>
      <c r="F378" s="67">
        <f t="shared" ref="F378:F441" si="90">+D378+E378</f>
        <v>550000</v>
      </c>
      <c r="G378" s="67">
        <v>549000</v>
      </c>
      <c r="H378" s="67">
        <f t="shared" si="85"/>
        <v>1000</v>
      </c>
      <c r="I378" s="68">
        <v>5</v>
      </c>
      <c r="J378" s="68">
        <v>0.2</v>
      </c>
      <c r="K378" s="68">
        <v>0</v>
      </c>
      <c r="L378" s="110">
        <f t="shared" si="88"/>
        <v>0</v>
      </c>
      <c r="M378" s="67">
        <f t="shared" si="89"/>
        <v>549000</v>
      </c>
      <c r="N378" s="110">
        <f t="shared" ref="N378:N441" si="91">+F378-M378</f>
        <v>1000</v>
      </c>
      <c r="O378" s="68" t="s">
        <v>341</v>
      </c>
      <c r="P378" s="555">
        <v>1</v>
      </c>
      <c r="Q378" s="592"/>
      <c r="R378" s="23"/>
      <c r="S378" s="10">
        <f t="shared" si="79"/>
        <v>27500</v>
      </c>
      <c r="T378" s="10">
        <f t="shared" si="80"/>
        <v>-26500</v>
      </c>
      <c r="U378" s="10">
        <f t="shared" si="86"/>
        <v>0</v>
      </c>
      <c r="V378" s="10">
        <f t="shared" si="81"/>
        <v>110000</v>
      </c>
      <c r="W378" s="10">
        <f t="shared" si="87"/>
        <v>0</v>
      </c>
      <c r="X378" s="10">
        <f t="shared" si="83"/>
        <v>0</v>
      </c>
    </row>
    <row r="379" spans="1:24" s="9" customFormat="1" ht="13.5" customHeight="1" x14ac:dyDescent="0.2">
      <c r="A379" s="64">
        <f t="shared" si="84"/>
        <v>375</v>
      </c>
      <c r="B379" s="65" t="s">
        <v>2230</v>
      </c>
      <c r="C379" s="163">
        <v>40323</v>
      </c>
      <c r="D379" s="175">
        <v>850000</v>
      </c>
      <c r="E379" s="175"/>
      <c r="F379" s="67">
        <f t="shared" si="90"/>
        <v>850000</v>
      </c>
      <c r="G379" s="67">
        <v>849000</v>
      </c>
      <c r="H379" s="67">
        <f t="shared" si="85"/>
        <v>1000</v>
      </c>
      <c r="I379" s="68">
        <v>5</v>
      </c>
      <c r="J379" s="68">
        <v>0.2</v>
      </c>
      <c r="K379" s="68">
        <v>0</v>
      </c>
      <c r="L379" s="110">
        <f t="shared" si="88"/>
        <v>0</v>
      </c>
      <c r="M379" s="67">
        <f t="shared" si="89"/>
        <v>849000</v>
      </c>
      <c r="N379" s="110">
        <f t="shared" si="91"/>
        <v>1000</v>
      </c>
      <c r="O379" s="68" t="s">
        <v>341</v>
      </c>
      <c r="P379" s="555">
        <v>1</v>
      </c>
      <c r="Q379" s="592"/>
      <c r="R379" s="23"/>
      <c r="S379" s="10">
        <f t="shared" si="79"/>
        <v>42500</v>
      </c>
      <c r="T379" s="10">
        <f t="shared" si="80"/>
        <v>-41500</v>
      </c>
      <c r="U379" s="10">
        <f t="shared" si="86"/>
        <v>0</v>
      </c>
      <c r="V379" s="10">
        <f t="shared" si="81"/>
        <v>170000</v>
      </c>
      <c r="W379" s="10">
        <f t="shared" si="87"/>
        <v>0</v>
      </c>
      <c r="X379" s="10">
        <f t="shared" si="83"/>
        <v>0</v>
      </c>
    </row>
    <row r="380" spans="1:24" s="9" customFormat="1" ht="13.5" customHeight="1" x14ac:dyDescent="0.2">
      <c r="A380" s="64">
        <f t="shared" si="84"/>
        <v>376</v>
      </c>
      <c r="B380" s="65" t="s">
        <v>2231</v>
      </c>
      <c r="C380" s="163">
        <v>40345</v>
      </c>
      <c r="D380" s="175">
        <v>1409091</v>
      </c>
      <c r="E380" s="175"/>
      <c r="F380" s="67">
        <f t="shared" si="90"/>
        <v>1409091</v>
      </c>
      <c r="G380" s="67">
        <v>1408091</v>
      </c>
      <c r="H380" s="67">
        <f t="shared" si="85"/>
        <v>1000</v>
      </c>
      <c r="I380" s="68">
        <v>5</v>
      </c>
      <c r="J380" s="68">
        <v>0.2</v>
      </c>
      <c r="K380" s="68">
        <v>0</v>
      </c>
      <c r="L380" s="110">
        <f t="shared" si="88"/>
        <v>0</v>
      </c>
      <c r="M380" s="67">
        <f t="shared" si="89"/>
        <v>1408091</v>
      </c>
      <c r="N380" s="110">
        <f t="shared" si="91"/>
        <v>1000</v>
      </c>
      <c r="O380" s="68" t="s">
        <v>2232</v>
      </c>
      <c r="P380" s="555">
        <v>1</v>
      </c>
      <c r="Q380" s="592"/>
      <c r="R380" s="23"/>
      <c r="S380" s="10">
        <f t="shared" si="79"/>
        <v>70454.55</v>
      </c>
      <c r="T380" s="10">
        <f t="shared" si="80"/>
        <v>-69454.55</v>
      </c>
      <c r="U380" s="10">
        <f t="shared" si="86"/>
        <v>0</v>
      </c>
      <c r="V380" s="10">
        <f t="shared" si="81"/>
        <v>281818.2</v>
      </c>
      <c r="W380" s="10">
        <f t="shared" si="87"/>
        <v>0</v>
      </c>
      <c r="X380" s="10">
        <f t="shared" si="83"/>
        <v>0</v>
      </c>
    </row>
    <row r="381" spans="1:24" s="9" customFormat="1" ht="13.5" customHeight="1" x14ac:dyDescent="0.2">
      <c r="A381" s="64">
        <f t="shared" si="84"/>
        <v>377</v>
      </c>
      <c r="B381" s="65" t="s">
        <v>2233</v>
      </c>
      <c r="C381" s="163">
        <v>40345</v>
      </c>
      <c r="D381" s="175">
        <v>1363636</v>
      </c>
      <c r="E381" s="175"/>
      <c r="F381" s="67">
        <f t="shared" si="90"/>
        <v>1363636</v>
      </c>
      <c r="G381" s="67">
        <v>1362636</v>
      </c>
      <c r="H381" s="67">
        <f t="shared" si="85"/>
        <v>1000</v>
      </c>
      <c r="I381" s="68">
        <v>5</v>
      </c>
      <c r="J381" s="68">
        <v>0.2</v>
      </c>
      <c r="K381" s="68">
        <v>0</v>
      </c>
      <c r="L381" s="110">
        <f t="shared" si="88"/>
        <v>0</v>
      </c>
      <c r="M381" s="67">
        <f t="shared" si="89"/>
        <v>1362636</v>
      </c>
      <c r="N381" s="110">
        <f t="shared" si="91"/>
        <v>1000</v>
      </c>
      <c r="O381" s="68" t="s">
        <v>2234</v>
      </c>
      <c r="P381" s="555">
        <v>1</v>
      </c>
      <c r="Q381" s="592"/>
      <c r="R381" s="23"/>
      <c r="S381" s="10">
        <f t="shared" si="79"/>
        <v>68181.8</v>
      </c>
      <c r="T381" s="10">
        <f t="shared" si="80"/>
        <v>-67181.8</v>
      </c>
      <c r="U381" s="10">
        <f t="shared" si="86"/>
        <v>0</v>
      </c>
      <c r="V381" s="10">
        <f t="shared" si="81"/>
        <v>272727.2</v>
      </c>
      <c r="W381" s="10">
        <f t="shared" si="87"/>
        <v>0</v>
      </c>
      <c r="X381" s="10">
        <f t="shared" si="83"/>
        <v>0</v>
      </c>
    </row>
    <row r="382" spans="1:24" s="9" customFormat="1" ht="13.5" customHeight="1" x14ac:dyDescent="0.2">
      <c r="A382" s="64">
        <f t="shared" si="84"/>
        <v>378</v>
      </c>
      <c r="B382" s="65" t="s">
        <v>2235</v>
      </c>
      <c r="C382" s="163">
        <v>40359</v>
      </c>
      <c r="D382" s="175">
        <v>1454545</v>
      </c>
      <c r="E382" s="175"/>
      <c r="F382" s="67">
        <f t="shared" si="90"/>
        <v>1454545</v>
      </c>
      <c r="G382" s="67">
        <v>1453545</v>
      </c>
      <c r="H382" s="67">
        <f t="shared" si="85"/>
        <v>1000</v>
      </c>
      <c r="I382" s="68">
        <v>5</v>
      </c>
      <c r="J382" s="68">
        <v>0.2</v>
      </c>
      <c r="K382" s="68">
        <v>0</v>
      </c>
      <c r="L382" s="110">
        <f t="shared" si="88"/>
        <v>0</v>
      </c>
      <c r="M382" s="67">
        <f t="shared" si="89"/>
        <v>1453545</v>
      </c>
      <c r="N382" s="110">
        <f t="shared" si="91"/>
        <v>1000</v>
      </c>
      <c r="O382" s="68" t="s">
        <v>2234</v>
      </c>
      <c r="P382" s="555">
        <v>1</v>
      </c>
      <c r="Q382" s="592"/>
      <c r="R382" s="23"/>
      <c r="S382" s="10">
        <f t="shared" si="79"/>
        <v>72727.25</v>
      </c>
      <c r="T382" s="10">
        <f t="shared" si="80"/>
        <v>-71727.25</v>
      </c>
      <c r="U382" s="10">
        <f t="shared" si="86"/>
        <v>0</v>
      </c>
      <c r="V382" s="10">
        <f t="shared" si="81"/>
        <v>290909</v>
      </c>
      <c r="W382" s="10">
        <f t="shared" si="87"/>
        <v>0</v>
      </c>
      <c r="X382" s="10">
        <f t="shared" si="83"/>
        <v>0</v>
      </c>
    </row>
    <row r="383" spans="1:24" s="9" customFormat="1" ht="13.5" customHeight="1" x14ac:dyDescent="0.2">
      <c r="A383" s="64">
        <f t="shared" si="84"/>
        <v>379</v>
      </c>
      <c r="B383" s="65" t="s">
        <v>2236</v>
      </c>
      <c r="C383" s="163">
        <v>40359</v>
      </c>
      <c r="D383" s="175">
        <v>1778000</v>
      </c>
      <c r="E383" s="175"/>
      <c r="F383" s="67">
        <f t="shared" si="90"/>
        <v>1778000</v>
      </c>
      <c r="G383" s="67">
        <v>1777000</v>
      </c>
      <c r="H383" s="67">
        <f t="shared" si="85"/>
        <v>1000</v>
      </c>
      <c r="I383" s="68">
        <v>5</v>
      </c>
      <c r="J383" s="68">
        <v>0.2</v>
      </c>
      <c r="K383" s="68">
        <v>0</v>
      </c>
      <c r="L383" s="110">
        <f t="shared" si="88"/>
        <v>0</v>
      </c>
      <c r="M383" s="67">
        <f t="shared" si="89"/>
        <v>1777000</v>
      </c>
      <c r="N383" s="110">
        <f t="shared" si="91"/>
        <v>1000</v>
      </c>
      <c r="O383" s="68" t="s">
        <v>341</v>
      </c>
      <c r="P383" s="555">
        <v>2</v>
      </c>
      <c r="Q383" s="592"/>
      <c r="R383" s="23"/>
      <c r="S383" s="10">
        <f t="shared" si="79"/>
        <v>88900</v>
      </c>
      <c r="T383" s="10">
        <f t="shared" si="80"/>
        <v>-87900</v>
      </c>
      <c r="U383" s="10">
        <f t="shared" si="86"/>
        <v>0</v>
      </c>
      <c r="V383" s="10">
        <f t="shared" si="81"/>
        <v>355600</v>
      </c>
      <c r="W383" s="10">
        <f t="shared" si="87"/>
        <v>0</v>
      </c>
      <c r="X383" s="10">
        <f t="shared" si="83"/>
        <v>0</v>
      </c>
    </row>
    <row r="384" spans="1:24" s="9" customFormat="1" ht="13.5" customHeight="1" x14ac:dyDescent="0.2">
      <c r="A384" s="64">
        <f t="shared" si="84"/>
        <v>380</v>
      </c>
      <c r="B384" s="65" t="s">
        <v>2237</v>
      </c>
      <c r="C384" s="163">
        <v>40359</v>
      </c>
      <c r="D384" s="175">
        <v>5750000</v>
      </c>
      <c r="E384" s="175"/>
      <c r="F384" s="67">
        <f t="shared" si="90"/>
        <v>5750000</v>
      </c>
      <c r="G384" s="67">
        <v>5749000</v>
      </c>
      <c r="H384" s="67">
        <f t="shared" si="85"/>
        <v>1000</v>
      </c>
      <c r="I384" s="68">
        <v>5</v>
      </c>
      <c r="J384" s="68">
        <v>0.2</v>
      </c>
      <c r="K384" s="68">
        <v>0</v>
      </c>
      <c r="L384" s="110">
        <f t="shared" si="88"/>
        <v>0</v>
      </c>
      <c r="M384" s="67">
        <f t="shared" si="89"/>
        <v>5749000</v>
      </c>
      <c r="N384" s="110">
        <f t="shared" si="91"/>
        <v>1000</v>
      </c>
      <c r="O384" s="68" t="s">
        <v>341</v>
      </c>
      <c r="P384" s="555">
        <v>50</v>
      </c>
      <c r="Q384" s="592"/>
      <c r="R384" s="23"/>
      <c r="S384" s="10">
        <f t="shared" si="79"/>
        <v>287500</v>
      </c>
      <c r="T384" s="10">
        <f t="shared" si="80"/>
        <v>-286500</v>
      </c>
      <c r="U384" s="10">
        <f t="shared" si="86"/>
        <v>0</v>
      </c>
      <c r="V384" s="10">
        <f t="shared" si="81"/>
        <v>1150000</v>
      </c>
      <c r="W384" s="10">
        <f t="shared" si="87"/>
        <v>0</v>
      </c>
      <c r="X384" s="10">
        <f t="shared" si="83"/>
        <v>0</v>
      </c>
    </row>
    <row r="385" spans="1:24" s="9" customFormat="1" ht="13.5" customHeight="1" x14ac:dyDescent="0.2">
      <c r="A385" s="64">
        <f t="shared" si="84"/>
        <v>381</v>
      </c>
      <c r="B385" s="204" t="s">
        <v>2238</v>
      </c>
      <c r="C385" s="163">
        <v>40367</v>
      </c>
      <c r="D385" s="175">
        <v>2530000</v>
      </c>
      <c r="E385" s="249"/>
      <c r="F385" s="67">
        <f t="shared" si="90"/>
        <v>2530000</v>
      </c>
      <c r="G385" s="67">
        <v>2529000</v>
      </c>
      <c r="H385" s="67">
        <f t="shared" si="85"/>
        <v>1000</v>
      </c>
      <c r="I385" s="68">
        <v>5</v>
      </c>
      <c r="J385" s="68">
        <v>0.2</v>
      </c>
      <c r="K385" s="68">
        <v>0</v>
      </c>
      <c r="L385" s="110">
        <f t="shared" si="88"/>
        <v>0</v>
      </c>
      <c r="M385" s="67">
        <f t="shared" si="89"/>
        <v>2529000</v>
      </c>
      <c r="N385" s="110">
        <f t="shared" si="91"/>
        <v>1000</v>
      </c>
      <c r="O385" s="145" t="s">
        <v>2239</v>
      </c>
      <c r="P385" s="243">
        <v>1</v>
      </c>
      <c r="Q385" s="592"/>
      <c r="R385" s="23"/>
      <c r="S385" s="10">
        <f t="shared" si="79"/>
        <v>126500</v>
      </c>
      <c r="T385" s="10">
        <f t="shared" si="80"/>
        <v>-125500</v>
      </c>
      <c r="U385" s="10">
        <f t="shared" si="86"/>
        <v>0</v>
      </c>
      <c r="V385" s="10">
        <f t="shared" si="81"/>
        <v>506000</v>
      </c>
      <c r="W385" s="10">
        <f t="shared" si="87"/>
        <v>0</v>
      </c>
      <c r="X385" s="10">
        <f t="shared" si="83"/>
        <v>0</v>
      </c>
    </row>
    <row r="386" spans="1:24" s="9" customFormat="1" ht="13.5" customHeight="1" x14ac:dyDescent="0.2">
      <c r="A386" s="64">
        <f t="shared" si="84"/>
        <v>382</v>
      </c>
      <c r="B386" s="204" t="s">
        <v>2240</v>
      </c>
      <c r="C386" s="163">
        <v>40374</v>
      </c>
      <c r="D386" s="175">
        <v>13970000</v>
      </c>
      <c r="E386" s="249"/>
      <c r="F386" s="67">
        <f t="shared" si="90"/>
        <v>13970000</v>
      </c>
      <c r="G386" s="67">
        <v>13969000</v>
      </c>
      <c r="H386" s="67">
        <f t="shared" si="85"/>
        <v>1000</v>
      </c>
      <c r="I386" s="68">
        <v>5</v>
      </c>
      <c r="J386" s="68">
        <v>0.2</v>
      </c>
      <c r="K386" s="68">
        <v>0</v>
      </c>
      <c r="L386" s="110">
        <f t="shared" si="88"/>
        <v>0</v>
      </c>
      <c r="M386" s="67">
        <f t="shared" si="89"/>
        <v>13969000</v>
      </c>
      <c r="N386" s="110">
        <f t="shared" si="91"/>
        <v>1000</v>
      </c>
      <c r="O386" s="145" t="s">
        <v>2241</v>
      </c>
      <c r="P386" s="243">
        <v>1</v>
      </c>
      <c r="Q386" s="592"/>
      <c r="R386" s="23"/>
      <c r="S386" s="10">
        <f t="shared" si="79"/>
        <v>698500</v>
      </c>
      <c r="T386" s="10">
        <f t="shared" si="80"/>
        <v>-697500</v>
      </c>
      <c r="U386" s="10">
        <f t="shared" si="86"/>
        <v>0</v>
      </c>
      <c r="V386" s="10">
        <f t="shared" si="81"/>
        <v>2794000</v>
      </c>
      <c r="W386" s="10">
        <f t="shared" si="87"/>
        <v>0</v>
      </c>
      <c r="X386" s="10">
        <f t="shared" si="83"/>
        <v>0</v>
      </c>
    </row>
    <row r="387" spans="1:24" s="9" customFormat="1" ht="13.5" customHeight="1" x14ac:dyDescent="0.2">
      <c r="A387" s="64">
        <f t="shared" si="84"/>
        <v>383</v>
      </c>
      <c r="B387" s="204" t="s">
        <v>2237</v>
      </c>
      <c r="C387" s="163">
        <v>40384</v>
      </c>
      <c r="D387" s="175">
        <v>3450000</v>
      </c>
      <c r="E387" s="249"/>
      <c r="F387" s="67">
        <f t="shared" si="90"/>
        <v>3450000</v>
      </c>
      <c r="G387" s="67">
        <v>3449000</v>
      </c>
      <c r="H387" s="67">
        <f t="shared" si="85"/>
        <v>1000</v>
      </c>
      <c r="I387" s="68">
        <v>5</v>
      </c>
      <c r="J387" s="68">
        <v>0.2</v>
      </c>
      <c r="K387" s="68">
        <v>0</v>
      </c>
      <c r="L387" s="110">
        <f t="shared" si="88"/>
        <v>0</v>
      </c>
      <c r="M387" s="67">
        <f t="shared" si="89"/>
        <v>3449000</v>
      </c>
      <c r="N387" s="110">
        <f t="shared" si="91"/>
        <v>1000</v>
      </c>
      <c r="O387" s="145" t="s">
        <v>341</v>
      </c>
      <c r="P387" s="243">
        <v>30</v>
      </c>
      <c r="Q387" s="592"/>
      <c r="R387" s="23"/>
      <c r="S387" s="10">
        <f t="shared" si="79"/>
        <v>172500</v>
      </c>
      <c r="T387" s="10">
        <f t="shared" si="80"/>
        <v>-171500</v>
      </c>
      <c r="U387" s="10">
        <f t="shared" si="86"/>
        <v>0</v>
      </c>
      <c r="V387" s="10">
        <f t="shared" si="81"/>
        <v>690000</v>
      </c>
      <c r="W387" s="10">
        <f t="shared" si="87"/>
        <v>0</v>
      </c>
      <c r="X387" s="10">
        <f t="shared" si="83"/>
        <v>0</v>
      </c>
    </row>
    <row r="388" spans="1:24" s="9" customFormat="1" ht="13.5" customHeight="1" x14ac:dyDescent="0.2">
      <c r="A388" s="64">
        <f t="shared" si="84"/>
        <v>384</v>
      </c>
      <c r="B388" s="204" t="s">
        <v>2242</v>
      </c>
      <c r="C388" s="163">
        <v>40384</v>
      </c>
      <c r="D388" s="175">
        <v>2050000</v>
      </c>
      <c r="E388" s="249"/>
      <c r="F388" s="67">
        <f t="shared" si="90"/>
        <v>2050000</v>
      </c>
      <c r="G388" s="67">
        <v>2049000</v>
      </c>
      <c r="H388" s="67">
        <f t="shared" si="85"/>
        <v>1000</v>
      </c>
      <c r="I388" s="68">
        <v>5</v>
      </c>
      <c r="J388" s="68">
        <v>0.2</v>
      </c>
      <c r="K388" s="68">
        <v>0</v>
      </c>
      <c r="L388" s="110">
        <f t="shared" si="88"/>
        <v>0</v>
      </c>
      <c r="M388" s="67">
        <f t="shared" si="89"/>
        <v>2049000</v>
      </c>
      <c r="N388" s="110">
        <f t="shared" si="91"/>
        <v>1000</v>
      </c>
      <c r="O388" s="145" t="s">
        <v>341</v>
      </c>
      <c r="P388" s="243">
        <v>1</v>
      </c>
      <c r="Q388" s="592"/>
      <c r="R388" s="23"/>
      <c r="S388" s="10">
        <f t="shared" si="79"/>
        <v>102500</v>
      </c>
      <c r="T388" s="10">
        <f t="shared" si="80"/>
        <v>-101500</v>
      </c>
      <c r="U388" s="10">
        <f t="shared" si="86"/>
        <v>0</v>
      </c>
      <c r="V388" s="10">
        <f t="shared" si="81"/>
        <v>410000</v>
      </c>
      <c r="W388" s="10">
        <f t="shared" si="87"/>
        <v>0</v>
      </c>
      <c r="X388" s="10">
        <f t="shared" si="83"/>
        <v>0</v>
      </c>
    </row>
    <row r="389" spans="1:24" s="9" customFormat="1" ht="13.5" customHeight="1" x14ac:dyDescent="0.2">
      <c r="A389" s="64">
        <f t="shared" si="84"/>
        <v>385</v>
      </c>
      <c r="B389" s="204" t="s">
        <v>2243</v>
      </c>
      <c r="C389" s="163">
        <v>40384</v>
      </c>
      <c r="D389" s="175">
        <v>3160000</v>
      </c>
      <c r="E389" s="249"/>
      <c r="F389" s="67">
        <f t="shared" si="90"/>
        <v>3160000</v>
      </c>
      <c r="G389" s="67">
        <v>3159000</v>
      </c>
      <c r="H389" s="67">
        <f t="shared" si="85"/>
        <v>1000</v>
      </c>
      <c r="I389" s="68">
        <v>5</v>
      </c>
      <c r="J389" s="68">
        <v>0.2</v>
      </c>
      <c r="K389" s="68">
        <v>0</v>
      </c>
      <c r="L389" s="110">
        <f t="shared" si="88"/>
        <v>0</v>
      </c>
      <c r="M389" s="67">
        <f t="shared" si="89"/>
        <v>3159000</v>
      </c>
      <c r="N389" s="110">
        <f t="shared" si="91"/>
        <v>1000</v>
      </c>
      <c r="O389" s="145" t="s">
        <v>341</v>
      </c>
      <c r="P389" s="243">
        <v>4</v>
      </c>
      <c r="Q389" s="592"/>
      <c r="R389" s="23"/>
      <c r="S389" s="10">
        <f t="shared" ref="S389:S447" si="92">D389*0.05</f>
        <v>158000</v>
      </c>
      <c r="T389" s="10">
        <f t="shared" ref="T389:T452" si="93">N389-S389</f>
        <v>-157000</v>
      </c>
      <c r="U389" s="10">
        <f t="shared" si="86"/>
        <v>0</v>
      </c>
      <c r="V389" s="10">
        <f t="shared" ref="V389:V452" si="94">F389/I389</f>
        <v>632000</v>
      </c>
      <c r="W389" s="10">
        <f t="shared" si="87"/>
        <v>0</v>
      </c>
      <c r="X389" s="10">
        <f t="shared" ref="X389:X452" si="95">L389-W389</f>
        <v>0</v>
      </c>
    </row>
    <row r="390" spans="1:24" s="9" customFormat="1" ht="13.5" customHeight="1" x14ac:dyDescent="0.2">
      <c r="A390" s="64">
        <f t="shared" ref="A390:A453" si="96">A389+1</f>
        <v>386</v>
      </c>
      <c r="B390" s="204" t="s">
        <v>2244</v>
      </c>
      <c r="C390" s="163">
        <v>40384</v>
      </c>
      <c r="D390" s="175">
        <v>1620000</v>
      </c>
      <c r="E390" s="249"/>
      <c r="F390" s="67">
        <f t="shared" si="90"/>
        <v>1620000</v>
      </c>
      <c r="G390" s="67">
        <v>1619000</v>
      </c>
      <c r="H390" s="67">
        <f t="shared" si="85"/>
        <v>1000</v>
      </c>
      <c r="I390" s="68">
        <v>5</v>
      </c>
      <c r="J390" s="68">
        <v>0.2</v>
      </c>
      <c r="K390" s="68">
        <v>0</v>
      </c>
      <c r="L390" s="110">
        <f t="shared" si="88"/>
        <v>0</v>
      </c>
      <c r="M390" s="67">
        <f t="shared" si="89"/>
        <v>1619000</v>
      </c>
      <c r="N390" s="110">
        <f t="shared" si="91"/>
        <v>1000</v>
      </c>
      <c r="O390" s="145" t="s">
        <v>341</v>
      </c>
      <c r="P390" s="243">
        <v>2</v>
      </c>
      <c r="Q390" s="592"/>
      <c r="R390" s="23"/>
      <c r="S390" s="10">
        <f t="shared" si="92"/>
        <v>81000</v>
      </c>
      <c r="T390" s="10">
        <f t="shared" si="93"/>
        <v>-80000</v>
      </c>
      <c r="U390" s="10">
        <f t="shared" si="86"/>
        <v>0</v>
      </c>
      <c r="V390" s="10">
        <f t="shared" si="94"/>
        <v>324000</v>
      </c>
      <c r="W390" s="10">
        <f t="shared" si="87"/>
        <v>0</v>
      </c>
      <c r="X390" s="10">
        <f t="shared" si="95"/>
        <v>0</v>
      </c>
    </row>
    <row r="391" spans="1:24" s="9" customFormat="1" ht="13.5" customHeight="1" x14ac:dyDescent="0.2">
      <c r="A391" s="64">
        <f t="shared" si="96"/>
        <v>387</v>
      </c>
      <c r="B391" s="204" t="s">
        <v>2245</v>
      </c>
      <c r="C391" s="163">
        <v>40384</v>
      </c>
      <c r="D391" s="175">
        <v>900000</v>
      </c>
      <c r="E391" s="249"/>
      <c r="F391" s="67">
        <f t="shared" si="90"/>
        <v>900000</v>
      </c>
      <c r="G391" s="67">
        <v>899000</v>
      </c>
      <c r="H391" s="67">
        <f t="shared" ref="H391:H454" si="97">+F391-G391</f>
        <v>1000</v>
      </c>
      <c r="I391" s="68">
        <v>5</v>
      </c>
      <c r="J391" s="68">
        <v>0.2</v>
      </c>
      <c r="K391" s="68">
        <v>0</v>
      </c>
      <c r="L391" s="110">
        <f t="shared" si="88"/>
        <v>0</v>
      </c>
      <c r="M391" s="67">
        <f t="shared" si="89"/>
        <v>899000</v>
      </c>
      <c r="N391" s="110">
        <f t="shared" si="91"/>
        <v>1000</v>
      </c>
      <c r="O391" s="145" t="s">
        <v>341</v>
      </c>
      <c r="P391" s="243">
        <v>2</v>
      </c>
      <c r="Q391" s="592"/>
      <c r="R391" s="23"/>
      <c r="S391" s="10">
        <f t="shared" si="92"/>
        <v>45000</v>
      </c>
      <c r="T391" s="10">
        <f t="shared" si="93"/>
        <v>-44000</v>
      </c>
      <c r="U391" s="10">
        <f t="shared" ref="U391:U454" si="98">N391-1000</f>
        <v>0</v>
      </c>
      <c r="V391" s="10">
        <f t="shared" si="94"/>
        <v>180000</v>
      </c>
      <c r="W391" s="10">
        <f t="shared" si="87"/>
        <v>0</v>
      </c>
      <c r="X391" s="10">
        <f t="shared" si="95"/>
        <v>0</v>
      </c>
    </row>
    <row r="392" spans="1:24" s="9" customFormat="1" ht="13.5" customHeight="1" x14ac:dyDescent="0.2">
      <c r="A392" s="64">
        <f t="shared" si="96"/>
        <v>388</v>
      </c>
      <c r="B392" s="204" t="s">
        <v>2246</v>
      </c>
      <c r="C392" s="163">
        <v>40384</v>
      </c>
      <c r="D392" s="175">
        <v>320000</v>
      </c>
      <c r="E392" s="249"/>
      <c r="F392" s="67">
        <f t="shared" si="90"/>
        <v>320000</v>
      </c>
      <c r="G392" s="67">
        <v>319000</v>
      </c>
      <c r="H392" s="67">
        <f t="shared" si="97"/>
        <v>1000</v>
      </c>
      <c r="I392" s="68">
        <v>5</v>
      </c>
      <c r="J392" s="68">
        <v>0.2</v>
      </c>
      <c r="K392" s="68">
        <v>0</v>
      </c>
      <c r="L392" s="110">
        <f t="shared" si="88"/>
        <v>0</v>
      </c>
      <c r="M392" s="67">
        <f t="shared" si="89"/>
        <v>319000</v>
      </c>
      <c r="N392" s="110">
        <f t="shared" si="91"/>
        <v>1000</v>
      </c>
      <c r="O392" s="145" t="s">
        <v>341</v>
      </c>
      <c r="P392" s="243">
        <v>1</v>
      </c>
      <c r="Q392" s="592"/>
      <c r="R392" s="23"/>
      <c r="S392" s="10">
        <f t="shared" si="92"/>
        <v>16000</v>
      </c>
      <c r="T392" s="10">
        <f t="shared" si="93"/>
        <v>-15000</v>
      </c>
      <c r="U392" s="10">
        <f t="shared" si="98"/>
        <v>0</v>
      </c>
      <c r="V392" s="10">
        <f t="shared" si="94"/>
        <v>64000</v>
      </c>
      <c r="W392" s="10">
        <f t="shared" si="87"/>
        <v>0</v>
      </c>
      <c r="X392" s="10">
        <f t="shared" si="95"/>
        <v>0</v>
      </c>
    </row>
    <row r="393" spans="1:24" s="9" customFormat="1" ht="13.5" customHeight="1" x14ac:dyDescent="0.2">
      <c r="A393" s="64">
        <f t="shared" si="96"/>
        <v>389</v>
      </c>
      <c r="B393" s="204" t="s">
        <v>2247</v>
      </c>
      <c r="C393" s="163">
        <v>40384</v>
      </c>
      <c r="D393" s="175">
        <v>1160000</v>
      </c>
      <c r="E393" s="249"/>
      <c r="F393" s="67">
        <f t="shared" si="90"/>
        <v>1160000</v>
      </c>
      <c r="G393" s="67">
        <v>1159000</v>
      </c>
      <c r="H393" s="67">
        <f t="shared" si="97"/>
        <v>1000</v>
      </c>
      <c r="I393" s="68">
        <v>5</v>
      </c>
      <c r="J393" s="68">
        <v>0.2</v>
      </c>
      <c r="K393" s="68">
        <v>0</v>
      </c>
      <c r="L393" s="110">
        <f t="shared" si="88"/>
        <v>0</v>
      </c>
      <c r="M393" s="67">
        <f t="shared" si="89"/>
        <v>1159000</v>
      </c>
      <c r="N393" s="110">
        <f t="shared" si="91"/>
        <v>1000</v>
      </c>
      <c r="O393" s="145" t="s">
        <v>341</v>
      </c>
      <c r="P393" s="243">
        <v>4</v>
      </c>
      <c r="Q393" s="592"/>
      <c r="R393" s="23"/>
      <c r="S393" s="10">
        <f t="shared" si="92"/>
        <v>58000</v>
      </c>
      <c r="T393" s="10">
        <f t="shared" si="93"/>
        <v>-57000</v>
      </c>
      <c r="U393" s="10">
        <f t="shared" si="98"/>
        <v>0</v>
      </c>
      <c r="V393" s="10">
        <f t="shared" si="94"/>
        <v>232000</v>
      </c>
      <c r="W393" s="10">
        <f t="shared" si="87"/>
        <v>0</v>
      </c>
      <c r="X393" s="10">
        <f t="shared" si="95"/>
        <v>0</v>
      </c>
    </row>
    <row r="394" spans="1:24" s="9" customFormat="1" ht="13.5" customHeight="1" x14ac:dyDescent="0.2">
      <c r="A394" s="64">
        <f t="shared" si="96"/>
        <v>390</v>
      </c>
      <c r="B394" s="204" t="s">
        <v>2216</v>
      </c>
      <c r="C394" s="163">
        <v>40384</v>
      </c>
      <c r="D394" s="175">
        <v>4680000</v>
      </c>
      <c r="E394" s="249"/>
      <c r="F394" s="67">
        <f t="shared" si="90"/>
        <v>4680000</v>
      </c>
      <c r="G394" s="67">
        <v>4679000</v>
      </c>
      <c r="H394" s="67">
        <f t="shared" si="97"/>
        <v>1000</v>
      </c>
      <c r="I394" s="68">
        <v>5</v>
      </c>
      <c r="J394" s="68">
        <v>0.2</v>
      </c>
      <c r="K394" s="68">
        <v>0</v>
      </c>
      <c r="L394" s="110">
        <f t="shared" si="88"/>
        <v>0</v>
      </c>
      <c r="M394" s="67">
        <f t="shared" si="89"/>
        <v>4679000</v>
      </c>
      <c r="N394" s="110">
        <f t="shared" si="91"/>
        <v>1000</v>
      </c>
      <c r="O394" s="145" t="s">
        <v>341</v>
      </c>
      <c r="P394" s="243">
        <v>12</v>
      </c>
      <c r="Q394" s="592"/>
      <c r="R394" s="23"/>
      <c r="S394" s="10">
        <f t="shared" si="92"/>
        <v>234000</v>
      </c>
      <c r="T394" s="10">
        <f t="shared" si="93"/>
        <v>-233000</v>
      </c>
      <c r="U394" s="10">
        <f t="shared" si="98"/>
        <v>0</v>
      </c>
      <c r="V394" s="10">
        <f t="shared" si="94"/>
        <v>936000</v>
      </c>
      <c r="W394" s="10">
        <f t="shared" si="87"/>
        <v>0</v>
      </c>
      <c r="X394" s="10">
        <f t="shared" si="95"/>
        <v>0</v>
      </c>
    </row>
    <row r="395" spans="1:24" s="9" customFormat="1" ht="13.5" customHeight="1" x14ac:dyDescent="0.2">
      <c r="A395" s="64">
        <f t="shared" si="96"/>
        <v>391</v>
      </c>
      <c r="B395" s="204" t="s">
        <v>2248</v>
      </c>
      <c r="C395" s="163">
        <v>40388</v>
      </c>
      <c r="D395" s="175">
        <v>1235000</v>
      </c>
      <c r="E395" s="249"/>
      <c r="F395" s="67">
        <f t="shared" si="90"/>
        <v>1235000</v>
      </c>
      <c r="G395" s="67">
        <v>1234000</v>
      </c>
      <c r="H395" s="67">
        <f t="shared" si="97"/>
        <v>1000</v>
      </c>
      <c r="I395" s="68">
        <v>5</v>
      </c>
      <c r="J395" s="68">
        <v>0.2</v>
      </c>
      <c r="K395" s="68">
        <v>0</v>
      </c>
      <c r="L395" s="110">
        <f t="shared" si="88"/>
        <v>0</v>
      </c>
      <c r="M395" s="67">
        <f t="shared" si="89"/>
        <v>1234000</v>
      </c>
      <c r="N395" s="110">
        <f t="shared" si="91"/>
        <v>1000</v>
      </c>
      <c r="O395" s="145" t="s">
        <v>2177</v>
      </c>
      <c r="P395" s="243">
        <v>13</v>
      </c>
      <c r="Q395" s="592"/>
      <c r="R395" s="23"/>
      <c r="S395" s="10">
        <f t="shared" si="92"/>
        <v>61750</v>
      </c>
      <c r="T395" s="10">
        <f t="shared" si="93"/>
        <v>-60750</v>
      </c>
      <c r="U395" s="10">
        <f t="shared" si="98"/>
        <v>0</v>
      </c>
      <c r="V395" s="10">
        <f t="shared" si="94"/>
        <v>247000</v>
      </c>
      <c r="W395" s="10">
        <f t="shared" si="87"/>
        <v>0</v>
      </c>
      <c r="X395" s="10">
        <f t="shared" si="95"/>
        <v>0</v>
      </c>
    </row>
    <row r="396" spans="1:24" s="9" customFormat="1" ht="13.5" customHeight="1" x14ac:dyDescent="0.2">
      <c r="A396" s="64">
        <f t="shared" si="96"/>
        <v>392</v>
      </c>
      <c r="B396" s="204" t="s">
        <v>1855</v>
      </c>
      <c r="C396" s="163">
        <v>40388</v>
      </c>
      <c r="D396" s="175">
        <v>550000</v>
      </c>
      <c r="E396" s="249"/>
      <c r="F396" s="67">
        <f t="shared" si="90"/>
        <v>550000</v>
      </c>
      <c r="G396" s="67">
        <v>549000</v>
      </c>
      <c r="H396" s="67">
        <f t="shared" si="97"/>
        <v>1000</v>
      </c>
      <c r="I396" s="68">
        <v>5</v>
      </c>
      <c r="J396" s="68">
        <v>0.2</v>
      </c>
      <c r="K396" s="68">
        <v>0</v>
      </c>
      <c r="L396" s="110">
        <f t="shared" si="88"/>
        <v>0</v>
      </c>
      <c r="M396" s="67">
        <f t="shared" si="89"/>
        <v>549000</v>
      </c>
      <c r="N396" s="110">
        <f t="shared" si="91"/>
        <v>1000</v>
      </c>
      <c r="O396" s="145" t="s">
        <v>2177</v>
      </c>
      <c r="P396" s="243">
        <v>10</v>
      </c>
      <c r="Q396" s="592"/>
      <c r="R396" s="23"/>
      <c r="S396" s="10">
        <f t="shared" si="92"/>
        <v>27500</v>
      </c>
      <c r="T396" s="10">
        <f t="shared" si="93"/>
        <v>-26500</v>
      </c>
      <c r="U396" s="10">
        <f t="shared" si="98"/>
        <v>0</v>
      </c>
      <c r="V396" s="10">
        <f t="shared" si="94"/>
        <v>110000</v>
      </c>
      <c r="W396" s="10">
        <f t="shared" si="87"/>
        <v>0</v>
      </c>
      <c r="X396" s="10">
        <f t="shared" si="95"/>
        <v>0</v>
      </c>
    </row>
    <row r="397" spans="1:24" s="9" customFormat="1" ht="13.5" customHeight="1" x14ac:dyDescent="0.2">
      <c r="A397" s="64">
        <f t="shared" si="96"/>
        <v>393</v>
      </c>
      <c r="B397" s="204" t="s">
        <v>2249</v>
      </c>
      <c r="C397" s="163">
        <v>40388</v>
      </c>
      <c r="D397" s="175">
        <v>1040000</v>
      </c>
      <c r="E397" s="249"/>
      <c r="F397" s="67">
        <f t="shared" si="90"/>
        <v>1040000</v>
      </c>
      <c r="G397" s="67">
        <v>1039000</v>
      </c>
      <c r="H397" s="67">
        <f t="shared" si="97"/>
        <v>1000</v>
      </c>
      <c r="I397" s="68">
        <v>5</v>
      </c>
      <c r="J397" s="68">
        <v>0.2</v>
      </c>
      <c r="K397" s="68">
        <v>0</v>
      </c>
      <c r="L397" s="110">
        <f t="shared" si="88"/>
        <v>0</v>
      </c>
      <c r="M397" s="67">
        <f t="shared" si="89"/>
        <v>1039000</v>
      </c>
      <c r="N397" s="110">
        <f t="shared" si="91"/>
        <v>1000</v>
      </c>
      <c r="O397" s="145" t="s">
        <v>2177</v>
      </c>
      <c r="P397" s="243">
        <v>13</v>
      </c>
      <c r="Q397" s="592"/>
      <c r="R397" s="23"/>
      <c r="S397" s="10">
        <f t="shared" si="92"/>
        <v>52000</v>
      </c>
      <c r="T397" s="10">
        <f t="shared" si="93"/>
        <v>-51000</v>
      </c>
      <c r="U397" s="10">
        <f t="shared" si="98"/>
        <v>0</v>
      </c>
      <c r="V397" s="10">
        <f t="shared" si="94"/>
        <v>208000</v>
      </c>
      <c r="W397" s="10">
        <f t="shared" si="87"/>
        <v>0</v>
      </c>
      <c r="X397" s="10">
        <f t="shared" si="95"/>
        <v>0</v>
      </c>
    </row>
    <row r="398" spans="1:24" s="9" customFormat="1" ht="13.5" customHeight="1" x14ac:dyDescent="0.2">
      <c r="A398" s="64">
        <f t="shared" si="96"/>
        <v>394</v>
      </c>
      <c r="B398" s="204" t="s">
        <v>2250</v>
      </c>
      <c r="C398" s="163">
        <v>40388</v>
      </c>
      <c r="D398" s="175">
        <v>345000</v>
      </c>
      <c r="E398" s="249"/>
      <c r="F398" s="67">
        <f t="shared" si="90"/>
        <v>345000</v>
      </c>
      <c r="G398" s="67">
        <v>344000</v>
      </c>
      <c r="H398" s="67">
        <f t="shared" si="97"/>
        <v>1000</v>
      </c>
      <c r="I398" s="68">
        <v>5</v>
      </c>
      <c r="J398" s="68">
        <v>0.2</v>
      </c>
      <c r="K398" s="68">
        <v>0</v>
      </c>
      <c r="L398" s="110">
        <f t="shared" si="88"/>
        <v>0</v>
      </c>
      <c r="M398" s="67">
        <f t="shared" si="89"/>
        <v>344000</v>
      </c>
      <c r="N398" s="110">
        <f t="shared" si="91"/>
        <v>1000</v>
      </c>
      <c r="O398" s="145" t="s">
        <v>2177</v>
      </c>
      <c r="P398" s="243">
        <v>3</v>
      </c>
      <c r="Q398" s="592"/>
      <c r="R398" s="23"/>
      <c r="S398" s="10">
        <f t="shared" si="92"/>
        <v>17250</v>
      </c>
      <c r="T398" s="10">
        <f t="shared" si="93"/>
        <v>-16250</v>
      </c>
      <c r="U398" s="10">
        <f t="shared" si="98"/>
        <v>0</v>
      </c>
      <c r="V398" s="10">
        <f t="shared" si="94"/>
        <v>69000</v>
      </c>
      <c r="W398" s="10">
        <f t="shared" si="87"/>
        <v>0</v>
      </c>
      <c r="X398" s="10">
        <f t="shared" si="95"/>
        <v>0</v>
      </c>
    </row>
    <row r="399" spans="1:24" s="9" customFormat="1" ht="13.5" customHeight="1" x14ac:dyDescent="0.2">
      <c r="A399" s="64">
        <f t="shared" si="96"/>
        <v>395</v>
      </c>
      <c r="B399" s="204" t="s">
        <v>2251</v>
      </c>
      <c r="C399" s="163">
        <v>40388</v>
      </c>
      <c r="D399" s="175">
        <v>65000</v>
      </c>
      <c r="E399" s="249"/>
      <c r="F399" s="67">
        <f t="shared" si="90"/>
        <v>65000</v>
      </c>
      <c r="G399" s="67">
        <v>64000</v>
      </c>
      <c r="H399" s="67">
        <f t="shared" si="97"/>
        <v>1000</v>
      </c>
      <c r="I399" s="68">
        <v>5</v>
      </c>
      <c r="J399" s="68">
        <v>0.2</v>
      </c>
      <c r="K399" s="68">
        <v>0</v>
      </c>
      <c r="L399" s="110">
        <f t="shared" si="88"/>
        <v>0</v>
      </c>
      <c r="M399" s="67">
        <f t="shared" si="89"/>
        <v>64000</v>
      </c>
      <c r="N399" s="110">
        <f t="shared" si="91"/>
        <v>1000</v>
      </c>
      <c r="O399" s="145" t="s">
        <v>2177</v>
      </c>
      <c r="P399" s="243">
        <v>1</v>
      </c>
      <c r="Q399" s="592"/>
      <c r="R399" s="23"/>
      <c r="S399" s="10">
        <f t="shared" si="92"/>
        <v>3250</v>
      </c>
      <c r="T399" s="10">
        <f t="shared" si="93"/>
        <v>-2250</v>
      </c>
      <c r="U399" s="10">
        <f t="shared" si="98"/>
        <v>0</v>
      </c>
      <c r="V399" s="10">
        <f t="shared" si="94"/>
        <v>13000</v>
      </c>
      <c r="W399" s="10">
        <f t="shared" si="87"/>
        <v>0</v>
      </c>
      <c r="X399" s="10">
        <f t="shared" si="95"/>
        <v>0</v>
      </c>
    </row>
    <row r="400" spans="1:24" s="9" customFormat="1" ht="13.5" customHeight="1" x14ac:dyDescent="0.2">
      <c r="A400" s="64">
        <f t="shared" si="96"/>
        <v>396</v>
      </c>
      <c r="B400" s="204" t="s">
        <v>2252</v>
      </c>
      <c r="C400" s="163">
        <v>40388</v>
      </c>
      <c r="D400" s="175">
        <v>255000</v>
      </c>
      <c r="E400" s="249"/>
      <c r="F400" s="67">
        <f t="shared" si="90"/>
        <v>255000</v>
      </c>
      <c r="G400" s="67">
        <v>254000</v>
      </c>
      <c r="H400" s="67">
        <f t="shared" si="97"/>
        <v>1000</v>
      </c>
      <c r="I400" s="68">
        <v>5</v>
      </c>
      <c r="J400" s="68">
        <v>0.2</v>
      </c>
      <c r="K400" s="68">
        <v>0</v>
      </c>
      <c r="L400" s="110">
        <f t="shared" si="88"/>
        <v>0</v>
      </c>
      <c r="M400" s="67">
        <f t="shared" si="89"/>
        <v>254000</v>
      </c>
      <c r="N400" s="110">
        <f t="shared" si="91"/>
        <v>1000</v>
      </c>
      <c r="O400" s="145" t="s">
        <v>2177</v>
      </c>
      <c r="P400" s="243">
        <v>3</v>
      </c>
      <c r="Q400" s="592"/>
      <c r="R400" s="23"/>
      <c r="S400" s="10">
        <f t="shared" si="92"/>
        <v>12750</v>
      </c>
      <c r="T400" s="10">
        <f t="shared" si="93"/>
        <v>-11750</v>
      </c>
      <c r="U400" s="10">
        <f t="shared" si="98"/>
        <v>0</v>
      </c>
      <c r="V400" s="10">
        <f t="shared" si="94"/>
        <v>51000</v>
      </c>
      <c r="W400" s="10">
        <f t="shared" si="87"/>
        <v>0</v>
      </c>
      <c r="X400" s="10">
        <f t="shared" si="95"/>
        <v>0</v>
      </c>
    </row>
    <row r="401" spans="1:24" s="9" customFormat="1" ht="13.5" customHeight="1" x14ac:dyDescent="0.2">
      <c r="A401" s="64">
        <f t="shared" si="96"/>
        <v>397</v>
      </c>
      <c r="B401" s="204" t="s">
        <v>2253</v>
      </c>
      <c r="C401" s="163">
        <v>40388</v>
      </c>
      <c r="D401" s="175">
        <v>580000</v>
      </c>
      <c r="E401" s="249"/>
      <c r="F401" s="67">
        <f t="shared" si="90"/>
        <v>580000</v>
      </c>
      <c r="G401" s="67">
        <v>579000</v>
      </c>
      <c r="H401" s="67">
        <f t="shared" si="97"/>
        <v>1000</v>
      </c>
      <c r="I401" s="68">
        <v>5</v>
      </c>
      <c r="J401" s="68">
        <v>0.2</v>
      </c>
      <c r="K401" s="68">
        <v>0</v>
      </c>
      <c r="L401" s="110">
        <f t="shared" si="88"/>
        <v>0</v>
      </c>
      <c r="M401" s="67">
        <f t="shared" si="89"/>
        <v>579000</v>
      </c>
      <c r="N401" s="110">
        <f t="shared" si="91"/>
        <v>1000</v>
      </c>
      <c r="O401" s="145" t="s">
        <v>2177</v>
      </c>
      <c r="P401" s="243">
        <v>4</v>
      </c>
      <c r="Q401" s="592"/>
      <c r="R401" s="23"/>
      <c r="S401" s="10">
        <f t="shared" si="92"/>
        <v>29000</v>
      </c>
      <c r="T401" s="10">
        <f t="shared" si="93"/>
        <v>-28000</v>
      </c>
      <c r="U401" s="10">
        <f t="shared" si="98"/>
        <v>0</v>
      </c>
      <c r="V401" s="10">
        <f t="shared" si="94"/>
        <v>116000</v>
      </c>
      <c r="W401" s="10">
        <f t="shared" si="87"/>
        <v>0</v>
      </c>
      <c r="X401" s="10">
        <f t="shared" si="95"/>
        <v>0</v>
      </c>
    </row>
    <row r="402" spans="1:24" s="9" customFormat="1" ht="13.5" customHeight="1" x14ac:dyDescent="0.2">
      <c r="A402" s="64">
        <f t="shared" si="96"/>
        <v>398</v>
      </c>
      <c r="B402" s="204" t="s">
        <v>2254</v>
      </c>
      <c r="C402" s="163">
        <v>40388</v>
      </c>
      <c r="D402" s="175">
        <v>1470000</v>
      </c>
      <c r="E402" s="249"/>
      <c r="F402" s="67">
        <f t="shared" si="90"/>
        <v>1470000</v>
      </c>
      <c r="G402" s="67">
        <v>1469000</v>
      </c>
      <c r="H402" s="67">
        <f t="shared" si="97"/>
        <v>1000</v>
      </c>
      <c r="I402" s="68">
        <v>5</v>
      </c>
      <c r="J402" s="68">
        <v>0.2</v>
      </c>
      <c r="K402" s="68">
        <v>0</v>
      </c>
      <c r="L402" s="110">
        <f t="shared" si="88"/>
        <v>0</v>
      </c>
      <c r="M402" s="67">
        <f t="shared" si="89"/>
        <v>1469000</v>
      </c>
      <c r="N402" s="110">
        <f t="shared" si="91"/>
        <v>1000</v>
      </c>
      <c r="O402" s="145" t="s">
        <v>2177</v>
      </c>
      <c r="P402" s="243">
        <v>7</v>
      </c>
      <c r="Q402" s="592"/>
      <c r="R402" s="23"/>
      <c r="S402" s="10">
        <f t="shared" si="92"/>
        <v>73500</v>
      </c>
      <c r="T402" s="10">
        <f t="shared" si="93"/>
        <v>-72500</v>
      </c>
      <c r="U402" s="10">
        <f t="shared" si="98"/>
        <v>0</v>
      </c>
      <c r="V402" s="10">
        <f t="shared" si="94"/>
        <v>294000</v>
      </c>
      <c r="W402" s="10">
        <f t="shared" si="87"/>
        <v>0</v>
      </c>
      <c r="X402" s="10">
        <f t="shared" si="95"/>
        <v>0</v>
      </c>
    </row>
    <row r="403" spans="1:24" s="9" customFormat="1" ht="13.5" customHeight="1" x14ac:dyDescent="0.2">
      <c r="A403" s="64">
        <f t="shared" si="96"/>
        <v>399</v>
      </c>
      <c r="B403" s="204" t="s">
        <v>2255</v>
      </c>
      <c r="C403" s="163">
        <v>40388</v>
      </c>
      <c r="D403" s="175">
        <v>4500000</v>
      </c>
      <c r="E403" s="249"/>
      <c r="F403" s="67">
        <f t="shared" si="90"/>
        <v>4500000</v>
      </c>
      <c r="G403" s="67">
        <v>4499000</v>
      </c>
      <c r="H403" s="67">
        <f t="shared" si="97"/>
        <v>1000</v>
      </c>
      <c r="I403" s="68">
        <v>5</v>
      </c>
      <c r="J403" s="68">
        <v>0.2</v>
      </c>
      <c r="K403" s="68">
        <v>0</v>
      </c>
      <c r="L403" s="110">
        <f t="shared" si="88"/>
        <v>0</v>
      </c>
      <c r="M403" s="67">
        <f t="shared" si="89"/>
        <v>4499000</v>
      </c>
      <c r="N403" s="110">
        <f t="shared" si="91"/>
        <v>1000</v>
      </c>
      <c r="O403" s="145" t="s">
        <v>2177</v>
      </c>
      <c r="P403" s="243">
        <v>18</v>
      </c>
      <c r="Q403" s="592"/>
      <c r="R403" s="23"/>
      <c r="S403" s="10">
        <f t="shared" si="92"/>
        <v>225000</v>
      </c>
      <c r="T403" s="10">
        <f t="shared" si="93"/>
        <v>-224000</v>
      </c>
      <c r="U403" s="10">
        <f t="shared" si="98"/>
        <v>0</v>
      </c>
      <c r="V403" s="10">
        <f t="shared" si="94"/>
        <v>900000</v>
      </c>
      <c r="W403" s="10">
        <f t="shared" si="87"/>
        <v>0</v>
      </c>
      <c r="X403" s="10">
        <f t="shared" si="95"/>
        <v>0</v>
      </c>
    </row>
    <row r="404" spans="1:24" s="9" customFormat="1" ht="13.5" customHeight="1" x14ac:dyDescent="0.2">
      <c r="A404" s="64">
        <f t="shared" si="96"/>
        <v>400</v>
      </c>
      <c r="B404" s="204" t="s">
        <v>2227</v>
      </c>
      <c r="C404" s="163">
        <v>40388</v>
      </c>
      <c r="D404" s="175">
        <v>840000</v>
      </c>
      <c r="E404" s="249"/>
      <c r="F404" s="67">
        <f t="shared" si="90"/>
        <v>840000</v>
      </c>
      <c r="G404" s="67">
        <v>839000</v>
      </c>
      <c r="H404" s="67">
        <f t="shared" si="97"/>
        <v>1000</v>
      </c>
      <c r="I404" s="68">
        <v>5</v>
      </c>
      <c r="J404" s="68">
        <v>0.2</v>
      </c>
      <c r="K404" s="68">
        <v>0</v>
      </c>
      <c r="L404" s="110">
        <f t="shared" si="88"/>
        <v>0</v>
      </c>
      <c r="M404" s="67">
        <f t="shared" si="89"/>
        <v>839000</v>
      </c>
      <c r="N404" s="110">
        <f t="shared" si="91"/>
        <v>1000</v>
      </c>
      <c r="O404" s="145" t="s">
        <v>2177</v>
      </c>
      <c r="P404" s="243">
        <v>56</v>
      </c>
      <c r="Q404" s="592"/>
      <c r="R404" s="23"/>
      <c r="S404" s="10">
        <f t="shared" si="92"/>
        <v>42000</v>
      </c>
      <c r="T404" s="10">
        <f t="shared" si="93"/>
        <v>-41000</v>
      </c>
      <c r="U404" s="10">
        <f t="shared" si="98"/>
        <v>0</v>
      </c>
      <c r="V404" s="10">
        <f t="shared" si="94"/>
        <v>168000</v>
      </c>
      <c r="W404" s="10">
        <f t="shared" si="87"/>
        <v>0</v>
      </c>
      <c r="X404" s="10">
        <f t="shared" si="95"/>
        <v>0</v>
      </c>
    </row>
    <row r="405" spans="1:24" s="9" customFormat="1" ht="13.5" customHeight="1" x14ac:dyDescent="0.2">
      <c r="A405" s="64">
        <f t="shared" si="96"/>
        <v>401</v>
      </c>
      <c r="B405" s="204" t="s">
        <v>2256</v>
      </c>
      <c r="C405" s="163">
        <v>40388</v>
      </c>
      <c r="D405" s="175">
        <v>350000</v>
      </c>
      <c r="E405" s="249"/>
      <c r="F405" s="67">
        <f t="shared" si="90"/>
        <v>350000</v>
      </c>
      <c r="G405" s="67">
        <v>349000</v>
      </c>
      <c r="H405" s="67">
        <f t="shared" si="97"/>
        <v>1000</v>
      </c>
      <c r="I405" s="68">
        <v>5</v>
      </c>
      <c r="J405" s="68">
        <v>0.2</v>
      </c>
      <c r="K405" s="68">
        <v>0</v>
      </c>
      <c r="L405" s="110">
        <f t="shared" si="88"/>
        <v>0</v>
      </c>
      <c r="M405" s="67">
        <f t="shared" si="89"/>
        <v>349000</v>
      </c>
      <c r="N405" s="110">
        <f t="shared" si="91"/>
        <v>1000</v>
      </c>
      <c r="O405" s="145" t="s">
        <v>2177</v>
      </c>
      <c r="P405" s="243">
        <v>1</v>
      </c>
      <c r="Q405" s="592"/>
      <c r="R405" s="23"/>
      <c r="S405" s="10">
        <f t="shared" si="92"/>
        <v>17500</v>
      </c>
      <c r="T405" s="10">
        <f t="shared" si="93"/>
        <v>-16500</v>
      </c>
      <c r="U405" s="10">
        <f t="shared" si="98"/>
        <v>0</v>
      </c>
      <c r="V405" s="10">
        <f t="shared" si="94"/>
        <v>70000</v>
      </c>
      <c r="W405" s="10">
        <f t="shared" si="87"/>
        <v>0</v>
      </c>
      <c r="X405" s="10">
        <f t="shared" si="95"/>
        <v>0</v>
      </c>
    </row>
    <row r="406" spans="1:24" s="9" customFormat="1" ht="13.5" customHeight="1" x14ac:dyDescent="0.2">
      <c r="A406" s="64">
        <f t="shared" si="96"/>
        <v>402</v>
      </c>
      <c r="B406" s="204" t="s">
        <v>2257</v>
      </c>
      <c r="C406" s="163">
        <v>40388</v>
      </c>
      <c r="D406" s="175">
        <v>320000</v>
      </c>
      <c r="E406" s="249"/>
      <c r="F406" s="67">
        <f t="shared" si="90"/>
        <v>320000</v>
      </c>
      <c r="G406" s="67">
        <v>319000</v>
      </c>
      <c r="H406" s="67">
        <f t="shared" si="97"/>
        <v>1000</v>
      </c>
      <c r="I406" s="68">
        <v>5</v>
      </c>
      <c r="J406" s="68">
        <v>0.2</v>
      </c>
      <c r="K406" s="68">
        <v>0</v>
      </c>
      <c r="L406" s="110">
        <f t="shared" si="88"/>
        <v>0</v>
      </c>
      <c r="M406" s="67">
        <f t="shared" si="89"/>
        <v>319000</v>
      </c>
      <c r="N406" s="110">
        <f t="shared" si="91"/>
        <v>1000</v>
      </c>
      <c r="O406" s="145" t="s">
        <v>2177</v>
      </c>
      <c r="P406" s="243">
        <v>4</v>
      </c>
      <c r="Q406" s="592"/>
      <c r="R406" s="23"/>
      <c r="S406" s="10">
        <f t="shared" si="92"/>
        <v>16000</v>
      </c>
      <c r="T406" s="10">
        <f t="shared" si="93"/>
        <v>-15000</v>
      </c>
      <c r="U406" s="10">
        <f t="shared" si="98"/>
        <v>0</v>
      </c>
      <c r="V406" s="10">
        <f t="shared" si="94"/>
        <v>64000</v>
      </c>
      <c r="W406" s="10">
        <f t="shared" si="87"/>
        <v>0</v>
      </c>
      <c r="X406" s="10">
        <f t="shared" si="95"/>
        <v>0</v>
      </c>
    </row>
    <row r="407" spans="1:24" s="9" customFormat="1" ht="13.5" customHeight="1" x14ac:dyDescent="0.2">
      <c r="A407" s="64">
        <f t="shared" si="96"/>
        <v>403</v>
      </c>
      <c r="B407" s="204" t="s">
        <v>2258</v>
      </c>
      <c r="C407" s="163">
        <v>40388</v>
      </c>
      <c r="D407" s="175">
        <v>1190000</v>
      </c>
      <c r="E407" s="249"/>
      <c r="F407" s="67">
        <f t="shared" si="90"/>
        <v>1190000</v>
      </c>
      <c r="G407" s="67">
        <v>1189000</v>
      </c>
      <c r="H407" s="67">
        <f t="shared" si="97"/>
        <v>1000</v>
      </c>
      <c r="I407" s="68">
        <v>5</v>
      </c>
      <c r="J407" s="68">
        <v>0.2</v>
      </c>
      <c r="K407" s="68">
        <v>0</v>
      </c>
      <c r="L407" s="110">
        <f t="shared" si="88"/>
        <v>0</v>
      </c>
      <c r="M407" s="67">
        <f t="shared" si="89"/>
        <v>1189000</v>
      </c>
      <c r="N407" s="110">
        <f t="shared" si="91"/>
        <v>1000</v>
      </c>
      <c r="O407" s="145" t="s">
        <v>2177</v>
      </c>
      <c r="P407" s="243">
        <v>14</v>
      </c>
      <c r="Q407" s="592"/>
      <c r="R407" s="23"/>
      <c r="S407" s="10">
        <f t="shared" si="92"/>
        <v>59500</v>
      </c>
      <c r="T407" s="10">
        <f t="shared" si="93"/>
        <v>-58500</v>
      </c>
      <c r="U407" s="10">
        <f t="shared" si="98"/>
        <v>0</v>
      </c>
      <c r="V407" s="10">
        <f t="shared" si="94"/>
        <v>238000</v>
      </c>
      <c r="W407" s="10">
        <f t="shared" si="87"/>
        <v>0</v>
      </c>
      <c r="X407" s="10">
        <f t="shared" si="95"/>
        <v>0</v>
      </c>
    </row>
    <row r="408" spans="1:24" s="9" customFormat="1" ht="13.5" customHeight="1" x14ac:dyDescent="0.2">
      <c r="A408" s="64">
        <f t="shared" si="96"/>
        <v>404</v>
      </c>
      <c r="B408" s="204" t="s">
        <v>2259</v>
      </c>
      <c r="C408" s="163">
        <v>40388</v>
      </c>
      <c r="D408" s="175">
        <v>260000</v>
      </c>
      <c r="E408" s="249"/>
      <c r="F408" s="67">
        <f t="shared" si="90"/>
        <v>260000</v>
      </c>
      <c r="G408" s="67">
        <v>259000</v>
      </c>
      <c r="H408" s="67">
        <f t="shared" si="97"/>
        <v>1000</v>
      </c>
      <c r="I408" s="68">
        <v>5</v>
      </c>
      <c r="J408" s="68">
        <v>0.2</v>
      </c>
      <c r="K408" s="68">
        <v>0</v>
      </c>
      <c r="L408" s="110">
        <f t="shared" si="88"/>
        <v>0</v>
      </c>
      <c r="M408" s="67">
        <f t="shared" si="89"/>
        <v>259000</v>
      </c>
      <c r="N408" s="110">
        <f t="shared" si="91"/>
        <v>1000</v>
      </c>
      <c r="O408" s="145" t="s">
        <v>2177</v>
      </c>
      <c r="P408" s="243">
        <v>4</v>
      </c>
      <c r="Q408" s="592"/>
      <c r="R408" s="23"/>
      <c r="S408" s="10">
        <f t="shared" si="92"/>
        <v>13000</v>
      </c>
      <c r="T408" s="10">
        <f t="shared" si="93"/>
        <v>-12000</v>
      </c>
      <c r="U408" s="10">
        <f t="shared" si="98"/>
        <v>0</v>
      </c>
      <c r="V408" s="10">
        <f t="shared" si="94"/>
        <v>52000</v>
      </c>
      <c r="W408" s="10">
        <f t="shared" si="87"/>
        <v>0</v>
      </c>
      <c r="X408" s="10">
        <f t="shared" si="95"/>
        <v>0</v>
      </c>
    </row>
    <row r="409" spans="1:24" s="9" customFormat="1" ht="13.5" customHeight="1" x14ac:dyDescent="0.2">
      <c r="A409" s="64">
        <f t="shared" si="96"/>
        <v>405</v>
      </c>
      <c r="B409" s="204" t="s">
        <v>2260</v>
      </c>
      <c r="C409" s="163">
        <v>40388</v>
      </c>
      <c r="D409" s="175">
        <v>1900000</v>
      </c>
      <c r="E409" s="249"/>
      <c r="F409" s="67">
        <f t="shared" si="90"/>
        <v>1900000</v>
      </c>
      <c r="G409" s="67">
        <v>1899000</v>
      </c>
      <c r="H409" s="67">
        <f t="shared" si="97"/>
        <v>1000</v>
      </c>
      <c r="I409" s="68">
        <v>5</v>
      </c>
      <c r="J409" s="68">
        <v>0.2</v>
      </c>
      <c r="K409" s="68">
        <v>0</v>
      </c>
      <c r="L409" s="110">
        <f t="shared" si="88"/>
        <v>0</v>
      </c>
      <c r="M409" s="67">
        <f t="shared" si="89"/>
        <v>1899000</v>
      </c>
      <c r="N409" s="110">
        <f t="shared" si="91"/>
        <v>1000</v>
      </c>
      <c r="O409" s="145" t="s">
        <v>2261</v>
      </c>
      <c r="P409" s="243">
        <v>1</v>
      </c>
      <c r="Q409" s="592"/>
      <c r="R409" s="23"/>
      <c r="S409" s="10">
        <f t="shared" si="92"/>
        <v>95000</v>
      </c>
      <c r="T409" s="10">
        <f t="shared" si="93"/>
        <v>-94000</v>
      </c>
      <c r="U409" s="10">
        <f t="shared" si="98"/>
        <v>0</v>
      </c>
      <c r="V409" s="10">
        <f t="shared" si="94"/>
        <v>380000</v>
      </c>
      <c r="W409" s="10">
        <f t="shared" si="87"/>
        <v>0</v>
      </c>
      <c r="X409" s="10">
        <f t="shared" si="95"/>
        <v>0</v>
      </c>
    </row>
    <row r="410" spans="1:24" s="9" customFormat="1" ht="13.5" customHeight="1" x14ac:dyDescent="0.2">
      <c r="A410" s="64">
        <f t="shared" si="96"/>
        <v>406</v>
      </c>
      <c r="B410" s="204" t="s">
        <v>2262</v>
      </c>
      <c r="C410" s="163">
        <v>40388</v>
      </c>
      <c r="D410" s="175">
        <v>330000</v>
      </c>
      <c r="E410" s="249"/>
      <c r="F410" s="67">
        <f t="shared" si="90"/>
        <v>330000</v>
      </c>
      <c r="G410" s="67">
        <v>329000</v>
      </c>
      <c r="H410" s="67">
        <f t="shared" si="97"/>
        <v>1000</v>
      </c>
      <c r="I410" s="68">
        <v>5</v>
      </c>
      <c r="J410" s="68">
        <v>0.2</v>
      </c>
      <c r="K410" s="68">
        <v>0</v>
      </c>
      <c r="L410" s="110">
        <f t="shared" si="88"/>
        <v>0</v>
      </c>
      <c r="M410" s="67">
        <f t="shared" si="89"/>
        <v>329000</v>
      </c>
      <c r="N410" s="110">
        <f t="shared" si="91"/>
        <v>1000</v>
      </c>
      <c r="O410" s="145" t="s">
        <v>2261</v>
      </c>
      <c r="P410" s="243">
        <v>1</v>
      </c>
      <c r="Q410" s="592"/>
      <c r="R410" s="23"/>
      <c r="S410" s="10">
        <f t="shared" si="92"/>
        <v>16500</v>
      </c>
      <c r="T410" s="10">
        <f t="shared" si="93"/>
        <v>-15500</v>
      </c>
      <c r="U410" s="10">
        <f t="shared" si="98"/>
        <v>0</v>
      </c>
      <c r="V410" s="10">
        <f t="shared" si="94"/>
        <v>66000</v>
      </c>
      <c r="W410" s="10">
        <f t="shared" si="87"/>
        <v>0</v>
      </c>
      <c r="X410" s="10">
        <f t="shared" si="95"/>
        <v>0</v>
      </c>
    </row>
    <row r="411" spans="1:24" s="9" customFormat="1" ht="13.5" customHeight="1" x14ac:dyDescent="0.2">
      <c r="A411" s="64">
        <f t="shared" si="96"/>
        <v>407</v>
      </c>
      <c r="B411" s="204" t="s">
        <v>2248</v>
      </c>
      <c r="C411" s="163">
        <v>40403</v>
      </c>
      <c r="D411" s="175">
        <v>300000</v>
      </c>
      <c r="E411" s="249"/>
      <c r="F411" s="67">
        <f t="shared" si="90"/>
        <v>300000</v>
      </c>
      <c r="G411" s="67">
        <v>299000</v>
      </c>
      <c r="H411" s="67">
        <f t="shared" si="97"/>
        <v>1000</v>
      </c>
      <c r="I411" s="68">
        <v>5</v>
      </c>
      <c r="J411" s="68">
        <v>0.2</v>
      </c>
      <c r="K411" s="68">
        <v>0</v>
      </c>
      <c r="L411" s="110">
        <f t="shared" si="88"/>
        <v>0</v>
      </c>
      <c r="M411" s="67">
        <f t="shared" si="89"/>
        <v>299000</v>
      </c>
      <c r="N411" s="110">
        <f t="shared" si="91"/>
        <v>1000</v>
      </c>
      <c r="O411" s="145" t="s">
        <v>2177</v>
      </c>
      <c r="P411" s="243">
        <v>3</v>
      </c>
      <c r="Q411" s="592"/>
      <c r="R411" s="23"/>
      <c r="S411" s="10">
        <f t="shared" si="92"/>
        <v>15000</v>
      </c>
      <c r="T411" s="10">
        <f t="shared" si="93"/>
        <v>-14000</v>
      </c>
      <c r="U411" s="10">
        <f t="shared" si="98"/>
        <v>0</v>
      </c>
      <c r="V411" s="10">
        <f t="shared" si="94"/>
        <v>60000</v>
      </c>
      <c r="W411" s="10">
        <f t="shared" si="87"/>
        <v>0</v>
      </c>
      <c r="X411" s="10">
        <f t="shared" si="95"/>
        <v>0</v>
      </c>
    </row>
    <row r="412" spans="1:24" s="9" customFormat="1" ht="13.5" customHeight="1" x14ac:dyDescent="0.2">
      <c r="A412" s="64">
        <f t="shared" si="96"/>
        <v>408</v>
      </c>
      <c r="B412" s="204" t="s">
        <v>1855</v>
      </c>
      <c r="C412" s="163">
        <v>40403</v>
      </c>
      <c r="D412" s="175">
        <v>165000</v>
      </c>
      <c r="E412" s="249"/>
      <c r="F412" s="67">
        <f t="shared" si="90"/>
        <v>165000</v>
      </c>
      <c r="G412" s="67">
        <v>164000</v>
      </c>
      <c r="H412" s="67">
        <f t="shared" si="97"/>
        <v>1000</v>
      </c>
      <c r="I412" s="68">
        <v>5</v>
      </c>
      <c r="J412" s="68">
        <v>0.2</v>
      </c>
      <c r="K412" s="68">
        <v>0</v>
      </c>
      <c r="L412" s="110">
        <f t="shared" si="88"/>
        <v>0</v>
      </c>
      <c r="M412" s="67">
        <f t="shared" si="89"/>
        <v>164000</v>
      </c>
      <c r="N412" s="110">
        <f t="shared" si="91"/>
        <v>1000</v>
      </c>
      <c r="O412" s="145" t="s">
        <v>2177</v>
      </c>
      <c r="P412" s="243">
        <v>3</v>
      </c>
      <c r="Q412" s="592"/>
      <c r="R412" s="23"/>
      <c r="S412" s="10">
        <f t="shared" si="92"/>
        <v>8250</v>
      </c>
      <c r="T412" s="10">
        <f t="shared" si="93"/>
        <v>-7250</v>
      </c>
      <c r="U412" s="10">
        <f t="shared" si="98"/>
        <v>0</v>
      </c>
      <c r="V412" s="10">
        <f t="shared" si="94"/>
        <v>33000</v>
      </c>
      <c r="W412" s="10">
        <f t="shared" si="87"/>
        <v>0</v>
      </c>
      <c r="X412" s="10">
        <f t="shared" si="95"/>
        <v>0</v>
      </c>
    </row>
    <row r="413" spans="1:24" s="9" customFormat="1" ht="13.5" customHeight="1" x14ac:dyDescent="0.2">
      <c r="A413" s="64">
        <f t="shared" si="96"/>
        <v>409</v>
      </c>
      <c r="B413" s="204" t="s">
        <v>2249</v>
      </c>
      <c r="C413" s="163">
        <v>40403</v>
      </c>
      <c r="D413" s="175">
        <v>240000</v>
      </c>
      <c r="E413" s="249"/>
      <c r="F413" s="67">
        <f t="shared" si="90"/>
        <v>240000</v>
      </c>
      <c r="G413" s="67">
        <v>239000</v>
      </c>
      <c r="H413" s="67">
        <f t="shared" si="97"/>
        <v>1000</v>
      </c>
      <c r="I413" s="68">
        <v>5</v>
      </c>
      <c r="J413" s="68">
        <v>0.2</v>
      </c>
      <c r="K413" s="68">
        <v>0</v>
      </c>
      <c r="L413" s="110">
        <f t="shared" si="88"/>
        <v>0</v>
      </c>
      <c r="M413" s="67">
        <f t="shared" si="89"/>
        <v>239000</v>
      </c>
      <c r="N413" s="110">
        <f t="shared" si="91"/>
        <v>1000</v>
      </c>
      <c r="O413" s="145" t="s">
        <v>2177</v>
      </c>
      <c r="P413" s="243">
        <v>3</v>
      </c>
      <c r="Q413" s="592"/>
      <c r="R413" s="23"/>
      <c r="S413" s="10">
        <f t="shared" si="92"/>
        <v>12000</v>
      </c>
      <c r="T413" s="10">
        <f t="shared" si="93"/>
        <v>-11000</v>
      </c>
      <c r="U413" s="10">
        <f t="shared" si="98"/>
        <v>0</v>
      </c>
      <c r="V413" s="10">
        <f t="shared" si="94"/>
        <v>48000</v>
      </c>
      <c r="W413" s="10">
        <f t="shared" si="87"/>
        <v>0</v>
      </c>
      <c r="X413" s="10">
        <f t="shared" si="95"/>
        <v>0</v>
      </c>
    </row>
    <row r="414" spans="1:24" s="9" customFormat="1" ht="13.5" customHeight="1" x14ac:dyDescent="0.2">
      <c r="A414" s="64">
        <f t="shared" si="96"/>
        <v>410</v>
      </c>
      <c r="B414" s="204" t="s">
        <v>2263</v>
      </c>
      <c r="C414" s="163">
        <v>40403</v>
      </c>
      <c r="D414" s="175">
        <v>242000</v>
      </c>
      <c r="E414" s="249"/>
      <c r="F414" s="67">
        <f t="shared" si="90"/>
        <v>242000</v>
      </c>
      <c r="G414" s="67">
        <v>241000</v>
      </c>
      <c r="H414" s="67">
        <f t="shared" si="97"/>
        <v>1000</v>
      </c>
      <c r="I414" s="68">
        <v>5</v>
      </c>
      <c r="J414" s="68">
        <v>0.2</v>
      </c>
      <c r="K414" s="68">
        <v>0</v>
      </c>
      <c r="L414" s="110">
        <f t="shared" si="88"/>
        <v>0</v>
      </c>
      <c r="M414" s="67">
        <f t="shared" si="89"/>
        <v>241000</v>
      </c>
      <c r="N414" s="110">
        <f t="shared" si="91"/>
        <v>1000</v>
      </c>
      <c r="O414" s="145" t="s">
        <v>2177</v>
      </c>
      <c r="P414" s="243">
        <v>1</v>
      </c>
      <c r="Q414" s="592"/>
      <c r="R414" s="23"/>
      <c r="S414" s="10">
        <f t="shared" si="92"/>
        <v>12100</v>
      </c>
      <c r="T414" s="10">
        <f t="shared" si="93"/>
        <v>-11100</v>
      </c>
      <c r="U414" s="10">
        <f t="shared" si="98"/>
        <v>0</v>
      </c>
      <c r="V414" s="10">
        <f t="shared" si="94"/>
        <v>48400</v>
      </c>
      <c r="W414" s="10">
        <f t="shared" si="87"/>
        <v>0</v>
      </c>
      <c r="X414" s="10">
        <f t="shared" si="95"/>
        <v>0</v>
      </c>
    </row>
    <row r="415" spans="1:24" s="9" customFormat="1" ht="13.5" customHeight="1" x14ac:dyDescent="0.2">
      <c r="A415" s="64">
        <f t="shared" si="96"/>
        <v>411</v>
      </c>
      <c r="B415" s="204" t="s">
        <v>2264</v>
      </c>
      <c r="C415" s="163">
        <v>40406</v>
      </c>
      <c r="D415" s="175">
        <v>800000</v>
      </c>
      <c r="E415" s="249"/>
      <c r="F415" s="67">
        <f t="shared" si="90"/>
        <v>800000</v>
      </c>
      <c r="G415" s="67">
        <v>799000</v>
      </c>
      <c r="H415" s="67">
        <f t="shared" si="97"/>
        <v>1000</v>
      </c>
      <c r="I415" s="68">
        <v>5</v>
      </c>
      <c r="J415" s="68">
        <v>0.2</v>
      </c>
      <c r="K415" s="68">
        <v>0</v>
      </c>
      <c r="L415" s="110">
        <f t="shared" si="88"/>
        <v>0</v>
      </c>
      <c r="M415" s="67">
        <f t="shared" si="89"/>
        <v>799000</v>
      </c>
      <c r="N415" s="110">
        <f t="shared" si="91"/>
        <v>1000</v>
      </c>
      <c r="O415" s="145" t="s">
        <v>427</v>
      </c>
      <c r="P415" s="243">
        <v>1</v>
      </c>
      <c r="Q415" s="592"/>
      <c r="R415" s="23"/>
      <c r="S415" s="10">
        <f t="shared" si="92"/>
        <v>40000</v>
      </c>
      <c r="T415" s="10">
        <f t="shared" si="93"/>
        <v>-39000</v>
      </c>
      <c r="U415" s="10">
        <f t="shared" si="98"/>
        <v>0</v>
      </c>
      <c r="V415" s="10">
        <f t="shared" si="94"/>
        <v>160000</v>
      </c>
      <c r="W415" s="10">
        <f t="shared" si="87"/>
        <v>0</v>
      </c>
      <c r="X415" s="10">
        <f t="shared" si="95"/>
        <v>0</v>
      </c>
    </row>
    <row r="416" spans="1:24" s="9" customFormat="1" ht="13.5" customHeight="1" x14ac:dyDescent="0.2">
      <c r="A416" s="64">
        <f t="shared" si="96"/>
        <v>412</v>
      </c>
      <c r="B416" s="204" t="s">
        <v>2265</v>
      </c>
      <c r="C416" s="163">
        <v>40406</v>
      </c>
      <c r="D416" s="175">
        <v>5760000</v>
      </c>
      <c r="E416" s="249"/>
      <c r="F416" s="67">
        <f t="shared" si="90"/>
        <v>5760000</v>
      </c>
      <c r="G416" s="67">
        <v>5759000</v>
      </c>
      <c r="H416" s="67">
        <f t="shared" si="97"/>
        <v>1000</v>
      </c>
      <c r="I416" s="68">
        <v>5</v>
      </c>
      <c r="J416" s="68">
        <v>0.2</v>
      </c>
      <c r="K416" s="68">
        <v>0</v>
      </c>
      <c r="L416" s="110">
        <f t="shared" si="88"/>
        <v>0</v>
      </c>
      <c r="M416" s="67">
        <f t="shared" si="89"/>
        <v>5759000</v>
      </c>
      <c r="N416" s="110">
        <f t="shared" si="91"/>
        <v>1000</v>
      </c>
      <c r="O416" s="145" t="s">
        <v>427</v>
      </c>
      <c r="P416" s="243">
        <v>6</v>
      </c>
      <c r="Q416" s="592"/>
      <c r="R416" s="23"/>
      <c r="S416" s="10">
        <f t="shared" si="92"/>
        <v>288000</v>
      </c>
      <c r="T416" s="10">
        <f t="shared" si="93"/>
        <v>-287000</v>
      </c>
      <c r="U416" s="10">
        <f t="shared" si="98"/>
        <v>0</v>
      </c>
      <c r="V416" s="10">
        <f t="shared" si="94"/>
        <v>1152000</v>
      </c>
      <c r="W416" s="10">
        <f t="shared" si="87"/>
        <v>0</v>
      </c>
      <c r="X416" s="10">
        <f t="shared" si="95"/>
        <v>0</v>
      </c>
    </row>
    <row r="417" spans="1:24" s="9" customFormat="1" ht="13.5" customHeight="1" x14ac:dyDescent="0.2">
      <c r="A417" s="64">
        <f t="shared" si="96"/>
        <v>413</v>
      </c>
      <c r="B417" s="204" t="s">
        <v>2266</v>
      </c>
      <c r="C417" s="163">
        <v>40425</v>
      </c>
      <c r="D417" s="175">
        <v>2100000</v>
      </c>
      <c r="E417" s="249"/>
      <c r="F417" s="67">
        <f t="shared" si="90"/>
        <v>2100000</v>
      </c>
      <c r="G417" s="67">
        <v>2099000</v>
      </c>
      <c r="H417" s="67">
        <f t="shared" si="97"/>
        <v>1000</v>
      </c>
      <c r="I417" s="68">
        <v>5</v>
      </c>
      <c r="J417" s="68">
        <v>0.2</v>
      </c>
      <c r="K417" s="68">
        <v>0</v>
      </c>
      <c r="L417" s="110">
        <f t="shared" si="88"/>
        <v>0</v>
      </c>
      <c r="M417" s="67">
        <f t="shared" si="89"/>
        <v>2099000</v>
      </c>
      <c r="N417" s="110">
        <f t="shared" si="91"/>
        <v>1000</v>
      </c>
      <c r="O417" s="145" t="s">
        <v>2241</v>
      </c>
      <c r="P417" s="243">
        <v>1</v>
      </c>
      <c r="Q417" s="592"/>
      <c r="R417" s="23"/>
      <c r="S417" s="10">
        <f t="shared" si="92"/>
        <v>105000</v>
      </c>
      <c r="T417" s="10">
        <f t="shared" si="93"/>
        <v>-104000</v>
      </c>
      <c r="U417" s="10">
        <f t="shared" si="98"/>
        <v>0</v>
      </c>
      <c r="V417" s="10">
        <f t="shared" si="94"/>
        <v>420000</v>
      </c>
      <c r="W417" s="10">
        <f>ROUND(IF(H417&lt;=1000,0,V417/12*3),0)</f>
        <v>0</v>
      </c>
      <c r="X417" s="10">
        <f t="shared" si="95"/>
        <v>0</v>
      </c>
    </row>
    <row r="418" spans="1:24" s="9" customFormat="1" ht="13.5" customHeight="1" x14ac:dyDescent="0.2">
      <c r="A418" s="64">
        <f t="shared" si="96"/>
        <v>414</v>
      </c>
      <c r="B418" s="65" t="s">
        <v>2267</v>
      </c>
      <c r="C418" s="163">
        <v>40581</v>
      </c>
      <c r="D418" s="175">
        <v>1336364</v>
      </c>
      <c r="E418" s="175"/>
      <c r="F418" s="67">
        <f t="shared" si="90"/>
        <v>1336364</v>
      </c>
      <c r="G418" s="67">
        <v>1335364</v>
      </c>
      <c r="H418" s="67">
        <f t="shared" si="97"/>
        <v>1000</v>
      </c>
      <c r="I418" s="68">
        <v>5</v>
      </c>
      <c r="J418" s="68">
        <v>0.2</v>
      </c>
      <c r="K418" s="68">
        <v>0</v>
      </c>
      <c r="L418" s="110">
        <f t="shared" si="88"/>
        <v>0</v>
      </c>
      <c r="M418" s="67">
        <f t="shared" si="89"/>
        <v>1335364</v>
      </c>
      <c r="N418" s="110">
        <f t="shared" si="91"/>
        <v>1000</v>
      </c>
      <c r="O418" s="68" t="s">
        <v>2268</v>
      </c>
      <c r="P418" s="555">
        <v>1</v>
      </c>
      <c r="Q418" s="592" t="s">
        <v>2269</v>
      </c>
      <c r="R418" s="23"/>
      <c r="S418" s="10">
        <f t="shared" si="92"/>
        <v>66818.2</v>
      </c>
      <c r="T418" s="10">
        <f t="shared" si="93"/>
        <v>-65818.2</v>
      </c>
      <c r="U418" s="10">
        <f t="shared" si="98"/>
        <v>0</v>
      </c>
      <c r="V418" s="10">
        <f t="shared" si="94"/>
        <v>267272.8</v>
      </c>
      <c r="W418" s="10">
        <f t="shared" ref="W418:W458" si="99">ROUND(IF(H418&lt;=1000,0,V418/12*1),0)</f>
        <v>0</v>
      </c>
      <c r="X418" s="10">
        <f t="shared" si="95"/>
        <v>0</v>
      </c>
    </row>
    <row r="419" spans="1:24" s="9" customFormat="1" ht="13.5" customHeight="1" x14ac:dyDescent="0.2">
      <c r="A419" s="64">
        <f t="shared" si="96"/>
        <v>415</v>
      </c>
      <c r="B419" s="65" t="s">
        <v>2270</v>
      </c>
      <c r="C419" s="163">
        <v>40619</v>
      </c>
      <c r="D419" s="175">
        <v>994000</v>
      </c>
      <c r="E419" s="175"/>
      <c r="F419" s="67">
        <f t="shared" si="90"/>
        <v>994000</v>
      </c>
      <c r="G419" s="67">
        <v>993000</v>
      </c>
      <c r="H419" s="67">
        <f t="shared" si="97"/>
        <v>1000</v>
      </c>
      <c r="I419" s="68">
        <v>5</v>
      </c>
      <c r="J419" s="68">
        <v>0.2</v>
      </c>
      <c r="K419" s="68">
        <v>0</v>
      </c>
      <c r="L419" s="110">
        <f t="shared" si="88"/>
        <v>0</v>
      </c>
      <c r="M419" s="67">
        <f t="shared" si="89"/>
        <v>993000</v>
      </c>
      <c r="N419" s="110">
        <f t="shared" si="91"/>
        <v>1000</v>
      </c>
      <c r="O419" s="68" t="s">
        <v>2271</v>
      </c>
      <c r="P419" s="555">
        <v>1</v>
      </c>
      <c r="Q419" s="592"/>
      <c r="R419" s="23"/>
      <c r="S419" s="10">
        <f t="shared" si="92"/>
        <v>49700</v>
      </c>
      <c r="T419" s="10">
        <f t="shared" si="93"/>
        <v>-48700</v>
      </c>
      <c r="U419" s="10">
        <f t="shared" si="98"/>
        <v>0</v>
      </c>
      <c r="V419" s="10">
        <f t="shared" si="94"/>
        <v>198800</v>
      </c>
      <c r="W419" s="10">
        <f t="shared" si="99"/>
        <v>0</v>
      </c>
      <c r="X419" s="10">
        <f t="shared" si="95"/>
        <v>0</v>
      </c>
    </row>
    <row r="420" spans="1:24" s="9" customFormat="1" ht="13.5" customHeight="1" x14ac:dyDescent="0.2">
      <c r="A420" s="64">
        <f t="shared" si="96"/>
        <v>416</v>
      </c>
      <c r="B420" s="65" t="s">
        <v>2272</v>
      </c>
      <c r="C420" s="163">
        <v>40607</v>
      </c>
      <c r="D420" s="175">
        <v>975000</v>
      </c>
      <c r="E420" s="175"/>
      <c r="F420" s="67">
        <f t="shared" si="90"/>
        <v>975000</v>
      </c>
      <c r="G420" s="67">
        <v>974000</v>
      </c>
      <c r="H420" s="67">
        <f t="shared" si="97"/>
        <v>1000</v>
      </c>
      <c r="I420" s="68">
        <v>5</v>
      </c>
      <c r="J420" s="68">
        <v>0.2</v>
      </c>
      <c r="K420" s="68">
        <v>0</v>
      </c>
      <c r="L420" s="110">
        <f t="shared" si="88"/>
        <v>0</v>
      </c>
      <c r="M420" s="67">
        <f t="shared" si="89"/>
        <v>974000</v>
      </c>
      <c r="N420" s="110">
        <f t="shared" si="91"/>
        <v>1000</v>
      </c>
      <c r="O420" s="68" t="s">
        <v>427</v>
      </c>
      <c r="P420" s="555">
        <v>1</v>
      </c>
      <c r="Q420" s="592"/>
      <c r="R420" s="23"/>
      <c r="S420" s="10">
        <f t="shared" si="92"/>
        <v>48750</v>
      </c>
      <c r="T420" s="10">
        <f t="shared" si="93"/>
        <v>-47750</v>
      </c>
      <c r="U420" s="10">
        <f t="shared" si="98"/>
        <v>0</v>
      </c>
      <c r="V420" s="10">
        <f t="shared" si="94"/>
        <v>195000</v>
      </c>
      <c r="W420" s="10">
        <f t="shared" si="99"/>
        <v>0</v>
      </c>
      <c r="X420" s="10">
        <f t="shared" si="95"/>
        <v>0</v>
      </c>
    </row>
    <row r="421" spans="1:24" s="9" customFormat="1" ht="13.5" customHeight="1" x14ac:dyDescent="0.2">
      <c r="A421" s="64">
        <f t="shared" si="96"/>
        <v>417</v>
      </c>
      <c r="B421" s="65" t="s">
        <v>1855</v>
      </c>
      <c r="C421" s="163">
        <v>40639</v>
      </c>
      <c r="D421" s="175">
        <v>55000</v>
      </c>
      <c r="E421" s="175"/>
      <c r="F421" s="67">
        <f t="shared" si="90"/>
        <v>55000</v>
      </c>
      <c r="G421" s="67">
        <v>54000</v>
      </c>
      <c r="H421" s="67">
        <f t="shared" si="97"/>
        <v>1000</v>
      </c>
      <c r="I421" s="68">
        <v>5</v>
      </c>
      <c r="J421" s="68">
        <v>0.2</v>
      </c>
      <c r="K421" s="68">
        <v>0</v>
      </c>
      <c r="L421" s="110">
        <f t="shared" si="88"/>
        <v>0</v>
      </c>
      <c r="M421" s="67">
        <f t="shared" si="89"/>
        <v>54000</v>
      </c>
      <c r="N421" s="110">
        <f t="shared" si="91"/>
        <v>1000</v>
      </c>
      <c r="O421" s="68" t="s">
        <v>2177</v>
      </c>
      <c r="P421" s="555">
        <v>1</v>
      </c>
      <c r="Q421" s="495" t="s">
        <v>2273</v>
      </c>
      <c r="R421" s="23"/>
      <c r="S421" s="10">
        <f t="shared" si="92"/>
        <v>2750</v>
      </c>
      <c r="T421" s="10">
        <f t="shared" si="93"/>
        <v>-1750</v>
      </c>
      <c r="U421" s="10">
        <f t="shared" si="98"/>
        <v>0</v>
      </c>
      <c r="V421" s="10">
        <f t="shared" si="94"/>
        <v>11000</v>
      </c>
      <c r="W421" s="10">
        <f t="shared" si="99"/>
        <v>0</v>
      </c>
      <c r="X421" s="10">
        <f t="shared" si="95"/>
        <v>0</v>
      </c>
    </row>
    <row r="422" spans="1:24" s="9" customFormat="1" ht="13.5" customHeight="1" x14ac:dyDescent="0.2">
      <c r="A422" s="64">
        <f t="shared" si="96"/>
        <v>418</v>
      </c>
      <c r="B422" s="65" t="s">
        <v>2274</v>
      </c>
      <c r="C422" s="163">
        <v>40639</v>
      </c>
      <c r="D422" s="175">
        <v>140000</v>
      </c>
      <c r="E422" s="175"/>
      <c r="F422" s="67">
        <f t="shared" si="90"/>
        <v>140000</v>
      </c>
      <c r="G422" s="67">
        <v>139000</v>
      </c>
      <c r="H422" s="67">
        <f t="shared" si="97"/>
        <v>1000</v>
      </c>
      <c r="I422" s="68">
        <v>5</v>
      </c>
      <c r="J422" s="68">
        <v>0.2</v>
      </c>
      <c r="K422" s="68">
        <v>0</v>
      </c>
      <c r="L422" s="110">
        <f t="shared" si="88"/>
        <v>0</v>
      </c>
      <c r="M422" s="67">
        <f t="shared" si="89"/>
        <v>139000</v>
      </c>
      <c r="N422" s="110">
        <f t="shared" si="91"/>
        <v>1000</v>
      </c>
      <c r="O422" s="68" t="s">
        <v>2177</v>
      </c>
      <c r="P422" s="555">
        <v>1</v>
      </c>
      <c r="Q422" s="495" t="s">
        <v>2275</v>
      </c>
      <c r="R422" s="23"/>
      <c r="S422" s="10">
        <f t="shared" si="92"/>
        <v>7000</v>
      </c>
      <c r="T422" s="10">
        <f t="shared" si="93"/>
        <v>-6000</v>
      </c>
      <c r="U422" s="10">
        <f t="shared" si="98"/>
        <v>0</v>
      </c>
      <c r="V422" s="10">
        <f t="shared" si="94"/>
        <v>28000</v>
      </c>
      <c r="W422" s="10">
        <f t="shared" si="99"/>
        <v>0</v>
      </c>
      <c r="X422" s="10">
        <f t="shared" si="95"/>
        <v>0</v>
      </c>
    </row>
    <row r="423" spans="1:24" s="9" customFormat="1" ht="13.5" customHeight="1" x14ac:dyDescent="0.2">
      <c r="A423" s="64">
        <f t="shared" si="96"/>
        <v>419</v>
      </c>
      <c r="B423" s="65" t="s">
        <v>2019</v>
      </c>
      <c r="C423" s="163">
        <v>40686</v>
      </c>
      <c r="D423" s="175">
        <v>144545</v>
      </c>
      <c r="E423" s="175"/>
      <c r="F423" s="67">
        <f t="shared" si="90"/>
        <v>144545</v>
      </c>
      <c r="G423" s="67">
        <v>143545</v>
      </c>
      <c r="H423" s="67">
        <f t="shared" si="97"/>
        <v>1000</v>
      </c>
      <c r="I423" s="68">
        <v>5</v>
      </c>
      <c r="J423" s="68">
        <v>0.2</v>
      </c>
      <c r="K423" s="68">
        <v>0</v>
      </c>
      <c r="L423" s="110">
        <f t="shared" si="88"/>
        <v>0</v>
      </c>
      <c r="M423" s="67">
        <f t="shared" si="89"/>
        <v>143545</v>
      </c>
      <c r="N423" s="110">
        <f t="shared" si="91"/>
        <v>1000</v>
      </c>
      <c r="O423" s="68" t="s">
        <v>2276</v>
      </c>
      <c r="P423" s="555">
        <v>1</v>
      </c>
      <c r="Q423" s="495" t="s">
        <v>2277</v>
      </c>
      <c r="R423" s="23"/>
      <c r="S423" s="10">
        <f t="shared" si="92"/>
        <v>7227.25</v>
      </c>
      <c r="T423" s="10">
        <f t="shared" si="93"/>
        <v>-6227.25</v>
      </c>
      <c r="U423" s="10">
        <f t="shared" si="98"/>
        <v>0</v>
      </c>
      <c r="V423" s="10">
        <f t="shared" si="94"/>
        <v>28909</v>
      </c>
      <c r="W423" s="10">
        <f t="shared" si="99"/>
        <v>0</v>
      </c>
      <c r="X423" s="10">
        <f t="shared" si="95"/>
        <v>0</v>
      </c>
    </row>
    <row r="424" spans="1:24" s="9" customFormat="1" ht="13.5" customHeight="1" x14ac:dyDescent="0.2">
      <c r="A424" s="64">
        <f t="shared" si="96"/>
        <v>420</v>
      </c>
      <c r="B424" s="65" t="s">
        <v>2278</v>
      </c>
      <c r="C424" s="163">
        <v>40694</v>
      </c>
      <c r="D424" s="175">
        <v>700000</v>
      </c>
      <c r="E424" s="175"/>
      <c r="F424" s="67">
        <f t="shared" si="90"/>
        <v>700000</v>
      </c>
      <c r="G424" s="67">
        <v>699000</v>
      </c>
      <c r="H424" s="67">
        <f t="shared" si="97"/>
        <v>1000</v>
      </c>
      <c r="I424" s="68">
        <v>5</v>
      </c>
      <c r="J424" s="68">
        <v>0.2</v>
      </c>
      <c r="K424" s="68">
        <v>0</v>
      </c>
      <c r="L424" s="110">
        <f t="shared" si="88"/>
        <v>0</v>
      </c>
      <c r="M424" s="67">
        <f t="shared" si="89"/>
        <v>699000</v>
      </c>
      <c r="N424" s="110">
        <f t="shared" si="91"/>
        <v>1000</v>
      </c>
      <c r="O424" s="68" t="s">
        <v>2279</v>
      </c>
      <c r="P424" s="555">
        <v>1</v>
      </c>
      <c r="Q424" s="495" t="s">
        <v>501</v>
      </c>
      <c r="R424" s="23"/>
      <c r="S424" s="10">
        <f t="shared" si="92"/>
        <v>35000</v>
      </c>
      <c r="T424" s="10">
        <f t="shared" si="93"/>
        <v>-34000</v>
      </c>
      <c r="U424" s="10">
        <f t="shared" si="98"/>
        <v>0</v>
      </c>
      <c r="V424" s="10">
        <f t="shared" si="94"/>
        <v>140000</v>
      </c>
      <c r="W424" s="10">
        <f t="shared" si="99"/>
        <v>0</v>
      </c>
      <c r="X424" s="10">
        <f t="shared" si="95"/>
        <v>0</v>
      </c>
    </row>
    <row r="425" spans="1:24" s="9" customFormat="1" ht="13.5" customHeight="1" x14ac:dyDescent="0.2">
      <c r="A425" s="64">
        <f t="shared" si="96"/>
        <v>421</v>
      </c>
      <c r="B425" s="65" t="s">
        <v>2280</v>
      </c>
      <c r="C425" s="163">
        <v>40694</v>
      </c>
      <c r="D425" s="175">
        <v>1540000</v>
      </c>
      <c r="E425" s="175"/>
      <c r="F425" s="67">
        <f t="shared" si="90"/>
        <v>1540000</v>
      </c>
      <c r="G425" s="67">
        <v>1539000</v>
      </c>
      <c r="H425" s="67">
        <f t="shared" si="97"/>
        <v>1000</v>
      </c>
      <c r="I425" s="68">
        <v>5</v>
      </c>
      <c r="J425" s="68">
        <v>0.2</v>
      </c>
      <c r="K425" s="68">
        <v>0</v>
      </c>
      <c r="L425" s="110">
        <f t="shared" ref="L425:L456" si="100">ROUND(IF(F425*J425*K425/12&gt;=H425,H425-1000,F425*J425*K425/12),0)</f>
        <v>0</v>
      </c>
      <c r="M425" s="67">
        <f t="shared" ref="M425:M488" si="101">+G425+L425</f>
        <v>1539000</v>
      </c>
      <c r="N425" s="110">
        <f t="shared" si="91"/>
        <v>1000</v>
      </c>
      <c r="O425" s="68" t="s">
        <v>2279</v>
      </c>
      <c r="P425" s="555">
        <v>2</v>
      </c>
      <c r="Q425" s="495" t="s">
        <v>501</v>
      </c>
      <c r="R425" s="23"/>
      <c r="S425" s="10">
        <f t="shared" si="92"/>
        <v>77000</v>
      </c>
      <c r="T425" s="10">
        <f t="shared" si="93"/>
        <v>-76000</v>
      </c>
      <c r="U425" s="10">
        <f t="shared" si="98"/>
        <v>0</v>
      </c>
      <c r="V425" s="10">
        <f t="shared" si="94"/>
        <v>308000</v>
      </c>
      <c r="W425" s="10">
        <f t="shared" si="99"/>
        <v>0</v>
      </c>
      <c r="X425" s="10">
        <f t="shared" si="95"/>
        <v>0</v>
      </c>
    </row>
    <row r="426" spans="1:24" s="9" customFormat="1" ht="13.5" customHeight="1" x14ac:dyDescent="0.2">
      <c r="A426" s="64">
        <f t="shared" si="96"/>
        <v>422</v>
      </c>
      <c r="B426" s="65" t="s">
        <v>2281</v>
      </c>
      <c r="C426" s="163">
        <v>40694</v>
      </c>
      <c r="D426" s="175">
        <v>960000</v>
      </c>
      <c r="E426" s="175"/>
      <c r="F426" s="67">
        <f t="shared" si="90"/>
        <v>960000</v>
      </c>
      <c r="G426" s="67">
        <v>959000</v>
      </c>
      <c r="H426" s="67">
        <f t="shared" si="97"/>
        <v>1000</v>
      </c>
      <c r="I426" s="68">
        <v>5</v>
      </c>
      <c r="J426" s="68">
        <v>0.2</v>
      </c>
      <c r="K426" s="68">
        <v>0</v>
      </c>
      <c r="L426" s="110">
        <f t="shared" si="100"/>
        <v>0</v>
      </c>
      <c r="M426" s="67">
        <f t="shared" si="101"/>
        <v>959000</v>
      </c>
      <c r="N426" s="110">
        <f t="shared" si="91"/>
        <v>1000</v>
      </c>
      <c r="O426" s="68" t="s">
        <v>2279</v>
      </c>
      <c r="P426" s="555">
        <v>1</v>
      </c>
      <c r="Q426" s="495" t="s">
        <v>501</v>
      </c>
      <c r="R426" s="23"/>
      <c r="S426" s="10">
        <f t="shared" si="92"/>
        <v>48000</v>
      </c>
      <c r="T426" s="10">
        <f t="shared" si="93"/>
        <v>-47000</v>
      </c>
      <c r="U426" s="10">
        <f t="shared" si="98"/>
        <v>0</v>
      </c>
      <c r="V426" s="10">
        <f t="shared" si="94"/>
        <v>192000</v>
      </c>
      <c r="W426" s="10">
        <f t="shared" si="99"/>
        <v>0</v>
      </c>
      <c r="X426" s="10">
        <f t="shared" si="95"/>
        <v>0</v>
      </c>
    </row>
    <row r="427" spans="1:24" s="9" customFormat="1" ht="13.5" customHeight="1" x14ac:dyDescent="0.2">
      <c r="A427" s="64">
        <f t="shared" si="96"/>
        <v>423</v>
      </c>
      <c r="B427" s="65" t="s">
        <v>2282</v>
      </c>
      <c r="C427" s="163">
        <v>40745</v>
      </c>
      <c r="D427" s="175">
        <v>2000000</v>
      </c>
      <c r="E427" s="175"/>
      <c r="F427" s="67">
        <f t="shared" si="90"/>
        <v>2000000</v>
      </c>
      <c r="G427" s="67">
        <v>1999000</v>
      </c>
      <c r="H427" s="67">
        <f t="shared" si="97"/>
        <v>1000</v>
      </c>
      <c r="I427" s="68">
        <v>5</v>
      </c>
      <c r="J427" s="68">
        <v>0.2</v>
      </c>
      <c r="K427" s="68">
        <v>0</v>
      </c>
      <c r="L427" s="110">
        <f t="shared" si="100"/>
        <v>0</v>
      </c>
      <c r="M427" s="67">
        <f t="shared" si="101"/>
        <v>1999000</v>
      </c>
      <c r="N427" s="110">
        <f t="shared" si="91"/>
        <v>1000</v>
      </c>
      <c r="O427" s="68" t="s">
        <v>2283</v>
      </c>
      <c r="P427" s="555">
        <v>2</v>
      </c>
      <c r="Q427" s="495" t="s">
        <v>1547</v>
      </c>
      <c r="R427" s="23"/>
      <c r="S427" s="10">
        <f t="shared" si="92"/>
        <v>100000</v>
      </c>
      <c r="T427" s="10">
        <f t="shared" si="93"/>
        <v>-99000</v>
      </c>
      <c r="U427" s="10">
        <f t="shared" si="98"/>
        <v>0</v>
      </c>
      <c r="V427" s="10">
        <f t="shared" si="94"/>
        <v>400000</v>
      </c>
      <c r="W427" s="10">
        <f t="shared" si="99"/>
        <v>0</v>
      </c>
      <c r="X427" s="10">
        <f t="shared" si="95"/>
        <v>0</v>
      </c>
    </row>
    <row r="428" spans="1:24" s="9" customFormat="1" ht="13.5" customHeight="1" x14ac:dyDescent="0.2">
      <c r="A428" s="64">
        <f t="shared" si="96"/>
        <v>424</v>
      </c>
      <c r="B428" s="65" t="s">
        <v>2284</v>
      </c>
      <c r="C428" s="163">
        <v>40745</v>
      </c>
      <c r="D428" s="175">
        <v>948500</v>
      </c>
      <c r="E428" s="175"/>
      <c r="F428" s="67">
        <f t="shared" si="90"/>
        <v>948500</v>
      </c>
      <c r="G428" s="67">
        <v>947500</v>
      </c>
      <c r="H428" s="67">
        <f t="shared" si="97"/>
        <v>1000</v>
      </c>
      <c r="I428" s="68">
        <v>5</v>
      </c>
      <c r="J428" s="68">
        <v>0.2</v>
      </c>
      <c r="K428" s="68">
        <v>0</v>
      </c>
      <c r="L428" s="110">
        <f t="shared" si="100"/>
        <v>0</v>
      </c>
      <c r="M428" s="67">
        <f t="shared" si="101"/>
        <v>947500</v>
      </c>
      <c r="N428" s="110">
        <f t="shared" si="91"/>
        <v>1000</v>
      </c>
      <c r="O428" s="68" t="s">
        <v>2285</v>
      </c>
      <c r="P428" s="555">
        <v>1</v>
      </c>
      <c r="Q428" s="495" t="s">
        <v>486</v>
      </c>
      <c r="R428" s="23"/>
      <c r="S428" s="10">
        <f t="shared" si="92"/>
        <v>47425</v>
      </c>
      <c r="T428" s="10">
        <f t="shared" si="93"/>
        <v>-46425</v>
      </c>
      <c r="U428" s="10">
        <f t="shared" si="98"/>
        <v>0</v>
      </c>
      <c r="V428" s="10">
        <f t="shared" si="94"/>
        <v>189700</v>
      </c>
      <c r="W428" s="10">
        <f t="shared" si="99"/>
        <v>0</v>
      </c>
      <c r="X428" s="10">
        <f t="shared" si="95"/>
        <v>0</v>
      </c>
    </row>
    <row r="429" spans="1:24" s="9" customFormat="1" ht="13.5" customHeight="1" x14ac:dyDescent="0.2">
      <c r="A429" s="64">
        <f t="shared" si="96"/>
        <v>425</v>
      </c>
      <c r="B429" s="65" t="s">
        <v>2286</v>
      </c>
      <c r="C429" s="163">
        <v>40745</v>
      </c>
      <c r="D429" s="175">
        <v>351500</v>
      </c>
      <c r="E429" s="175"/>
      <c r="F429" s="67">
        <f t="shared" si="90"/>
        <v>351500</v>
      </c>
      <c r="G429" s="67">
        <v>350500</v>
      </c>
      <c r="H429" s="67">
        <f t="shared" si="97"/>
        <v>1000</v>
      </c>
      <c r="I429" s="68">
        <v>5</v>
      </c>
      <c r="J429" s="68">
        <v>0.2</v>
      </c>
      <c r="K429" s="68">
        <v>0</v>
      </c>
      <c r="L429" s="110">
        <f t="shared" si="100"/>
        <v>0</v>
      </c>
      <c r="M429" s="67">
        <f t="shared" si="101"/>
        <v>350500</v>
      </c>
      <c r="N429" s="110">
        <f t="shared" si="91"/>
        <v>1000</v>
      </c>
      <c r="O429" s="68" t="s">
        <v>2287</v>
      </c>
      <c r="P429" s="555">
        <v>1</v>
      </c>
      <c r="Q429" s="495" t="s">
        <v>486</v>
      </c>
      <c r="R429" s="23"/>
      <c r="S429" s="10">
        <f t="shared" si="92"/>
        <v>17575</v>
      </c>
      <c r="T429" s="10">
        <f t="shared" si="93"/>
        <v>-16575</v>
      </c>
      <c r="U429" s="10">
        <f t="shared" si="98"/>
        <v>0</v>
      </c>
      <c r="V429" s="10">
        <f t="shared" si="94"/>
        <v>70300</v>
      </c>
      <c r="W429" s="10">
        <f t="shared" si="99"/>
        <v>0</v>
      </c>
      <c r="X429" s="10">
        <f t="shared" si="95"/>
        <v>0</v>
      </c>
    </row>
    <row r="430" spans="1:24" s="9" customFormat="1" ht="13.5" customHeight="1" x14ac:dyDescent="0.2">
      <c r="A430" s="64">
        <f t="shared" si="96"/>
        <v>426</v>
      </c>
      <c r="B430" s="65" t="s">
        <v>2288</v>
      </c>
      <c r="C430" s="163">
        <v>40754</v>
      </c>
      <c r="D430" s="175">
        <v>2200000</v>
      </c>
      <c r="E430" s="175"/>
      <c r="F430" s="67">
        <f t="shared" si="90"/>
        <v>2200000</v>
      </c>
      <c r="G430" s="67">
        <v>2199000</v>
      </c>
      <c r="H430" s="67">
        <f t="shared" si="97"/>
        <v>1000</v>
      </c>
      <c r="I430" s="68">
        <v>5</v>
      </c>
      <c r="J430" s="68">
        <v>0.2</v>
      </c>
      <c r="K430" s="68">
        <v>0</v>
      </c>
      <c r="L430" s="110">
        <f t="shared" si="100"/>
        <v>0</v>
      </c>
      <c r="M430" s="67">
        <f t="shared" si="101"/>
        <v>2199000</v>
      </c>
      <c r="N430" s="110">
        <f t="shared" si="91"/>
        <v>1000</v>
      </c>
      <c r="O430" s="68" t="s">
        <v>2279</v>
      </c>
      <c r="P430" s="555">
        <v>2</v>
      </c>
      <c r="Q430" s="495" t="s">
        <v>486</v>
      </c>
      <c r="R430" s="23"/>
      <c r="S430" s="10">
        <f t="shared" si="92"/>
        <v>110000</v>
      </c>
      <c r="T430" s="10">
        <f t="shared" si="93"/>
        <v>-109000</v>
      </c>
      <c r="U430" s="10">
        <f t="shared" si="98"/>
        <v>0</v>
      </c>
      <c r="V430" s="10">
        <f t="shared" si="94"/>
        <v>440000</v>
      </c>
      <c r="W430" s="10">
        <f t="shared" si="99"/>
        <v>0</v>
      </c>
      <c r="X430" s="10">
        <f t="shared" si="95"/>
        <v>0</v>
      </c>
    </row>
    <row r="431" spans="1:24" s="9" customFormat="1" ht="13.5" customHeight="1" x14ac:dyDescent="0.2">
      <c r="A431" s="64">
        <f t="shared" si="96"/>
        <v>427</v>
      </c>
      <c r="B431" s="65" t="s">
        <v>2289</v>
      </c>
      <c r="C431" s="163">
        <v>40754</v>
      </c>
      <c r="D431" s="175">
        <v>3300000</v>
      </c>
      <c r="E431" s="175"/>
      <c r="F431" s="67">
        <f t="shared" si="90"/>
        <v>3300000</v>
      </c>
      <c r="G431" s="67">
        <v>3299000</v>
      </c>
      <c r="H431" s="67">
        <f t="shared" si="97"/>
        <v>1000</v>
      </c>
      <c r="I431" s="68">
        <v>5</v>
      </c>
      <c r="J431" s="68">
        <v>0.2</v>
      </c>
      <c r="K431" s="68">
        <v>0</v>
      </c>
      <c r="L431" s="110">
        <f t="shared" si="100"/>
        <v>0</v>
      </c>
      <c r="M431" s="67">
        <f t="shared" si="101"/>
        <v>3299000</v>
      </c>
      <c r="N431" s="110">
        <f t="shared" si="91"/>
        <v>1000</v>
      </c>
      <c r="O431" s="68" t="s">
        <v>2279</v>
      </c>
      <c r="P431" s="555">
        <v>30</v>
      </c>
      <c r="Q431" s="495" t="s">
        <v>486</v>
      </c>
      <c r="R431" s="23"/>
      <c r="S431" s="10">
        <f t="shared" si="92"/>
        <v>165000</v>
      </c>
      <c r="T431" s="10">
        <f t="shared" si="93"/>
        <v>-164000</v>
      </c>
      <c r="U431" s="10">
        <f t="shared" si="98"/>
        <v>0</v>
      </c>
      <c r="V431" s="10">
        <f t="shared" si="94"/>
        <v>660000</v>
      </c>
      <c r="W431" s="10">
        <f t="shared" si="99"/>
        <v>0</v>
      </c>
      <c r="X431" s="10">
        <f t="shared" si="95"/>
        <v>0</v>
      </c>
    </row>
    <row r="432" spans="1:24" s="9" customFormat="1" ht="13.5" customHeight="1" x14ac:dyDescent="0.2">
      <c r="A432" s="64">
        <f t="shared" si="96"/>
        <v>428</v>
      </c>
      <c r="B432" s="65" t="s">
        <v>2288</v>
      </c>
      <c r="C432" s="163">
        <v>40754</v>
      </c>
      <c r="D432" s="175">
        <v>1100000</v>
      </c>
      <c r="E432" s="175"/>
      <c r="F432" s="67">
        <f t="shared" si="90"/>
        <v>1100000</v>
      </c>
      <c r="G432" s="67">
        <v>1099000</v>
      </c>
      <c r="H432" s="67">
        <f t="shared" si="97"/>
        <v>1000</v>
      </c>
      <c r="I432" s="68">
        <v>5</v>
      </c>
      <c r="J432" s="68">
        <v>0.2</v>
      </c>
      <c r="K432" s="68">
        <v>0</v>
      </c>
      <c r="L432" s="110">
        <f t="shared" si="100"/>
        <v>0</v>
      </c>
      <c r="M432" s="67">
        <f t="shared" si="101"/>
        <v>1099000</v>
      </c>
      <c r="N432" s="110">
        <f t="shared" si="91"/>
        <v>1000</v>
      </c>
      <c r="O432" s="68" t="s">
        <v>2279</v>
      </c>
      <c r="P432" s="555">
        <v>1</v>
      </c>
      <c r="Q432" s="495" t="s">
        <v>486</v>
      </c>
      <c r="R432" s="23"/>
      <c r="S432" s="10">
        <f t="shared" si="92"/>
        <v>55000</v>
      </c>
      <c r="T432" s="10">
        <f t="shared" si="93"/>
        <v>-54000</v>
      </c>
      <c r="U432" s="10">
        <f t="shared" si="98"/>
        <v>0</v>
      </c>
      <c r="V432" s="10">
        <f t="shared" si="94"/>
        <v>220000</v>
      </c>
      <c r="W432" s="10">
        <f t="shared" si="99"/>
        <v>0</v>
      </c>
      <c r="X432" s="10">
        <f t="shared" si="95"/>
        <v>0</v>
      </c>
    </row>
    <row r="433" spans="1:24" s="9" customFormat="1" ht="13.5" customHeight="1" x14ac:dyDescent="0.2">
      <c r="A433" s="64">
        <f t="shared" si="96"/>
        <v>429</v>
      </c>
      <c r="B433" s="65" t="s">
        <v>2290</v>
      </c>
      <c r="C433" s="163">
        <v>40754</v>
      </c>
      <c r="D433" s="175">
        <v>1300000</v>
      </c>
      <c r="E433" s="175"/>
      <c r="F433" s="67">
        <f t="shared" si="90"/>
        <v>1300000</v>
      </c>
      <c r="G433" s="67">
        <v>1299000</v>
      </c>
      <c r="H433" s="67">
        <f t="shared" si="97"/>
        <v>1000</v>
      </c>
      <c r="I433" s="68">
        <v>5</v>
      </c>
      <c r="J433" s="68">
        <v>0.2</v>
      </c>
      <c r="K433" s="68">
        <v>0</v>
      </c>
      <c r="L433" s="110">
        <f t="shared" si="100"/>
        <v>0</v>
      </c>
      <c r="M433" s="67">
        <f t="shared" si="101"/>
        <v>1299000</v>
      </c>
      <c r="N433" s="110">
        <f t="shared" si="91"/>
        <v>1000</v>
      </c>
      <c r="O433" s="68" t="s">
        <v>2279</v>
      </c>
      <c r="P433" s="555">
        <v>2</v>
      </c>
      <c r="Q433" s="495" t="s">
        <v>486</v>
      </c>
      <c r="R433" s="23"/>
      <c r="S433" s="10">
        <f t="shared" si="92"/>
        <v>65000</v>
      </c>
      <c r="T433" s="10">
        <f t="shared" si="93"/>
        <v>-64000</v>
      </c>
      <c r="U433" s="10">
        <f t="shared" si="98"/>
        <v>0</v>
      </c>
      <c r="V433" s="10">
        <f t="shared" si="94"/>
        <v>260000</v>
      </c>
      <c r="W433" s="10">
        <f t="shared" si="99"/>
        <v>0</v>
      </c>
      <c r="X433" s="10">
        <f t="shared" si="95"/>
        <v>0</v>
      </c>
    </row>
    <row r="434" spans="1:24" s="9" customFormat="1" ht="13.5" customHeight="1" x14ac:dyDescent="0.2">
      <c r="A434" s="64">
        <f t="shared" si="96"/>
        <v>430</v>
      </c>
      <c r="B434" s="65" t="s">
        <v>2291</v>
      </c>
      <c r="C434" s="163">
        <v>40754</v>
      </c>
      <c r="D434" s="175">
        <v>1100000</v>
      </c>
      <c r="E434" s="175"/>
      <c r="F434" s="67">
        <f t="shared" si="90"/>
        <v>1100000</v>
      </c>
      <c r="G434" s="67">
        <v>1099000</v>
      </c>
      <c r="H434" s="67">
        <f t="shared" si="97"/>
        <v>1000</v>
      </c>
      <c r="I434" s="68">
        <v>5</v>
      </c>
      <c r="J434" s="68">
        <v>0.2</v>
      </c>
      <c r="K434" s="68">
        <v>0</v>
      </c>
      <c r="L434" s="110">
        <f t="shared" si="100"/>
        <v>0</v>
      </c>
      <c r="M434" s="67">
        <f t="shared" si="101"/>
        <v>1099000</v>
      </c>
      <c r="N434" s="110">
        <f t="shared" si="91"/>
        <v>1000</v>
      </c>
      <c r="O434" s="68" t="s">
        <v>2279</v>
      </c>
      <c r="P434" s="555">
        <v>2</v>
      </c>
      <c r="Q434" s="495" t="s">
        <v>486</v>
      </c>
      <c r="R434" s="23"/>
      <c r="S434" s="10">
        <f t="shared" si="92"/>
        <v>55000</v>
      </c>
      <c r="T434" s="10">
        <f t="shared" si="93"/>
        <v>-54000</v>
      </c>
      <c r="U434" s="10">
        <f t="shared" si="98"/>
        <v>0</v>
      </c>
      <c r="V434" s="10">
        <f t="shared" si="94"/>
        <v>220000</v>
      </c>
      <c r="W434" s="10">
        <f t="shared" si="99"/>
        <v>0</v>
      </c>
      <c r="X434" s="10">
        <f t="shared" si="95"/>
        <v>0</v>
      </c>
    </row>
    <row r="435" spans="1:24" s="9" customFormat="1" ht="13.5" customHeight="1" x14ac:dyDescent="0.2">
      <c r="A435" s="64">
        <f t="shared" si="96"/>
        <v>431</v>
      </c>
      <c r="B435" s="65" t="s">
        <v>2292</v>
      </c>
      <c r="C435" s="163">
        <v>40754</v>
      </c>
      <c r="D435" s="175">
        <v>990000</v>
      </c>
      <c r="E435" s="175"/>
      <c r="F435" s="67">
        <f t="shared" si="90"/>
        <v>990000</v>
      </c>
      <c r="G435" s="67">
        <v>989000</v>
      </c>
      <c r="H435" s="67">
        <f t="shared" si="97"/>
        <v>1000</v>
      </c>
      <c r="I435" s="68">
        <v>5</v>
      </c>
      <c r="J435" s="68">
        <v>0.2</v>
      </c>
      <c r="K435" s="68">
        <v>0</v>
      </c>
      <c r="L435" s="110">
        <f t="shared" si="100"/>
        <v>0</v>
      </c>
      <c r="M435" s="67">
        <f t="shared" si="101"/>
        <v>989000</v>
      </c>
      <c r="N435" s="110">
        <f t="shared" si="91"/>
        <v>1000</v>
      </c>
      <c r="O435" s="68" t="s">
        <v>2279</v>
      </c>
      <c r="P435" s="555">
        <v>3</v>
      </c>
      <c r="Q435" s="495" t="s">
        <v>486</v>
      </c>
      <c r="R435" s="23"/>
      <c r="S435" s="10">
        <f t="shared" si="92"/>
        <v>49500</v>
      </c>
      <c r="T435" s="10">
        <f t="shared" si="93"/>
        <v>-48500</v>
      </c>
      <c r="U435" s="10">
        <f t="shared" si="98"/>
        <v>0</v>
      </c>
      <c r="V435" s="10">
        <f t="shared" si="94"/>
        <v>198000</v>
      </c>
      <c r="W435" s="10">
        <f t="shared" si="99"/>
        <v>0</v>
      </c>
      <c r="X435" s="10">
        <f t="shared" si="95"/>
        <v>0</v>
      </c>
    </row>
    <row r="436" spans="1:24" s="9" customFormat="1" ht="13.5" customHeight="1" x14ac:dyDescent="0.2">
      <c r="A436" s="64">
        <f t="shared" si="96"/>
        <v>432</v>
      </c>
      <c r="B436" s="65" t="s">
        <v>2293</v>
      </c>
      <c r="C436" s="163">
        <v>40754</v>
      </c>
      <c r="D436" s="175">
        <v>650000</v>
      </c>
      <c r="E436" s="175"/>
      <c r="F436" s="67">
        <f t="shared" si="90"/>
        <v>650000</v>
      </c>
      <c r="G436" s="67">
        <v>649000</v>
      </c>
      <c r="H436" s="67">
        <f t="shared" si="97"/>
        <v>1000</v>
      </c>
      <c r="I436" s="68">
        <v>5</v>
      </c>
      <c r="J436" s="68">
        <v>0.2</v>
      </c>
      <c r="K436" s="68">
        <v>0</v>
      </c>
      <c r="L436" s="110">
        <f t="shared" si="100"/>
        <v>0</v>
      </c>
      <c r="M436" s="67">
        <f t="shared" si="101"/>
        <v>649000</v>
      </c>
      <c r="N436" s="110">
        <f t="shared" si="91"/>
        <v>1000</v>
      </c>
      <c r="O436" s="68" t="s">
        <v>2279</v>
      </c>
      <c r="P436" s="555">
        <v>1</v>
      </c>
      <c r="Q436" s="495" t="s">
        <v>486</v>
      </c>
      <c r="R436" s="23"/>
      <c r="S436" s="10">
        <f t="shared" si="92"/>
        <v>32500</v>
      </c>
      <c r="T436" s="10">
        <f t="shared" si="93"/>
        <v>-31500</v>
      </c>
      <c r="U436" s="10">
        <f t="shared" si="98"/>
        <v>0</v>
      </c>
      <c r="V436" s="10">
        <f t="shared" si="94"/>
        <v>130000</v>
      </c>
      <c r="W436" s="10">
        <f t="shared" si="99"/>
        <v>0</v>
      </c>
      <c r="X436" s="10">
        <f t="shared" si="95"/>
        <v>0</v>
      </c>
    </row>
    <row r="437" spans="1:24" s="9" customFormat="1" ht="13.5" customHeight="1" x14ac:dyDescent="0.2">
      <c r="A437" s="64">
        <f t="shared" si="96"/>
        <v>433</v>
      </c>
      <c r="B437" s="65" t="s">
        <v>2294</v>
      </c>
      <c r="C437" s="163">
        <v>40786</v>
      </c>
      <c r="D437" s="175">
        <v>760000</v>
      </c>
      <c r="E437" s="175"/>
      <c r="F437" s="67">
        <f t="shared" si="90"/>
        <v>760000</v>
      </c>
      <c r="G437" s="67">
        <v>759000</v>
      </c>
      <c r="H437" s="67">
        <f t="shared" si="97"/>
        <v>1000</v>
      </c>
      <c r="I437" s="68">
        <v>5</v>
      </c>
      <c r="J437" s="68">
        <v>0.2</v>
      </c>
      <c r="K437" s="68">
        <v>0</v>
      </c>
      <c r="L437" s="110">
        <f t="shared" si="100"/>
        <v>0</v>
      </c>
      <c r="M437" s="67">
        <f t="shared" si="101"/>
        <v>759000</v>
      </c>
      <c r="N437" s="110">
        <f t="shared" si="91"/>
        <v>1000</v>
      </c>
      <c r="O437" s="68" t="s">
        <v>2279</v>
      </c>
      <c r="P437" s="555">
        <v>1</v>
      </c>
      <c r="Q437" s="495" t="s">
        <v>486</v>
      </c>
      <c r="R437" s="23"/>
      <c r="S437" s="10">
        <f t="shared" si="92"/>
        <v>38000</v>
      </c>
      <c r="T437" s="10">
        <f t="shared" si="93"/>
        <v>-37000</v>
      </c>
      <c r="U437" s="10">
        <f t="shared" si="98"/>
        <v>0</v>
      </c>
      <c r="V437" s="10">
        <f t="shared" si="94"/>
        <v>152000</v>
      </c>
      <c r="W437" s="10">
        <f t="shared" si="99"/>
        <v>0</v>
      </c>
      <c r="X437" s="10">
        <f t="shared" si="95"/>
        <v>0</v>
      </c>
    </row>
    <row r="438" spans="1:24" s="9" customFormat="1" ht="13.5" customHeight="1" x14ac:dyDescent="0.2">
      <c r="A438" s="64">
        <f t="shared" si="96"/>
        <v>434</v>
      </c>
      <c r="B438" s="65" t="s">
        <v>2295</v>
      </c>
      <c r="C438" s="163">
        <v>40786</v>
      </c>
      <c r="D438" s="175">
        <v>2040000</v>
      </c>
      <c r="E438" s="175"/>
      <c r="F438" s="67">
        <f t="shared" si="90"/>
        <v>2040000</v>
      </c>
      <c r="G438" s="67">
        <v>2039000</v>
      </c>
      <c r="H438" s="67">
        <f t="shared" si="97"/>
        <v>1000</v>
      </c>
      <c r="I438" s="68">
        <v>5</v>
      </c>
      <c r="J438" s="68">
        <v>0.2</v>
      </c>
      <c r="K438" s="68">
        <v>0</v>
      </c>
      <c r="L438" s="110">
        <f t="shared" si="100"/>
        <v>0</v>
      </c>
      <c r="M438" s="67">
        <f t="shared" si="101"/>
        <v>2039000</v>
      </c>
      <c r="N438" s="110">
        <f t="shared" si="91"/>
        <v>1000</v>
      </c>
      <c r="O438" s="68" t="s">
        <v>2279</v>
      </c>
      <c r="P438" s="555">
        <v>2</v>
      </c>
      <c r="Q438" s="495" t="s">
        <v>486</v>
      </c>
      <c r="R438" s="23"/>
      <c r="S438" s="10">
        <f t="shared" si="92"/>
        <v>102000</v>
      </c>
      <c r="T438" s="10">
        <f t="shared" si="93"/>
        <v>-101000</v>
      </c>
      <c r="U438" s="10">
        <f t="shared" si="98"/>
        <v>0</v>
      </c>
      <c r="V438" s="10">
        <f t="shared" si="94"/>
        <v>408000</v>
      </c>
      <c r="W438" s="10">
        <f t="shared" si="99"/>
        <v>0</v>
      </c>
      <c r="X438" s="10">
        <f t="shared" si="95"/>
        <v>0</v>
      </c>
    </row>
    <row r="439" spans="1:24" s="9" customFormat="1" ht="13.5" customHeight="1" x14ac:dyDescent="0.2">
      <c r="A439" s="64">
        <f t="shared" si="96"/>
        <v>435</v>
      </c>
      <c r="B439" s="65" t="s">
        <v>2296</v>
      </c>
      <c r="C439" s="163">
        <v>40786</v>
      </c>
      <c r="D439" s="175">
        <v>1020000</v>
      </c>
      <c r="E439" s="175"/>
      <c r="F439" s="67">
        <f t="shared" si="90"/>
        <v>1020000</v>
      </c>
      <c r="G439" s="67">
        <v>1019000</v>
      </c>
      <c r="H439" s="67">
        <f t="shared" si="97"/>
        <v>1000</v>
      </c>
      <c r="I439" s="68">
        <v>5</v>
      </c>
      <c r="J439" s="68">
        <v>0.2</v>
      </c>
      <c r="K439" s="68">
        <v>0</v>
      </c>
      <c r="L439" s="110">
        <f t="shared" si="100"/>
        <v>0</v>
      </c>
      <c r="M439" s="67">
        <f t="shared" si="101"/>
        <v>1019000</v>
      </c>
      <c r="N439" s="110">
        <f t="shared" si="91"/>
        <v>1000</v>
      </c>
      <c r="O439" s="68" t="s">
        <v>2279</v>
      </c>
      <c r="P439" s="555">
        <v>1</v>
      </c>
      <c r="Q439" s="495" t="s">
        <v>486</v>
      </c>
      <c r="R439" s="23"/>
      <c r="S439" s="10">
        <f t="shared" si="92"/>
        <v>51000</v>
      </c>
      <c r="T439" s="10">
        <f t="shared" si="93"/>
        <v>-50000</v>
      </c>
      <c r="U439" s="10">
        <f t="shared" si="98"/>
        <v>0</v>
      </c>
      <c r="V439" s="10">
        <f t="shared" si="94"/>
        <v>204000</v>
      </c>
      <c r="W439" s="10">
        <f t="shared" si="99"/>
        <v>0</v>
      </c>
      <c r="X439" s="10">
        <f t="shared" si="95"/>
        <v>0</v>
      </c>
    </row>
    <row r="440" spans="1:24" s="9" customFormat="1" ht="13.5" customHeight="1" x14ac:dyDescent="0.2">
      <c r="A440" s="64">
        <f t="shared" si="96"/>
        <v>436</v>
      </c>
      <c r="B440" s="65" t="s">
        <v>2297</v>
      </c>
      <c r="C440" s="163">
        <v>40786</v>
      </c>
      <c r="D440" s="175">
        <v>1000000</v>
      </c>
      <c r="E440" s="175"/>
      <c r="F440" s="67">
        <f t="shared" si="90"/>
        <v>1000000</v>
      </c>
      <c r="G440" s="67">
        <v>999000</v>
      </c>
      <c r="H440" s="67">
        <f t="shared" si="97"/>
        <v>1000</v>
      </c>
      <c r="I440" s="68">
        <v>5</v>
      </c>
      <c r="J440" s="68">
        <v>0.2</v>
      </c>
      <c r="K440" s="68">
        <v>0</v>
      </c>
      <c r="L440" s="110">
        <f t="shared" si="100"/>
        <v>0</v>
      </c>
      <c r="M440" s="67">
        <f t="shared" si="101"/>
        <v>999000</v>
      </c>
      <c r="N440" s="110">
        <f t="shared" si="91"/>
        <v>1000</v>
      </c>
      <c r="O440" s="68" t="s">
        <v>2279</v>
      </c>
      <c r="P440" s="555">
        <v>1</v>
      </c>
      <c r="Q440" s="495" t="s">
        <v>486</v>
      </c>
      <c r="R440" s="23"/>
      <c r="S440" s="10">
        <f t="shared" si="92"/>
        <v>50000</v>
      </c>
      <c r="T440" s="10">
        <f t="shared" si="93"/>
        <v>-49000</v>
      </c>
      <c r="U440" s="10">
        <f t="shared" si="98"/>
        <v>0</v>
      </c>
      <c r="V440" s="10">
        <f t="shared" si="94"/>
        <v>200000</v>
      </c>
      <c r="W440" s="10">
        <f t="shared" si="99"/>
        <v>0</v>
      </c>
      <c r="X440" s="10">
        <f t="shared" si="95"/>
        <v>0</v>
      </c>
    </row>
    <row r="441" spans="1:24" s="9" customFormat="1" ht="13.5" customHeight="1" x14ac:dyDescent="0.2">
      <c r="A441" s="64">
        <f t="shared" si="96"/>
        <v>437</v>
      </c>
      <c r="B441" s="65" t="s">
        <v>2298</v>
      </c>
      <c r="C441" s="163">
        <v>40786</v>
      </c>
      <c r="D441" s="175">
        <v>750000</v>
      </c>
      <c r="E441" s="175"/>
      <c r="F441" s="67">
        <f t="shared" si="90"/>
        <v>750000</v>
      </c>
      <c r="G441" s="67">
        <v>749000</v>
      </c>
      <c r="H441" s="67">
        <f t="shared" si="97"/>
        <v>1000</v>
      </c>
      <c r="I441" s="68">
        <v>5</v>
      </c>
      <c r="J441" s="68">
        <v>0.2</v>
      </c>
      <c r="K441" s="68">
        <v>0</v>
      </c>
      <c r="L441" s="110">
        <f t="shared" si="100"/>
        <v>0</v>
      </c>
      <c r="M441" s="67">
        <f t="shared" si="101"/>
        <v>749000</v>
      </c>
      <c r="N441" s="110">
        <f t="shared" si="91"/>
        <v>1000</v>
      </c>
      <c r="O441" s="68" t="s">
        <v>2279</v>
      </c>
      <c r="P441" s="555">
        <v>1</v>
      </c>
      <c r="Q441" s="495" t="s">
        <v>486</v>
      </c>
      <c r="R441" s="23"/>
      <c r="S441" s="10">
        <f t="shared" si="92"/>
        <v>37500</v>
      </c>
      <c r="T441" s="10">
        <f t="shared" si="93"/>
        <v>-36500</v>
      </c>
      <c r="U441" s="10">
        <f t="shared" si="98"/>
        <v>0</v>
      </c>
      <c r="V441" s="10">
        <f t="shared" si="94"/>
        <v>150000</v>
      </c>
      <c r="W441" s="10">
        <f t="shared" si="99"/>
        <v>0</v>
      </c>
      <c r="X441" s="10">
        <f t="shared" si="95"/>
        <v>0</v>
      </c>
    </row>
    <row r="442" spans="1:24" s="9" customFormat="1" ht="13.5" customHeight="1" x14ac:dyDescent="0.2">
      <c r="A442" s="64">
        <f t="shared" si="96"/>
        <v>438</v>
      </c>
      <c r="B442" s="65" t="s">
        <v>2299</v>
      </c>
      <c r="C442" s="163">
        <v>40786</v>
      </c>
      <c r="D442" s="175">
        <v>700000</v>
      </c>
      <c r="E442" s="175"/>
      <c r="F442" s="67">
        <f t="shared" ref="F442:F494" si="102">+D442+E442</f>
        <v>700000</v>
      </c>
      <c r="G442" s="67">
        <v>699000</v>
      </c>
      <c r="H442" s="67">
        <f t="shared" si="97"/>
        <v>1000</v>
      </c>
      <c r="I442" s="68">
        <v>5</v>
      </c>
      <c r="J442" s="68">
        <v>0.2</v>
      </c>
      <c r="K442" s="68">
        <v>0</v>
      </c>
      <c r="L442" s="110">
        <f t="shared" si="100"/>
        <v>0</v>
      </c>
      <c r="M442" s="67">
        <f t="shared" si="101"/>
        <v>699000</v>
      </c>
      <c r="N442" s="110">
        <f t="shared" ref="N442:N494" si="103">+F442-M442</f>
        <v>1000</v>
      </c>
      <c r="O442" s="68" t="s">
        <v>2279</v>
      </c>
      <c r="P442" s="555">
        <v>1</v>
      </c>
      <c r="Q442" s="495" t="s">
        <v>2300</v>
      </c>
      <c r="R442" s="23"/>
      <c r="S442" s="10">
        <f t="shared" si="92"/>
        <v>35000</v>
      </c>
      <c r="T442" s="10">
        <f t="shared" si="93"/>
        <v>-34000</v>
      </c>
      <c r="U442" s="10">
        <f t="shared" si="98"/>
        <v>0</v>
      </c>
      <c r="V442" s="10">
        <f t="shared" si="94"/>
        <v>140000</v>
      </c>
      <c r="W442" s="10">
        <f t="shared" si="99"/>
        <v>0</v>
      </c>
      <c r="X442" s="10">
        <f t="shared" si="95"/>
        <v>0</v>
      </c>
    </row>
    <row r="443" spans="1:24" s="9" customFormat="1" ht="13.5" customHeight="1" x14ac:dyDescent="0.2">
      <c r="A443" s="64">
        <f t="shared" si="96"/>
        <v>439</v>
      </c>
      <c r="B443" s="65" t="s">
        <v>2019</v>
      </c>
      <c r="C443" s="163">
        <v>40788</v>
      </c>
      <c r="D443" s="175">
        <v>234000</v>
      </c>
      <c r="E443" s="175"/>
      <c r="F443" s="67">
        <f t="shared" si="102"/>
        <v>234000</v>
      </c>
      <c r="G443" s="67">
        <v>233000</v>
      </c>
      <c r="H443" s="67">
        <f t="shared" si="97"/>
        <v>1000</v>
      </c>
      <c r="I443" s="68">
        <v>5</v>
      </c>
      <c r="J443" s="68">
        <v>0.2</v>
      </c>
      <c r="K443" s="68">
        <v>0</v>
      </c>
      <c r="L443" s="110">
        <f t="shared" si="100"/>
        <v>0</v>
      </c>
      <c r="M443" s="67">
        <f t="shared" si="101"/>
        <v>233000</v>
      </c>
      <c r="N443" s="110">
        <f t="shared" si="103"/>
        <v>1000</v>
      </c>
      <c r="O443" s="68" t="s">
        <v>427</v>
      </c>
      <c r="P443" s="555">
        <v>1</v>
      </c>
      <c r="Q443" s="495" t="s">
        <v>2269</v>
      </c>
      <c r="R443" s="23"/>
      <c r="S443" s="10">
        <f t="shared" si="92"/>
        <v>11700</v>
      </c>
      <c r="T443" s="10">
        <f t="shared" si="93"/>
        <v>-10700</v>
      </c>
      <c r="U443" s="10">
        <f t="shared" si="98"/>
        <v>0</v>
      </c>
      <c r="V443" s="10">
        <f t="shared" si="94"/>
        <v>46800</v>
      </c>
      <c r="W443" s="10">
        <f t="shared" si="99"/>
        <v>0</v>
      </c>
      <c r="X443" s="10">
        <f t="shared" si="95"/>
        <v>0</v>
      </c>
    </row>
    <row r="444" spans="1:24" s="9" customFormat="1" ht="13.5" customHeight="1" x14ac:dyDescent="0.2">
      <c r="A444" s="64">
        <f t="shared" si="96"/>
        <v>440</v>
      </c>
      <c r="B444" s="65" t="s">
        <v>2301</v>
      </c>
      <c r="C444" s="163">
        <v>40746</v>
      </c>
      <c r="D444" s="175">
        <v>120000</v>
      </c>
      <c r="E444" s="175"/>
      <c r="F444" s="67">
        <f t="shared" si="102"/>
        <v>120000</v>
      </c>
      <c r="G444" s="67">
        <v>119000</v>
      </c>
      <c r="H444" s="67">
        <f t="shared" si="97"/>
        <v>1000</v>
      </c>
      <c r="I444" s="68">
        <v>5</v>
      </c>
      <c r="J444" s="68">
        <v>0.2</v>
      </c>
      <c r="K444" s="68">
        <v>0</v>
      </c>
      <c r="L444" s="110">
        <f t="shared" si="100"/>
        <v>0</v>
      </c>
      <c r="M444" s="67">
        <f t="shared" si="101"/>
        <v>119000</v>
      </c>
      <c r="N444" s="110">
        <f t="shared" si="103"/>
        <v>1000</v>
      </c>
      <c r="O444" s="68" t="s">
        <v>2226</v>
      </c>
      <c r="P444" s="555">
        <v>1</v>
      </c>
      <c r="Q444" s="495" t="s">
        <v>2302</v>
      </c>
      <c r="R444" s="23"/>
      <c r="S444" s="10">
        <f t="shared" si="92"/>
        <v>6000</v>
      </c>
      <c r="T444" s="10">
        <f t="shared" si="93"/>
        <v>-5000</v>
      </c>
      <c r="U444" s="10">
        <f t="shared" si="98"/>
        <v>0</v>
      </c>
      <c r="V444" s="10">
        <f t="shared" si="94"/>
        <v>24000</v>
      </c>
      <c r="W444" s="10">
        <f t="shared" si="99"/>
        <v>0</v>
      </c>
      <c r="X444" s="10">
        <f t="shared" si="95"/>
        <v>0</v>
      </c>
    </row>
    <row r="445" spans="1:24" s="9" customFormat="1" ht="13.5" customHeight="1" x14ac:dyDescent="0.2">
      <c r="A445" s="64">
        <f t="shared" si="96"/>
        <v>441</v>
      </c>
      <c r="B445" s="65" t="s">
        <v>1855</v>
      </c>
      <c r="C445" s="163">
        <v>40746</v>
      </c>
      <c r="D445" s="175">
        <v>48636</v>
      </c>
      <c r="E445" s="175"/>
      <c r="F445" s="67">
        <f t="shared" si="102"/>
        <v>48636</v>
      </c>
      <c r="G445" s="67">
        <v>47636</v>
      </c>
      <c r="H445" s="67">
        <f t="shared" si="97"/>
        <v>1000</v>
      </c>
      <c r="I445" s="68">
        <v>5</v>
      </c>
      <c r="J445" s="68">
        <v>0.2</v>
      </c>
      <c r="K445" s="68">
        <v>0</v>
      </c>
      <c r="L445" s="110">
        <f t="shared" si="100"/>
        <v>0</v>
      </c>
      <c r="M445" s="67">
        <f t="shared" si="101"/>
        <v>47636</v>
      </c>
      <c r="N445" s="110">
        <f t="shared" si="103"/>
        <v>1000</v>
      </c>
      <c r="O445" s="68" t="s">
        <v>2177</v>
      </c>
      <c r="P445" s="555">
        <v>1</v>
      </c>
      <c r="Q445" s="495" t="s">
        <v>2302</v>
      </c>
      <c r="R445" s="23"/>
      <c r="S445" s="10">
        <f t="shared" si="92"/>
        <v>2431.8000000000002</v>
      </c>
      <c r="T445" s="10">
        <f t="shared" si="93"/>
        <v>-1431.8000000000002</v>
      </c>
      <c r="U445" s="10">
        <f t="shared" si="98"/>
        <v>0</v>
      </c>
      <c r="V445" s="10">
        <f t="shared" si="94"/>
        <v>9727.2000000000007</v>
      </c>
      <c r="W445" s="10">
        <f t="shared" si="99"/>
        <v>0</v>
      </c>
      <c r="X445" s="10">
        <f t="shared" si="95"/>
        <v>0</v>
      </c>
    </row>
    <row r="446" spans="1:24" s="9" customFormat="1" ht="13.5" customHeight="1" x14ac:dyDescent="0.2">
      <c r="A446" s="64">
        <f t="shared" si="96"/>
        <v>442</v>
      </c>
      <c r="B446" s="65" t="s">
        <v>1873</v>
      </c>
      <c r="C446" s="163">
        <v>40746</v>
      </c>
      <c r="D446" s="175">
        <v>95000</v>
      </c>
      <c r="E446" s="175"/>
      <c r="F446" s="67">
        <f t="shared" si="102"/>
        <v>95000</v>
      </c>
      <c r="G446" s="67">
        <v>94000</v>
      </c>
      <c r="H446" s="67">
        <f t="shared" si="97"/>
        <v>1000</v>
      </c>
      <c r="I446" s="68">
        <v>5</v>
      </c>
      <c r="J446" s="68">
        <v>0.2</v>
      </c>
      <c r="K446" s="68">
        <v>0</v>
      </c>
      <c r="L446" s="110">
        <f t="shared" si="100"/>
        <v>0</v>
      </c>
      <c r="M446" s="67">
        <f t="shared" si="101"/>
        <v>94000</v>
      </c>
      <c r="N446" s="110">
        <f t="shared" si="103"/>
        <v>1000</v>
      </c>
      <c r="O446" s="68" t="s">
        <v>2177</v>
      </c>
      <c r="P446" s="555">
        <v>1</v>
      </c>
      <c r="Q446" s="495" t="s">
        <v>2302</v>
      </c>
      <c r="R446" s="23"/>
      <c r="S446" s="10">
        <f t="shared" si="92"/>
        <v>4750</v>
      </c>
      <c r="T446" s="10">
        <f t="shared" si="93"/>
        <v>-3750</v>
      </c>
      <c r="U446" s="10">
        <f t="shared" si="98"/>
        <v>0</v>
      </c>
      <c r="V446" s="10">
        <f t="shared" si="94"/>
        <v>19000</v>
      </c>
      <c r="W446" s="10">
        <f t="shared" si="99"/>
        <v>0</v>
      </c>
      <c r="X446" s="10">
        <f t="shared" si="95"/>
        <v>0</v>
      </c>
    </row>
    <row r="447" spans="1:24" s="9" customFormat="1" ht="13.5" customHeight="1" x14ac:dyDescent="0.2">
      <c r="A447" s="64">
        <f t="shared" si="96"/>
        <v>443</v>
      </c>
      <c r="B447" s="65" t="s">
        <v>2303</v>
      </c>
      <c r="C447" s="163">
        <v>40754</v>
      </c>
      <c r="D447" s="175">
        <v>860000</v>
      </c>
      <c r="E447" s="175"/>
      <c r="F447" s="67">
        <f t="shared" si="102"/>
        <v>860000</v>
      </c>
      <c r="G447" s="67">
        <v>859000</v>
      </c>
      <c r="H447" s="67">
        <f t="shared" si="97"/>
        <v>1000</v>
      </c>
      <c r="I447" s="68">
        <v>5</v>
      </c>
      <c r="J447" s="68">
        <v>0.2</v>
      </c>
      <c r="K447" s="68">
        <v>0</v>
      </c>
      <c r="L447" s="110">
        <f t="shared" si="100"/>
        <v>0</v>
      </c>
      <c r="M447" s="67">
        <f t="shared" si="101"/>
        <v>859000</v>
      </c>
      <c r="N447" s="110">
        <f t="shared" si="103"/>
        <v>1000</v>
      </c>
      <c r="O447" s="68" t="s">
        <v>1965</v>
      </c>
      <c r="P447" s="555">
        <v>1</v>
      </c>
      <c r="Q447" s="495" t="s">
        <v>2302</v>
      </c>
      <c r="R447" s="23"/>
      <c r="S447" s="10">
        <f t="shared" si="92"/>
        <v>43000</v>
      </c>
      <c r="T447" s="10">
        <f t="shared" si="93"/>
        <v>-42000</v>
      </c>
      <c r="U447" s="10">
        <f t="shared" si="98"/>
        <v>0</v>
      </c>
      <c r="V447" s="10">
        <f t="shared" si="94"/>
        <v>172000</v>
      </c>
      <c r="W447" s="10">
        <f t="shared" si="99"/>
        <v>0</v>
      </c>
      <c r="X447" s="10">
        <f t="shared" si="95"/>
        <v>0</v>
      </c>
    </row>
    <row r="448" spans="1:24" s="9" customFormat="1" ht="13.5" customHeight="1" x14ac:dyDescent="0.2">
      <c r="A448" s="64">
        <f t="shared" si="96"/>
        <v>444</v>
      </c>
      <c r="B448" s="65" t="s">
        <v>2304</v>
      </c>
      <c r="C448" s="163">
        <v>40911</v>
      </c>
      <c r="D448" s="175">
        <v>200000</v>
      </c>
      <c r="E448" s="175"/>
      <c r="F448" s="67">
        <f t="shared" si="102"/>
        <v>200000</v>
      </c>
      <c r="G448" s="67">
        <v>199000</v>
      </c>
      <c r="H448" s="67">
        <f t="shared" si="97"/>
        <v>1000</v>
      </c>
      <c r="I448" s="68">
        <v>5</v>
      </c>
      <c r="J448" s="68">
        <v>0.2</v>
      </c>
      <c r="K448" s="68">
        <v>0</v>
      </c>
      <c r="L448" s="110">
        <f t="shared" si="100"/>
        <v>0</v>
      </c>
      <c r="M448" s="67">
        <f t="shared" si="101"/>
        <v>199000</v>
      </c>
      <c r="N448" s="110">
        <f t="shared" si="103"/>
        <v>1000</v>
      </c>
      <c r="O448" s="68" t="s">
        <v>2177</v>
      </c>
      <c r="P448" s="555">
        <v>1</v>
      </c>
      <c r="Q448" s="495" t="s">
        <v>2305</v>
      </c>
      <c r="R448" s="23"/>
      <c r="S448" s="10">
        <f t="shared" ref="S448:S536" si="104">F448*0.05</f>
        <v>10000</v>
      </c>
      <c r="T448" s="10">
        <f t="shared" si="93"/>
        <v>-9000</v>
      </c>
      <c r="U448" s="10">
        <f t="shared" si="98"/>
        <v>0</v>
      </c>
      <c r="V448" s="10">
        <f t="shared" si="94"/>
        <v>40000</v>
      </c>
      <c r="W448" s="10">
        <f t="shared" si="99"/>
        <v>0</v>
      </c>
      <c r="X448" s="10">
        <f t="shared" si="95"/>
        <v>0</v>
      </c>
    </row>
    <row r="449" spans="1:24" s="9" customFormat="1" ht="13.5" customHeight="1" x14ac:dyDescent="0.2">
      <c r="A449" s="64">
        <f t="shared" si="96"/>
        <v>445</v>
      </c>
      <c r="B449" s="65" t="s">
        <v>2306</v>
      </c>
      <c r="C449" s="163">
        <v>40911</v>
      </c>
      <c r="D449" s="175">
        <v>480000</v>
      </c>
      <c r="E449" s="175"/>
      <c r="F449" s="67">
        <f t="shared" si="102"/>
        <v>480000</v>
      </c>
      <c r="G449" s="67">
        <v>479000</v>
      </c>
      <c r="H449" s="67">
        <f t="shared" si="97"/>
        <v>1000</v>
      </c>
      <c r="I449" s="68">
        <v>5</v>
      </c>
      <c r="J449" s="68">
        <v>0.2</v>
      </c>
      <c r="K449" s="68">
        <v>0</v>
      </c>
      <c r="L449" s="110">
        <f t="shared" si="100"/>
        <v>0</v>
      </c>
      <c r="M449" s="67">
        <f t="shared" si="101"/>
        <v>479000</v>
      </c>
      <c r="N449" s="110">
        <f t="shared" si="103"/>
        <v>1000</v>
      </c>
      <c r="O449" s="68" t="s">
        <v>2177</v>
      </c>
      <c r="P449" s="555">
        <v>3</v>
      </c>
      <c r="Q449" s="495" t="s">
        <v>2307</v>
      </c>
      <c r="R449" s="23"/>
      <c r="S449" s="10">
        <f t="shared" si="104"/>
        <v>24000</v>
      </c>
      <c r="T449" s="10">
        <f t="shared" si="93"/>
        <v>-23000</v>
      </c>
      <c r="U449" s="10">
        <f t="shared" si="98"/>
        <v>0</v>
      </c>
      <c r="V449" s="10">
        <f t="shared" si="94"/>
        <v>96000</v>
      </c>
      <c r="W449" s="10">
        <f t="shared" si="99"/>
        <v>0</v>
      </c>
      <c r="X449" s="10">
        <f t="shared" si="95"/>
        <v>0</v>
      </c>
    </row>
    <row r="450" spans="1:24" s="9" customFormat="1" ht="13.5" customHeight="1" x14ac:dyDescent="0.2">
      <c r="A450" s="64">
        <f t="shared" si="96"/>
        <v>446</v>
      </c>
      <c r="B450" s="65" t="s">
        <v>2308</v>
      </c>
      <c r="C450" s="163">
        <v>40918</v>
      </c>
      <c r="D450" s="175">
        <v>3200000</v>
      </c>
      <c r="E450" s="175"/>
      <c r="F450" s="67">
        <f t="shared" si="102"/>
        <v>3200000</v>
      </c>
      <c r="G450" s="67">
        <v>3199000</v>
      </c>
      <c r="H450" s="67">
        <f t="shared" si="97"/>
        <v>1000</v>
      </c>
      <c r="I450" s="68">
        <v>5</v>
      </c>
      <c r="J450" s="68">
        <v>0.2</v>
      </c>
      <c r="K450" s="68">
        <v>0</v>
      </c>
      <c r="L450" s="110">
        <f t="shared" si="100"/>
        <v>0</v>
      </c>
      <c r="M450" s="67">
        <f t="shared" si="101"/>
        <v>3199000</v>
      </c>
      <c r="N450" s="110">
        <f t="shared" si="103"/>
        <v>1000</v>
      </c>
      <c r="O450" s="68" t="s">
        <v>2309</v>
      </c>
      <c r="P450" s="555">
        <v>1</v>
      </c>
      <c r="Q450" s="495" t="s">
        <v>486</v>
      </c>
      <c r="R450" s="23"/>
      <c r="S450" s="10">
        <f t="shared" si="104"/>
        <v>160000</v>
      </c>
      <c r="T450" s="10">
        <f t="shared" si="93"/>
        <v>-159000</v>
      </c>
      <c r="U450" s="10">
        <f t="shared" si="98"/>
        <v>0</v>
      </c>
      <c r="V450" s="10">
        <f t="shared" si="94"/>
        <v>640000</v>
      </c>
      <c r="W450" s="10">
        <f t="shared" si="99"/>
        <v>0</v>
      </c>
      <c r="X450" s="10">
        <f t="shared" si="95"/>
        <v>0</v>
      </c>
    </row>
    <row r="451" spans="1:24" s="9" customFormat="1" ht="13.5" customHeight="1" x14ac:dyDescent="0.2">
      <c r="A451" s="64">
        <f t="shared" si="96"/>
        <v>447</v>
      </c>
      <c r="B451" s="65" t="s">
        <v>2310</v>
      </c>
      <c r="C451" s="163">
        <v>40945</v>
      </c>
      <c r="D451" s="175">
        <v>1600000</v>
      </c>
      <c r="E451" s="175"/>
      <c r="F451" s="67">
        <f t="shared" si="102"/>
        <v>1600000</v>
      </c>
      <c r="G451" s="67">
        <v>1599000</v>
      </c>
      <c r="H451" s="67">
        <f t="shared" si="97"/>
        <v>1000</v>
      </c>
      <c r="I451" s="68">
        <v>5</v>
      </c>
      <c r="J451" s="68">
        <v>0.2</v>
      </c>
      <c r="K451" s="68">
        <v>0</v>
      </c>
      <c r="L451" s="110">
        <f t="shared" si="100"/>
        <v>0</v>
      </c>
      <c r="M451" s="67">
        <f t="shared" si="101"/>
        <v>1599000</v>
      </c>
      <c r="N451" s="110">
        <f t="shared" si="103"/>
        <v>1000</v>
      </c>
      <c r="O451" s="68" t="s">
        <v>427</v>
      </c>
      <c r="P451" s="555">
        <v>1</v>
      </c>
      <c r="Q451" s="495" t="s">
        <v>2311</v>
      </c>
      <c r="R451" s="23"/>
      <c r="S451" s="10">
        <f t="shared" si="104"/>
        <v>80000</v>
      </c>
      <c r="T451" s="10">
        <f t="shared" si="93"/>
        <v>-79000</v>
      </c>
      <c r="U451" s="10">
        <f t="shared" si="98"/>
        <v>0</v>
      </c>
      <c r="V451" s="10">
        <f t="shared" si="94"/>
        <v>320000</v>
      </c>
      <c r="W451" s="10">
        <f t="shared" si="99"/>
        <v>0</v>
      </c>
      <c r="X451" s="10">
        <f t="shared" si="95"/>
        <v>0</v>
      </c>
    </row>
    <row r="452" spans="1:24" s="9" customFormat="1" ht="13.5" customHeight="1" x14ac:dyDescent="0.2">
      <c r="A452" s="64">
        <f t="shared" si="96"/>
        <v>448</v>
      </c>
      <c r="B452" s="65" t="s">
        <v>2312</v>
      </c>
      <c r="C452" s="163">
        <v>40974</v>
      </c>
      <c r="D452" s="175">
        <v>587000</v>
      </c>
      <c r="E452" s="175"/>
      <c r="F452" s="67">
        <f t="shared" si="102"/>
        <v>587000</v>
      </c>
      <c r="G452" s="67">
        <v>586000</v>
      </c>
      <c r="H452" s="67">
        <f t="shared" si="97"/>
        <v>1000</v>
      </c>
      <c r="I452" s="68">
        <v>5</v>
      </c>
      <c r="J452" s="68">
        <v>0.2</v>
      </c>
      <c r="K452" s="68">
        <v>0</v>
      </c>
      <c r="L452" s="110">
        <f t="shared" si="100"/>
        <v>0</v>
      </c>
      <c r="M452" s="67">
        <f t="shared" si="101"/>
        <v>586000</v>
      </c>
      <c r="N452" s="110">
        <f t="shared" si="103"/>
        <v>1000</v>
      </c>
      <c r="O452" s="68" t="s">
        <v>2313</v>
      </c>
      <c r="P452" s="555">
        <v>1</v>
      </c>
      <c r="Q452" s="495" t="s">
        <v>1547</v>
      </c>
      <c r="R452" s="23"/>
      <c r="S452" s="10">
        <f t="shared" si="104"/>
        <v>29350</v>
      </c>
      <c r="T452" s="10">
        <f t="shared" si="93"/>
        <v>-28350</v>
      </c>
      <c r="U452" s="10">
        <f t="shared" si="98"/>
        <v>0</v>
      </c>
      <c r="V452" s="10">
        <f t="shared" si="94"/>
        <v>117400</v>
      </c>
      <c r="W452" s="10">
        <f t="shared" si="99"/>
        <v>0</v>
      </c>
      <c r="X452" s="10">
        <f t="shared" si="95"/>
        <v>0</v>
      </c>
    </row>
    <row r="453" spans="1:24" s="9" customFormat="1" ht="13.5" customHeight="1" x14ac:dyDescent="0.2">
      <c r="A453" s="64">
        <f t="shared" si="96"/>
        <v>449</v>
      </c>
      <c r="B453" s="65" t="s">
        <v>1975</v>
      </c>
      <c r="C453" s="163">
        <v>41051</v>
      </c>
      <c r="D453" s="175">
        <v>1950000</v>
      </c>
      <c r="E453" s="175"/>
      <c r="F453" s="67">
        <f t="shared" si="102"/>
        <v>1950000</v>
      </c>
      <c r="G453" s="67">
        <v>1949000</v>
      </c>
      <c r="H453" s="67">
        <f t="shared" si="97"/>
        <v>1000</v>
      </c>
      <c r="I453" s="68">
        <v>5</v>
      </c>
      <c r="J453" s="68">
        <v>0.2</v>
      </c>
      <c r="K453" s="68">
        <v>0</v>
      </c>
      <c r="L453" s="110">
        <f t="shared" si="100"/>
        <v>0</v>
      </c>
      <c r="M453" s="67">
        <f t="shared" si="101"/>
        <v>1949000</v>
      </c>
      <c r="N453" s="110">
        <f t="shared" si="103"/>
        <v>1000</v>
      </c>
      <c r="O453" s="68" t="s">
        <v>1521</v>
      </c>
      <c r="P453" s="555">
        <v>1</v>
      </c>
      <c r="Q453" s="495" t="s">
        <v>2314</v>
      </c>
      <c r="R453" s="23"/>
      <c r="S453" s="10">
        <f t="shared" si="104"/>
        <v>97500</v>
      </c>
      <c r="T453" s="10">
        <f t="shared" ref="T453:T536" si="105">N453-S453</f>
        <v>-96500</v>
      </c>
      <c r="U453" s="10">
        <f t="shared" si="98"/>
        <v>0</v>
      </c>
      <c r="V453" s="10">
        <f t="shared" ref="V453:V536" si="106">F453/I453</f>
        <v>390000</v>
      </c>
      <c r="W453" s="10">
        <f t="shared" si="99"/>
        <v>0</v>
      </c>
      <c r="X453" s="10">
        <f t="shared" ref="X453:X536" si="107">L453-W453</f>
        <v>0</v>
      </c>
    </row>
    <row r="454" spans="1:24" s="9" customFormat="1" ht="13.5" customHeight="1" x14ac:dyDescent="0.2">
      <c r="A454" s="64">
        <f t="shared" ref="A454:A517" si="108">A453+1</f>
        <v>450</v>
      </c>
      <c r="B454" s="65" t="s">
        <v>2315</v>
      </c>
      <c r="C454" s="163">
        <v>41061</v>
      </c>
      <c r="D454" s="175">
        <v>2809091</v>
      </c>
      <c r="E454" s="175"/>
      <c r="F454" s="67">
        <f t="shared" si="102"/>
        <v>2809091</v>
      </c>
      <c r="G454" s="67">
        <v>2808091</v>
      </c>
      <c r="H454" s="67">
        <f t="shared" si="97"/>
        <v>1000</v>
      </c>
      <c r="I454" s="68">
        <v>5</v>
      </c>
      <c r="J454" s="68">
        <v>0.2</v>
      </c>
      <c r="K454" s="68">
        <v>0</v>
      </c>
      <c r="L454" s="110">
        <f t="shared" si="100"/>
        <v>0</v>
      </c>
      <c r="M454" s="67">
        <f t="shared" si="101"/>
        <v>2808091</v>
      </c>
      <c r="N454" s="110">
        <f t="shared" si="103"/>
        <v>1000</v>
      </c>
      <c r="O454" s="68" t="s">
        <v>2316</v>
      </c>
      <c r="P454" s="555">
        <v>1</v>
      </c>
      <c r="Q454" s="495" t="s">
        <v>2317</v>
      </c>
      <c r="R454" s="23"/>
      <c r="S454" s="10">
        <f t="shared" si="104"/>
        <v>140454.55000000002</v>
      </c>
      <c r="T454" s="10">
        <f t="shared" si="105"/>
        <v>-139454.55000000002</v>
      </c>
      <c r="U454" s="10">
        <f t="shared" si="98"/>
        <v>0</v>
      </c>
      <c r="V454" s="10">
        <f t="shared" si="106"/>
        <v>561818.19999999995</v>
      </c>
      <c r="W454" s="10">
        <f t="shared" si="99"/>
        <v>0</v>
      </c>
      <c r="X454" s="10">
        <f t="shared" si="107"/>
        <v>0</v>
      </c>
    </row>
    <row r="455" spans="1:24" s="9" customFormat="1" ht="13.5" customHeight="1" x14ac:dyDescent="0.2">
      <c r="A455" s="64">
        <f t="shared" si="108"/>
        <v>451</v>
      </c>
      <c r="B455" s="65" t="s">
        <v>1846</v>
      </c>
      <c r="C455" s="163">
        <v>41061</v>
      </c>
      <c r="D455" s="175">
        <v>840000</v>
      </c>
      <c r="E455" s="175"/>
      <c r="F455" s="67">
        <f t="shared" si="102"/>
        <v>840000</v>
      </c>
      <c r="G455" s="67">
        <v>839000</v>
      </c>
      <c r="H455" s="67">
        <f t="shared" ref="H455:H499" si="109">+F455-G455</f>
        <v>1000</v>
      </c>
      <c r="I455" s="68">
        <v>5</v>
      </c>
      <c r="J455" s="68">
        <v>0.2</v>
      </c>
      <c r="K455" s="68">
        <v>0</v>
      </c>
      <c r="L455" s="110">
        <f t="shared" si="100"/>
        <v>0</v>
      </c>
      <c r="M455" s="67">
        <f t="shared" si="101"/>
        <v>839000</v>
      </c>
      <c r="N455" s="110">
        <f t="shared" si="103"/>
        <v>1000</v>
      </c>
      <c r="O455" s="68" t="s">
        <v>427</v>
      </c>
      <c r="P455" s="555">
        <v>1</v>
      </c>
      <c r="Q455" s="495" t="s">
        <v>2318</v>
      </c>
      <c r="R455" s="23"/>
      <c r="S455" s="10">
        <f t="shared" si="104"/>
        <v>42000</v>
      </c>
      <c r="T455" s="10">
        <f t="shared" si="105"/>
        <v>-41000</v>
      </c>
      <c r="U455" s="10">
        <f t="shared" ref="U455:U536" si="110">N455-1000</f>
        <v>0</v>
      </c>
      <c r="V455" s="10">
        <f t="shared" si="106"/>
        <v>168000</v>
      </c>
      <c r="W455" s="10">
        <f t="shared" si="99"/>
        <v>0</v>
      </c>
      <c r="X455" s="10">
        <f t="shared" si="107"/>
        <v>0</v>
      </c>
    </row>
    <row r="456" spans="1:24" s="9" customFormat="1" ht="13.5" customHeight="1" x14ac:dyDescent="0.2">
      <c r="A456" s="64">
        <f t="shared" si="108"/>
        <v>452</v>
      </c>
      <c r="B456" s="65" t="s">
        <v>2019</v>
      </c>
      <c r="C456" s="163">
        <v>41061</v>
      </c>
      <c r="D456" s="175">
        <v>240000</v>
      </c>
      <c r="E456" s="175"/>
      <c r="F456" s="67">
        <f t="shared" si="102"/>
        <v>240000</v>
      </c>
      <c r="G456" s="67">
        <v>239000</v>
      </c>
      <c r="H456" s="67">
        <f t="shared" si="109"/>
        <v>1000</v>
      </c>
      <c r="I456" s="68">
        <v>5</v>
      </c>
      <c r="J456" s="68">
        <v>0.2</v>
      </c>
      <c r="K456" s="68">
        <v>0</v>
      </c>
      <c r="L456" s="110">
        <f t="shared" si="100"/>
        <v>0</v>
      </c>
      <c r="M456" s="67">
        <f t="shared" si="101"/>
        <v>239000</v>
      </c>
      <c r="N456" s="110">
        <f t="shared" si="103"/>
        <v>1000</v>
      </c>
      <c r="O456" s="68" t="s">
        <v>427</v>
      </c>
      <c r="P456" s="555">
        <v>1</v>
      </c>
      <c r="Q456" s="622" t="s">
        <v>2319</v>
      </c>
      <c r="R456" s="23"/>
      <c r="S456" s="10">
        <f t="shared" si="104"/>
        <v>12000</v>
      </c>
      <c r="T456" s="10">
        <f t="shared" si="105"/>
        <v>-11000</v>
      </c>
      <c r="U456" s="10">
        <f t="shared" si="110"/>
        <v>0</v>
      </c>
      <c r="V456" s="10">
        <f t="shared" si="106"/>
        <v>48000</v>
      </c>
      <c r="W456" s="10">
        <f t="shared" si="99"/>
        <v>0</v>
      </c>
      <c r="X456" s="10">
        <f t="shared" si="107"/>
        <v>0</v>
      </c>
    </row>
    <row r="457" spans="1:24" s="9" customFormat="1" ht="13.5" customHeight="1" x14ac:dyDescent="0.2">
      <c r="A457" s="64">
        <f t="shared" si="108"/>
        <v>453</v>
      </c>
      <c r="B457" s="65" t="s">
        <v>1840</v>
      </c>
      <c r="C457" s="163">
        <v>41061</v>
      </c>
      <c r="D457" s="175">
        <v>985000</v>
      </c>
      <c r="E457" s="175"/>
      <c r="F457" s="67">
        <f t="shared" si="102"/>
        <v>985000</v>
      </c>
      <c r="G457" s="67">
        <v>984000</v>
      </c>
      <c r="H457" s="67">
        <f t="shared" si="109"/>
        <v>1000</v>
      </c>
      <c r="I457" s="68">
        <v>5</v>
      </c>
      <c r="J457" s="68">
        <v>0.2</v>
      </c>
      <c r="K457" s="68">
        <v>0</v>
      </c>
      <c r="L457" s="110">
        <f t="shared" ref="L457:L462" si="111">ROUND(IF(F457*J457*K457/12&gt;=H457,H457-1000,F457*J457*K457/12),0)</f>
        <v>0</v>
      </c>
      <c r="M457" s="67">
        <f t="shared" si="101"/>
        <v>984000</v>
      </c>
      <c r="N457" s="110">
        <f t="shared" si="103"/>
        <v>1000</v>
      </c>
      <c r="O457" s="68" t="s">
        <v>427</v>
      </c>
      <c r="P457" s="555">
        <v>1</v>
      </c>
      <c r="Q457" s="622" t="s">
        <v>2320</v>
      </c>
      <c r="R457" s="23"/>
      <c r="S457" s="10">
        <f t="shared" si="104"/>
        <v>49250</v>
      </c>
      <c r="T457" s="10">
        <f t="shared" si="105"/>
        <v>-48250</v>
      </c>
      <c r="U457" s="10">
        <f t="shared" si="110"/>
        <v>0</v>
      </c>
      <c r="V457" s="10">
        <f t="shared" si="106"/>
        <v>197000</v>
      </c>
      <c r="W457" s="10">
        <f t="shared" si="99"/>
        <v>0</v>
      </c>
      <c r="X457" s="10">
        <f t="shared" si="107"/>
        <v>0</v>
      </c>
    </row>
    <row r="458" spans="1:24" s="9" customFormat="1" ht="13.5" customHeight="1" x14ac:dyDescent="0.2">
      <c r="A458" s="64">
        <f t="shared" si="108"/>
        <v>454</v>
      </c>
      <c r="B458" s="65" t="s">
        <v>2321</v>
      </c>
      <c r="C458" s="163">
        <v>41299</v>
      </c>
      <c r="D458" s="175">
        <v>980000</v>
      </c>
      <c r="E458" s="175"/>
      <c r="F458" s="67">
        <f t="shared" si="102"/>
        <v>980000</v>
      </c>
      <c r="G458" s="67">
        <v>979000</v>
      </c>
      <c r="H458" s="67">
        <f t="shared" si="109"/>
        <v>1000</v>
      </c>
      <c r="I458" s="68">
        <v>5</v>
      </c>
      <c r="J458" s="68">
        <v>0.2</v>
      </c>
      <c r="K458" s="68">
        <v>0</v>
      </c>
      <c r="L458" s="110">
        <f t="shared" si="111"/>
        <v>0</v>
      </c>
      <c r="M458" s="67">
        <f t="shared" si="101"/>
        <v>979000</v>
      </c>
      <c r="N458" s="110">
        <f t="shared" si="103"/>
        <v>1000</v>
      </c>
      <c r="O458" s="68" t="s">
        <v>2322</v>
      </c>
      <c r="P458" s="555">
        <v>1</v>
      </c>
      <c r="Q458" s="495" t="s">
        <v>2323</v>
      </c>
      <c r="R458" s="23"/>
      <c r="S458" s="10">
        <f t="shared" si="104"/>
        <v>49000</v>
      </c>
      <c r="T458" s="10">
        <f t="shared" si="105"/>
        <v>-48000</v>
      </c>
      <c r="U458" s="10">
        <f t="shared" si="110"/>
        <v>0</v>
      </c>
      <c r="V458" s="10">
        <f t="shared" si="106"/>
        <v>196000</v>
      </c>
      <c r="W458" s="10">
        <f t="shared" si="99"/>
        <v>0</v>
      </c>
      <c r="X458" s="10">
        <f t="shared" si="107"/>
        <v>0</v>
      </c>
    </row>
    <row r="459" spans="1:24" s="9" customFormat="1" ht="13.5" customHeight="1" x14ac:dyDescent="0.2">
      <c r="A459" s="64">
        <f t="shared" si="108"/>
        <v>455</v>
      </c>
      <c r="B459" s="65" t="s">
        <v>2324</v>
      </c>
      <c r="C459" s="572">
        <v>41380</v>
      </c>
      <c r="D459" s="424">
        <v>234545</v>
      </c>
      <c r="E459" s="424"/>
      <c r="F459" s="67">
        <f t="shared" si="102"/>
        <v>234545</v>
      </c>
      <c r="G459" s="426">
        <v>233545</v>
      </c>
      <c r="H459" s="67">
        <f t="shared" si="109"/>
        <v>1000</v>
      </c>
      <c r="I459" s="68">
        <v>5</v>
      </c>
      <c r="J459" s="68">
        <v>0.2</v>
      </c>
      <c r="K459" s="68">
        <v>0</v>
      </c>
      <c r="L459" s="110">
        <f t="shared" si="111"/>
        <v>0</v>
      </c>
      <c r="M459" s="67">
        <f t="shared" si="101"/>
        <v>233545</v>
      </c>
      <c r="N459" s="110">
        <f t="shared" si="103"/>
        <v>1000</v>
      </c>
      <c r="O459" s="556" t="s">
        <v>2177</v>
      </c>
      <c r="P459" s="555">
        <v>1</v>
      </c>
      <c r="Q459" s="623" t="s">
        <v>2325</v>
      </c>
      <c r="R459" s="23"/>
      <c r="S459" s="10">
        <f t="shared" si="104"/>
        <v>11727.25</v>
      </c>
      <c r="T459" s="10">
        <f t="shared" si="105"/>
        <v>-10727.25</v>
      </c>
      <c r="U459" s="10">
        <f t="shared" si="110"/>
        <v>0</v>
      </c>
      <c r="V459" s="10">
        <f t="shared" si="106"/>
        <v>46909</v>
      </c>
      <c r="W459" s="10">
        <f>ROUND(IF(H459&lt;=1000,0,V459/12*K459),0)-1000</f>
        <v>-1000</v>
      </c>
      <c r="X459" s="10">
        <f t="shared" si="107"/>
        <v>1000</v>
      </c>
    </row>
    <row r="460" spans="1:24" s="9" customFormat="1" ht="13.5" customHeight="1" x14ac:dyDescent="0.2">
      <c r="A460" s="64">
        <f t="shared" si="108"/>
        <v>456</v>
      </c>
      <c r="B460" s="65" t="s">
        <v>2326</v>
      </c>
      <c r="C460" s="163">
        <v>41416</v>
      </c>
      <c r="D460" s="175">
        <v>4000000</v>
      </c>
      <c r="E460" s="175"/>
      <c r="F460" s="67">
        <f t="shared" si="102"/>
        <v>4000000</v>
      </c>
      <c r="G460" s="67">
        <v>3999000</v>
      </c>
      <c r="H460" s="67">
        <f t="shared" si="109"/>
        <v>1000</v>
      </c>
      <c r="I460" s="68">
        <v>5</v>
      </c>
      <c r="J460" s="68">
        <v>0.2</v>
      </c>
      <c r="K460" s="68">
        <v>0</v>
      </c>
      <c r="L460" s="110">
        <f t="shared" si="111"/>
        <v>0</v>
      </c>
      <c r="M460" s="67">
        <f t="shared" si="101"/>
        <v>3999000</v>
      </c>
      <c r="N460" s="110">
        <f t="shared" si="103"/>
        <v>1000</v>
      </c>
      <c r="O460" s="68" t="s">
        <v>1521</v>
      </c>
      <c r="P460" s="555">
        <v>1</v>
      </c>
      <c r="Q460" s="495" t="s">
        <v>486</v>
      </c>
      <c r="R460" s="23"/>
      <c r="S460" s="10">
        <f t="shared" si="104"/>
        <v>200000</v>
      </c>
      <c r="T460" s="10">
        <f t="shared" si="105"/>
        <v>-199000</v>
      </c>
      <c r="U460" s="10">
        <f t="shared" si="110"/>
        <v>0</v>
      </c>
      <c r="V460" s="10">
        <f t="shared" si="106"/>
        <v>800000</v>
      </c>
      <c r="W460" s="10">
        <f t="shared" ref="W460:W468" si="112">ROUND(IF(H460&lt;=1000,0,V460/12*K460),0)-1000</f>
        <v>-1000</v>
      </c>
      <c r="X460" s="10">
        <f t="shared" si="107"/>
        <v>1000</v>
      </c>
    </row>
    <row r="461" spans="1:24" s="9" customFormat="1" ht="13.5" customHeight="1" x14ac:dyDescent="0.2">
      <c r="A461" s="64">
        <f t="shared" si="108"/>
        <v>457</v>
      </c>
      <c r="B461" s="65" t="s">
        <v>2327</v>
      </c>
      <c r="C461" s="163">
        <v>41528</v>
      </c>
      <c r="D461" s="175">
        <v>870000</v>
      </c>
      <c r="E461" s="175"/>
      <c r="F461" s="67">
        <f t="shared" si="102"/>
        <v>870000</v>
      </c>
      <c r="G461" s="67">
        <v>869000</v>
      </c>
      <c r="H461" s="67">
        <f t="shared" si="109"/>
        <v>1000</v>
      </c>
      <c r="I461" s="68">
        <v>5</v>
      </c>
      <c r="J461" s="68">
        <v>0.2</v>
      </c>
      <c r="K461" s="68">
        <v>0</v>
      </c>
      <c r="L461" s="110">
        <f t="shared" si="111"/>
        <v>0</v>
      </c>
      <c r="M461" s="67">
        <f t="shared" si="101"/>
        <v>869000</v>
      </c>
      <c r="N461" s="110">
        <f t="shared" si="103"/>
        <v>1000</v>
      </c>
      <c r="O461" s="68" t="s">
        <v>2328</v>
      </c>
      <c r="P461" s="68">
        <v>1</v>
      </c>
      <c r="Q461" s="495" t="s">
        <v>564</v>
      </c>
      <c r="R461" s="23"/>
      <c r="S461" s="10">
        <f t="shared" si="104"/>
        <v>43500</v>
      </c>
      <c r="T461" s="10">
        <f t="shared" si="105"/>
        <v>-42500</v>
      </c>
      <c r="U461" s="10">
        <f t="shared" si="110"/>
        <v>0</v>
      </c>
      <c r="V461" s="10">
        <f t="shared" si="106"/>
        <v>174000</v>
      </c>
      <c r="W461" s="10">
        <f t="shared" si="112"/>
        <v>-1000</v>
      </c>
      <c r="X461" s="10">
        <f t="shared" si="107"/>
        <v>1000</v>
      </c>
    </row>
    <row r="462" spans="1:24" s="9" customFormat="1" ht="13.5" customHeight="1" x14ac:dyDescent="0.2">
      <c r="A462" s="64">
        <f t="shared" si="108"/>
        <v>458</v>
      </c>
      <c r="B462" s="65" t="s">
        <v>2329</v>
      </c>
      <c r="C462" s="163">
        <v>41534</v>
      </c>
      <c r="D462" s="175">
        <v>1409091</v>
      </c>
      <c r="E462" s="175"/>
      <c r="F462" s="67">
        <f t="shared" si="102"/>
        <v>1409091</v>
      </c>
      <c r="G462" s="67">
        <v>1408091</v>
      </c>
      <c r="H462" s="67">
        <f t="shared" si="109"/>
        <v>1000</v>
      </c>
      <c r="I462" s="68">
        <v>5</v>
      </c>
      <c r="J462" s="68">
        <v>0.2</v>
      </c>
      <c r="K462" s="68">
        <v>0</v>
      </c>
      <c r="L462" s="110">
        <f t="shared" si="111"/>
        <v>0</v>
      </c>
      <c r="M462" s="67">
        <f t="shared" si="101"/>
        <v>1408091</v>
      </c>
      <c r="N462" s="110">
        <f t="shared" si="103"/>
        <v>1000</v>
      </c>
      <c r="O462" s="68" t="s">
        <v>2330</v>
      </c>
      <c r="P462" s="68">
        <v>1</v>
      </c>
      <c r="Q462" s="495" t="s">
        <v>2331</v>
      </c>
      <c r="R462" s="23"/>
      <c r="S462" s="10">
        <f t="shared" si="104"/>
        <v>70454.55</v>
      </c>
      <c r="T462" s="10">
        <f t="shared" si="105"/>
        <v>-69454.55</v>
      </c>
      <c r="U462" s="10">
        <f t="shared" si="110"/>
        <v>0</v>
      </c>
      <c r="V462" s="10">
        <f t="shared" si="106"/>
        <v>281818.2</v>
      </c>
      <c r="W462" s="10">
        <f>ROUND(IF(H462&lt;=1000,0,V462/12*K462),0)-999</f>
        <v>-999</v>
      </c>
      <c r="X462" s="10">
        <f t="shared" si="107"/>
        <v>999</v>
      </c>
    </row>
    <row r="463" spans="1:24" s="9" customFormat="1" ht="13.5" customHeight="1" x14ac:dyDescent="0.2">
      <c r="A463" s="64">
        <f t="shared" si="108"/>
        <v>459</v>
      </c>
      <c r="B463" s="616" t="s">
        <v>2332</v>
      </c>
      <c r="C463" s="148">
        <v>41568</v>
      </c>
      <c r="D463" s="372">
        <v>980000</v>
      </c>
      <c r="E463" s="372"/>
      <c r="F463" s="73">
        <f t="shared" si="102"/>
        <v>980000</v>
      </c>
      <c r="G463" s="73">
        <v>979000</v>
      </c>
      <c r="H463" s="73">
        <f t="shared" si="109"/>
        <v>1000</v>
      </c>
      <c r="I463" s="68">
        <v>5</v>
      </c>
      <c r="J463" s="68">
        <v>0.2</v>
      </c>
      <c r="K463" s="68">
        <v>0</v>
      </c>
      <c r="L463" s="110">
        <f t="shared" ref="L463:L494" si="113">ROUND(IF(F463*J463*K463/12&gt;=H463,H463-1000,F463*J463*K463/12),0)</f>
        <v>0</v>
      </c>
      <c r="M463" s="73">
        <f t="shared" si="101"/>
        <v>979000</v>
      </c>
      <c r="N463" s="140">
        <f t="shared" si="103"/>
        <v>1000</v>
      </c>
      <c r="O463" s="74" t="s">
        <v>2333</v>
      </c>
      <c r="P463" s="74">
        <v>1</v>
      </c>
      <c r="Q463" s="625" t="s">
        <v>2334</v>
      </c>
      <c r="R463" s="23"/>
      <c r="S463" s="10">
        <f t="shared" si="104"/>
        <v>49000</v>
      </c>
      <c r="T463" s="10">
        <f t="shared" si="105"/>
        <v>-48000</v>
      </c>
      <c r="U463" s="10">
        <f t="shared" si="110"/>
        <v>0</v>
      </c>
      <c r="V463" s="10">
        <f t="shared" si="106"/>
        <v>196000</v>
      </c>
      <c r="W463" s="10">
        <f t="shared" si="112"/>
        <v>-1000</v>
      </c>
      <c r="X463" s="10">
        <f t="shared" si="107"/>
        <v>1000</v>
      </c>
    </row>
    <row r="464" spans="1:24" s="9" customFormat="1" ht="13.5" customHeight="1" x14ac:dyDescent="0.2">
      <c r="A464" s="64">
        <f t="shared" si="108"/>
        <v>460</v>
      </c>
      <c r="B464" s="616" t="s">
        <v>2335</v>
      </c>
      <c r="C464" s="148">
        <v>41568</v>
      </c>
      <c r="D464" s="372">
        <v>980000</v>
      </c>
      <c r="E464" s="372"/>
      <c r="F464" s="73">
        <f t="shared" si="102"/>
        <v>980000</v>
      </c>
      <c r="G464" s="73">
        <v>979000</v>
      </c>
      <c r="H464" s="73">
        <f t="shared" si="109"/>
        <v>1000</v>
      </c>
      <c r="I464" s="68">
        <v>5</v>
      </c>
      <c r="J464" s="68">
        <v>0.2</v>
      </c>
      <c r="K464" s="68">
        <v>0</v>
      </c>
      <c r="L464" s="110">
        <f t="shared" si="113"/>
        <v>0</v>
      </c>
      <c r="M464" s="73">
        <f t="shared" si="101"/>
        <v>979000</v>
      </c>
      <c r="N464" s="140">
        <f t="shared" si="103"/>
        <v>1000</v>
      </c>
      <c r="O464" s="74" t="s">
        <v>2333</v>
      </c>
      <c r="P464" s="74">
        <v>1</v>
      </c>
      <c r="Q464" s="625" t="s">
        <v>2336</v>
      </c>
      <c r="R464" s="23"/>
      <c r="S464" s="10">
        <f t="shared" si="104"/>
        <v>49000</v>
      </c>
      <c r="T464" s="10">
        <f t="shared" si="105"/>
        <v>-48000</v>
      </c>
      <c r="U464" s="10">
        <f t="shared" si="110"/>
        <v>0</v>
      </c>
      <c r="V464" s="10">
        <f t="shared" si="106"/>
        <v>196000</v>
      </c>
      <c r="W464" s="10">
        <f t="shared" si="112"/>
        <v>-1000</v>
      </c>
      <c r="X464" s="10">
        <f t="shared" si="107"/>
        <v>1000</v>
      </c>
    </row>
    <row r="465" spans="1:24" s="9" customFormat="1" ht="13.5" customHeight="1" x14ac:dyDescent="0.2">
      <c r="A465" s="64">
        <f t="shared" si="108"/>
        <v>461</v>
      </c>
      <c r="B465" s="616" t="s">
        <v>1846</v>
      </c>
      <c r="C465" s="148">
        <v>41568</v>
      </c>
      <c r="D465" s="372">
        <v>815454</v>
      </c>
      <c r="E465" s="372"/>
      <c r="F465" s="73">
        <f t="shared" si="102"/>
        <v>815454</v>
      </c>
      <c r="G465" s="73">
        <v>814454</v>
      </c>
      <c r="H465" s="73">
        <f t="shared" si="109"/>
        <v>1000</v>
      </c>
      <c r="I465" s="68">
        <v>5</v>
      </c>
      <c r="J465" s="68">
        <v>0.2</v>
      </c>
      <c r="K465" s="68">
        <v>0</v>
      </c>
      <c r="L465" s="110">
        <f t="shared" si="113"/>
        <v>0</v>
      </c>
      <c r="M465" s="73">
        <f t="shared" si="101"/>
        <v>814454</v>
      </c>
      <c r="N465" s="140">
        <f t="shared" si="103"/>
        <v>1000</v>
      </c>
      <c r="O465" s="74" t="s">
        <v>2337</v>
      </c>
      <c r="P465" s="74">
        <v>1</v>
      </c>
      <c r="Q465" s="625" t="s">
        <v>2338</v>
      </c>
      <c r="R465" s="23"/>
      <c r="S465" s="10">
        <f t="shared" si="104"/>
        <v>40772.700000000004</v>
      </c>
      <c r="T465" s="10">
        <f t="shared" si="105"/>
        <v>-39772.700000000004</v>
      </c>
      <c r="U465" s="10">
        <f t="shared" si="110"/>
        <v>0</v>
      </c>
      <c r="V465" s="10">
        <f t="shared" si="106"/>
        <v>163090.79999999999</v>
      </c>
      <c r="W465" s="10">
        <f>ROUND(IF(H465&lt;=1000,0,V465/12*K465),0)-1001</f>
        <v>-1001</v>
      </c>
      <c r="X465" s="10">
        <f t="shared" si="107"/>
        <v>1001</v>
      </c>
    </row>
    <row r="466" spans="1:24" s="9" customFormat="1" ht="13.5" customHeight="1" x14ac:dyDescent="0.2">
      <c r="A466" s="64">
        <f t="shared" si="108"/>
        <v>462</v>
      </c>
      <c r="B466" s="616" t="s">
        <v>1846</v>
      </c>
      <c r="C466" s="148">
        <v>41568</v>
      </c>
      <c r="D466" s="372">
        <v>815454</v>
      </c>
      <c r="E466" s="372"/>
      <c r="F466" s="73">
        <f t="shared" si="102"/>
        <v>815454</v>
      </c>
      <c r="G466" s="73">
        <v>814454</v>
      </c>
      <c r="H466" s="73">
        <f t="shared" si="109"/>
        <v>1000</v>
      </c>
      <c r="I466" s="68">
        <v>5</v>
      </c>
      <c r="J466" s="68">
        <v>0.2</v>
      </c>
      <c r="K466" s="68">
        <v>0</v>
      </c>
      <c r="L466" s="110">
        <f t="shared" si="113"/>
        <v>0</v>
      </c>
      <c r="M466" s="73">
        <f t="shared" si="101"/>
        <v>814454</v>
      </c>
      <c r="N466" s="140">
        <f t="shared" si="103"/>
        <v>1000</v>
      </c>
      <c r="O466" s="74" t="s">
        <v>2333</v>
      </c>
      <c r="P466" s="74">
        <v>1</v>
      </c>
      <c r="Q466" s="625" t="s">
        <v>2339</v>
      </c>
      <c r="R466" s="23"/>
      <c r="S466" s="10">
        <f t="shared" si="104"/>
        <v>40772.700000000004</v>
      </c>
      <c r="T466" s="10">
        <f t="shared" si="105"/>
        <v>-39772.700000000004</v>
      </c>
      <c r="U466" s="10">
        <f t="shared" si="110"/>
        <v>0</v>
      </c>
      <c r="V466" s="10">
        <f t="shared" si="106"/>
        <v>163090.79999999999</v>
      </c>
      <c r="W466" s="10">
        <f>ROUND(IF(H466&lt;=1000,0,V466/12*K466),0)-1001</f>
        <v>-1001</v>
      </c>
      <c r="X466" s="10">
        <f t="shared" si="107"/>
        <v>1001</v>
      </c>
    </row>
    <row r="467" spans="1:24" s="9" customFormat="1" ht="13.5" customHeight="1" x14ac:dyDescent="0.2">
      <c r="A467" s="64">
        <f t="shared" si="108"/>
        <v>463</v>
      </c>
      <c r="B467" s="616" t="s">
        <v>1873</v>
      </c>
      <c r="C467" s="148">
        <v>41607</v>
      </c>
      <c r="D467" s="372">
        <v>3000000</v>
      </c>
      <c r="E467" s="372"/>
      <c r="F467" s="73">
        <f t="shared" si="102"/>
        <v>3000000</v>
      </c>
      <c r="G467" s="73">
        <v>2999000</v>
      </c>
      <c r="H467" s="73">
        <f t="shared" si="109"/>
        <v>1000</v>
      </c>
      <c r="I467" s="68">
        <v>5</v>
      </c>
      <c r="J467" s="68">
        <v>0.2</v>
      </c>
      <c r="K467" s="68">
        <v>0</v>
      </c>
      <c r="L467" s="110">
        <f t="shared" si="113"/>
        <v>0</v>
      </c>
      <c r="M467" s="73">
        <f t="shared" si="101"/>
        <v>2999000</v>
      </c>
      <c r="N467" s="140">
        <f t="shared" si="103"/>
        <v>1000</v>
      </c>
      <c r="O467" s="74" t="s">
        <v>2177</v>
      </c>
      <c r="P467" s="74">
        <v>16</v>
      </c>
      <c r="Q467" s="625" t="s">
        <v>2340</v>
      </c>
      <c r="R467" s="23"/>
      <c r="S467" s="10">
        <f t="shared" si="104"/>
        <v>150000</v>
      </c>
      <c r="T467" s="10">
        <f t="shared" si="105"/>
        <v>-149000</v>
      </c>
      <c r="U467" s="10">
        <f t="shared" si="110"/>
        <v>0</v>
      </c>
      <c r="V467" s="10">
        <f t="shared" si="106"/>
        <v>600000</v>
      </c>
      <c r="W467" s="10">
        <f t="shared" si="112"/>
        <v>-1000</v>
      </c>
      <c r="X467" s="10">
        <f t="shared" si="107"/>
        <v>1000</v>
      </c>
    </row>
    <row r="468" spans="1:24" s="9" customFormat="1" ht="13.5" customHeight="1" x14ac:dyDescent="0.2">
      <c r="A468" s="107">
        <f t="shared" si="108"/>
        <v>464</v>
      </c>
      <c r="B468" s="616" t="s">
        <v>2321</v>
      </c>
      <c r="C468" s="148">
        <v>41666</v>
      </c>
      <c r="D468" s="372">
        <v>1000000</v>
      </c>
      <c r="E468" s="372"/>
      <c r="F468" s="73">
        <f t="shared" si="102"/>
        <v>1000000</v>
      </c>
      <c r="G468" s="73">
        <v>999000</v>
      </c>
      <c r="H468" s="73">
        <f t="shared" si="109"/>
        <v>1000</v>
      </c>
      <c r="I468" s="68">
        <v>5</v>
      </c>
      <c r="J468" s="68">
        <v>0.2</v>
      </c>
      <c r="K468" s="68">
        <v>0</v>
      </c>
      <c r="L468" s="110">
        <f t="shared" si="113"/>
        <v>0</v>
      </c>
      <c r="M468" s="73">
        <f t="shared" si="101"/>
        <v>999000</v>
      </c>
      <c r="N468" s="140">
        <f t="shared" si="103"/>
        <v>1000</v>
      </c>
      <c r="O468" s="74" t="s">
        <v>2341</v>
      </c>
      <c r="P468" s="74">
        <v>1</v>
      </c>
      <c r="Q468" s="625" t="s">
        <v>2342</v>
      </c>
      <c r="R468" s="23"/>
      <c r="S468" s="10">
        <f t="shared" si="104"/>
        <v>50000</v>
      </c>
      <c r="T468" s="10">
        <f t="shared" si="105"/>
        <v>-49000</v>
      </c>
      <c r="U468" s="10">
        <f t="shared" si="110"/>
        <v>0</v>
      </c>
      <c r="V468" s="10">
        <f t="shared" si="106"/>
        <v>200000</v>
      </c>
      <c r="W468" s="10">
        <f t="shared" si="112"/>
        <v>-1000</v>
      </c>
      <c r="X468" s="10">
        <f t="shared" si="107"/>
        <v>1000</v>
      </c>
    </row>
    <row r="469" spans="1:24" s="9" customFormat="1" ht="13.5" customHeight="1" x14ac:dyDescent="0.2">
      <c r="A469" s="107">
        <f t="shared" si="108"/>
        <v>465</v>
      </c>
      <c r="B469" s="616" t="s">
        <v>1846</v>
      </c>
      <c r="C469" s="148">
        <v>41887</v>
      </c>
      <c r="D469" s="372">
        <v>2899900</v>
      </c>
      <c r="E469" s="372"/>
      <c r="F469" s="73">
        <f t="shared" si="102"/>
        <v>2899900</v>
      </c>
      <c r="G469" s="73">
        <v>2898900</v>
      </c>
      <c r="H469" s="73">
        <f t="shared" si="109"/>
        <v>1000</v>
      </c>
      <c r="I469" s="68">
        <v>5</v>
      </c>
      <c r="J469" s="68">
        <v>0.2</v>
      </c>
      <c r="K469" s="68">
        <v>0</v>
      </c>
      <c r="L469" s="110">
        <f t="shared" si="113"/>
        <v>0</v>
      </c>
      <c r="M469" s="73">
        <f t="shared" si="101"/>
        <v>2898900</v>
      </c>
      <c r="N469" s="140">
        <f t="shared" si="103"/>
        <v>1000</v>
      </c>
      <c r="O469" s="74" t="s">
        <v>2341</v>
      </c>
      <c r="P469" s="74">
        <v>1</v>
      </c>
      <c r="Q469" s="625" t="s">
        <v>2343</v>
      </c>
      <c r="R469" s="23"/>
      <c r="S469" s="10">
        <f t="shared" si="104"/>
        <v>144995</v>
      </c>
      <c r="T469" s="10">
        <f t="shared" si="105"/>
        <v>-143995</v>
      </c>
      <c r="U469" s="10">
        <f t="shared" si="110"/>
        <v>0</v>
      </c>
      <c r="V469" s="10">
        <f t="shared" si="106"/>
        <v>579980</v>
      </c>
      <c r="W469" s="10">
        <f t="shared" ref="W469:W499" si="114">ROUND(IF(H469&lt;=1000,0,V469/12*K469),0)</f>
        <v>0</v>
      </c>
      <c r="X469" s="10">
        <f t="shared" si="107"/>
        <v>0</v>
      </c>
    </row>
    <row r="470" spans="1:24" s="9" customFormat="1" ht="13.5" customHeight="1" x14ac:dyDescent="0.2">
      <c r="A470" s="107">
        <f t="shared" si="108"/>
        <v>466</v>
      </c>
      <c r="B470" s="616" t="s">
        <v>1846</v>
      </c>
      <c r="C470" s="148">
        <v>41943</v>
      </c>
      <c r="D470" s="372">
        <v>983200</v>
      </c>
      <c r="E470" s="372"/>
      <c r="F470" s="73">
        <f t="shared" si="102"/>
        <v>983200</v>
      </c>
      <c r="G470" s="73">
        <v>982200</v>
      </c>
      <c r="H470" s="73">
        <f t="shared" si="109"/>
        <v>1000</v>
      </c>
      <c r="I470" s="68">
        <v>5</v>
      </c>
      <c r="J470" s="68">
        <v>0.2</v>
      </c>
      <c r="K470" s="68">
        <v>0</v>
      </c>
      <c r="L470" s="140">
        <f t="shared" si="113"/>
        <v>0</v>
      </c>
      <c r="M470" s="73">
        <f t="shared" si="101"/>
        <v>982200</v>
      </c>
      <c r="N470" s="140">
        <f t="shared" si="103"/>
        <v>1000</v>
      </c>
      <c r="O470" s="74" t="s">
        <v>2341</v>
      </c>
      <c r="P470" s="74">
        <v>1</v>
      </c>
      <c r="Q470" s="625" t="s">
        <v>2344</v>
      </c>
      <c r="R470" s="23"/>
      <c r="S470" s="10">
        <f t="shared" si="104"/>
        <v>49160</v>
      </c>
      <c r="T470" s="10">
        <f t="shared" si="105"/>
        <v>-48160</v>
      </c>
      <c r="U470" s="10">
        <f t="shared" si="110"/>
        <v>0</v>
      </c>
      <c r="V470" s="10">
        <f t="shared" si="106"/>
        <v>196640</v>
      </c>
      <c r="W470" s="10">
        <f t="shared" si="114"/>
        <v>0</v>
      </c>
      <c r="X470" s="10">
        <f t="shared" si="107"/>
        <v>0</v>
      </c>
    </row>
    <row r="471" spans="1:24" s="9" customFormat="1" ht="13.5" customHeight="1" x14ac:dyDescent="0.2">
      <c r="A471" s="107">
        <f t="shared" si="108"/>
        <v>467</v>
      </c>
      <c r="B471" s="616" t="s">
        <v>1846</v>
      </c>
      <c r="C471" s="148">
        <v>41943</v>
      </c>
      <c r="D471" s="372">
        <v>983200</v>
      </c>
      <c r="E471" s="372"/>
      <c r="F471" s="73">
        <f t="shared" si="102"/>
        <v>983200</v>
      </c>
      <c r="G471" s="73">
        <v>982200</v>
      </c>
      <c r="H471" s="73">
        <f t="shared" si="109"/>
        <v>1000</v>
      </c>
      <c r="I471" s="68">
        <v>5</v>
      </c>
      <c r="J471" s="68">
        <v>0.2</v>
      </c>
      <c r="K471" s="68">
        <v>0</v>
      </c>
      <c r="L471" s="140">
        <f t="shared" si="113"/>
        <v>0</v>
      </c>
      <c r="M471" s="73">
        <f t="shared" si="101"/>
        <v>982200</v>
      </c>
      <c r="N471" s="140">
        <f t="shared" si="103"/>
        <v>1000</v>
      </c>
      <c r="O471" s="74" t="s">
        <v>2341</v>
      </c>
      <c r="P471" s="74">
        <v>1</v>
      </c>
      <c r="Q471" s="625" t="s">
        <v>2345</v>
      </c>
      <c r="R471" s="23"/>
      <c r="S471" s="10">
        <f t="shared" si="104"/>
        <v>49160</v>
      </c>
      <c r="T471" s="10">
        <f t="shared" si="105"/>
        <v>-48160</v>
      </c>
      <c r="U471" s="10">
        <f t="shared" si="110"/>
        <v>0</v>
      </c>
      <c r="V471" s="10">
        <f t="shared" si="106"/>
        <v>196640</v>
      </c>
      <c r="W471" s="10">
        <f t="shared" si="114"/>
        <v>0</v>
      </c>
      <c r="X471" s="10">
        <f t="shared" si="107"/>
        <v>0</v>
      </c>
    </row>
    <row r="472" spans="1:24" s="9" customFormat="1" ht="13.5" customHeight="1" x14ac:dyDescent="0.2">
      <c r="A472" s="107">
        <f t="shared" si="108"/>
        <v>468</v>
      </c>
      <c r="B472" s="616" t="s">
        <v>1873</v>
      </c>
      <c r="C472" s="148">
        <v>41947</v>
      </c>
      <c r="D472" s="372">
        <v>95000</v>
      </c>
      <c r="E472" s="372"/>
      <c r="F472" s="73">
        <f t="shared" si="102"/>
        <v>95000</v>
      </c>
      <c r="G472" s="73">
        <v>94000</v>
      </c>
      <c r="H472" s="73">
        <f t="shared" si="109"/>
        <v>1000</v>
      </c>
      <c r="I472" s="68">
        <v>5</v>
      </c>
      <c r="J472" s="68">
        <v>0.2</v>
      </c>
      <c r="K472" s="68">
        <v>0</v>
      </c>
      <c r="L472" s="140">
        <f t="shared" si="113"/>
        <v>0</v>
      </c>
      <c r="M472" s="73">
        <f t="shared" si="101"/>
        <v>94000</v>
      </c>
      <c r="N472" s="140">
        <f t="shared" si="103"/>
        <v>1000</v>
      </c>
      <c r="O472" s="74" t="s">
        <v>2177</v>
      </c>
      <c r="P472" s="74">
        <v>1</v>
      </c>
      <c r="Q472" s="625" t="s">
        <v>2346</v>
      </c>
      <c r="R472" s="23"/>
      <c r="S472" s="10">
        <f t="shared" si="104"/>
        <v>4750</v>
      </c>
      <c r="T472" s="10">
        <f t="shared" si="105"/>
        <v>-3750</v>
      </c>
      <c r="U472" s="10">
        <f t="shared" si="110"/>
        <v>0</v>
      </c>
      <c r="V472" s="10">
        <f t="shared" si="106"/>
        <v>19000</v>
      </c>
      <c r="W472" s="10">
        <f t="shared" si="114"/>
        <v>0</v>
      </c>
      <c r="X472" s="10">
        <f t="shared" si="107"/>
        <v>0</v>
      </c>
    </row>
    <row r="473" spans="1:24" s="9" customFormat="1" ht="13.5" customHeight="1" x14ac:dyDescent="0.2">
      <c r="A473" s="107">
        <f t="shared" si="108"/>
        <v>469</v>
      </c>
      <c r="B473" s="616" t="s">
        <v>2347</v>
      </c>
      <c r="C473" s="148">
        <v>42297</v>
      </c>
      <c r="D473" s="372">
        <v>363636</v>
      </c>
      <c r="E473" s="372"/>
      <c r="F473" s="73">
        <f t="shared" si="102"/>
        <v>363636</v>
      </c>
      <c r="G473" s="73">
        <v>362636</v>
      </c>
      <c r="H473" s="73">
        <f t="shared" si="109"/>
        <v>1000</v>
      </c>
      <c r="I473" s="68">
        <v>5</v>
      </c>
      <c r="J473" s="68">
        <v>0.2</v>
      </c>
      <c r="K473" s="74">
        <v>0</v>
      </c>
      <c r="L473" s="140">
        <f>ROUND(IF(F473*J473*K473/12&gt;=H473,H473-1000,F473*J473*K473/12),0)</f>
        <v>0</v>
      </c>
      <c r="M473" s="73">
        <f t="shared" si="101"/>
        <v>362636</v>
      </c>
      <c r="N473" s="140">
        <f t="shared" si="103"/>
        <v>1000</v>
      </c>
      <c r="O473" s="74" t="s">
        <v>2348</v>
      </c>
      <c r="P473" s="74">
        <v>2</v>
      </c>
      <c r="Q473" s="625" t="s">
        <v>2349</v>
      </c>
      <c r="R473" s="23"/>
      <c r="S473" s="10">
        <f t="shared" si="104"/>
        <v>18181.8</v>
      </c>
      <c r="T473" s="10">
        <f t="shared" si="105"/>
        <v>-17181.8</v>
      </c>
      <c r="U473" s="10">
        <f t="shared" si="110"/>
        <v>0</v>
      </c>
      <c r="V473" s="10">
        <f t="shared" si="106"/>
        <v>72727.199999999997</v>
      </c>
      <c r="W473" s="10">
        <f t="shared" si="114"/>
        <v>0</v>
      </c>
      <c r="X473" s="10">
        <f t="shared" si="107"/>
        <v>0</v>
      </c>
    </row>
    <row r="474" spans="1:24" s="9" customFormat="1" ht="13.5" customHeight="1" x14ac:dyDescent="0.2">
      <c r="A474" s="107">
        <f t="shared" si="108"/>
        <v>470</v>
      </c>
      <c r="B474" s="616" t="s">
        <v>1840</v>
      </c>
      <c r="C474" s="148">
        <v>42467</v>
      </c>
      <c r="D474" s="372">
        <v>642636</v>
      </c>
      <c r="E474" s="372"/>
      <c r="F474" s="73">
        <f t="shared" si="102"/>
        <v>642636</v>
      </c>
      <c r="G474" s="73">
        <v>610503</v>
      </c>
      <c r="H474" s="73">
        <f t="shared" si="109"/>
        <v>32133</v>
      </c>
      <c r="I474" s="68">
        <v>5</v>
      </c>
      <c r="J474" s="68">
        <v>0.2</v>
      </c>
      <c r="K474" s="74">
        <v>4</v>
      </c>
      <c r="L474" s="140">
        <f>ROUND(IF(F474*J474*K474/12&gt;=H474,H474-1000,F474*J474*K474/12),0)-999</f>
        <v>30134</v>
      </c>
      <c r="M474" s="73">
        <f t="shared" si="101"/>
        <v>640637</v>
      </c>
      <c r="N474" s="140">
        <f t="shared" si="103"/>
        <v>1999</v>
      </c>
      <c r="O474" s="74" t="s">
        <v>2350</v>
      </c>
      <c r="P474" s="74">
        <v>1</v>
      </c>
      <c r="Q474" s="625" t="s">
        <v>2351</v>
      </c>
      <c r="R474" s="23"/>
      <c r="S474" s="10">
        <f t="shared" si="104"/>
        <v>32131.800000000003</v>
      </c>
      <c r="T474" s="10">
        <f t="shared" si="105"/>
        <v>-30132.800000000003</v>
      </c>
      <c r="U474" s="10">
        <f t="shared" si="110"/>
        <v>999</v>
      </c>
      <c r="V474" s="10">
        <f t="shared" si="106"/>
        <v>128527.2</v>
      </c>
      <c r="W474" s="10">
        <f t="shared" si="114"/>
        <v>42842</v>
      </c>
      <c r="X474" s="10">
        <f t="shared" si="107"/>
        <v>-12708</v>
      </c>
    </row>
    <row r="475" spans="1:24" s="9" customFormat="1" ht="13.5" customHeight="1" x14ac:dyDescent="0.2">
      <c r="A475" s="107">
        <f t="shared" si="108"/>
        <v>471</v>
      </c>
      <c r="B475" s="616" t="s">
        <v>2181</v>
      </c>
      <c r="C475" s="148">
        <v>42490</v>
      </c>
      <c r="D475" s="372">
        <v>4303636</v>
      </c>
      <c r="E475" s="372"/>
      <c r="F475" s="73">
        <f t="shared" si="102"/>
        <v>4303636</v>
      </c>
      <c r="G475" s="73">
        <v>4088453</v>
      </c>
      <c r="H475" s="73">
        <f t="shared" si="109"/>
        <v>215183</v>
      </c>
      <c r="I475" s="68">
        <v>5</v>
      </c>
      <c r="J475" s="68">
        <v>0.2</v>
      </c>
      <c r="K475" s="74">
        <v>4</v>
      </c>
      <c r="L475" s="140">
        <f>ROUND(IF(F475*J475*K475/12&gt;=H475,H475-1000,F475*J475*K475/12),0)-999</f>
        <v>213184</v>
      </c>
      <c r="M475" s="73">
        <f t="shared" si="101"/>
        <v>4301637</v>
      </c>
      <c r="N475" s="140">
        <f t="shared" si="103"/>
        <v>1999</v>
      </c>
      <c r="O475" s="74" t="s">
        <v>2352</v>
      </c>
      <c r="P475" s="74">
        <v>18</v>
      </c>
      <c r="Q475" s="625" t="s">
        <v>2353</v>
      </c>
      <c r="R475" s="23"/>
      <c r="S475" s="10">
        <f t="shared" si="104"/>
        <v>215181.80000000002</v>
      </c>
      <c r="T475" s="10">
        <f t="shared" si="105"/>
        <v>-213182.80000000002</v>
      </c>
      <c r="U475" s="10">
        <f t="shared" si="110"/>
        <v>999</v>
      </c>
      <c r="V475" s="10">
        <f t="shared" si="106"/>
        <v>860727.2</v>
      </c>
      <c r="W475" s="10">
        <f t="shared" si="114"/>
        <v>286909</v>
      </c>
      <c r="X475" s="10">
        <f t="shared" si="107"/>
        <v>-73725</v>
      </c>
    </row>
    <row r="476" spans="1:24" s="9" customFormat="1" ht="13.5" customHeight="1" x14ac:dyDescent="0.2">
      <c r="A476" s="107">
        <f t="shared" si="108"/>
        <v>472</v>
      </c>
      <c r="B476" s="616" t="s">
        <v>2354</v>
      </c>
      <c r="C476" s="148">
        <v>42490</v>
      </c>
      <c r="D476" s="372">
        <v>3354546</v>
      </c>
      <c r="E476" s="372"/>
      <c r="F476" s="73">
        <f t="shared" si="102"/>
        <v>3354546</v>
      </c>
      <c r="G476" s="73">
        <v>3186818</v>
      </c>
      <c r="H476" s="73">
        <f t="shared" si="109"/>
        <v>167728</v>
      </c>
      <c r="I476" s="68">
        <v>5</v>
      </c>
      <c r="J476" s="68">
        <v>0.2</v>
      </c>
      <c r="K476" s="74">
        <v>4</v>
      </c>
      <c r="L476" s="140">
        <f>ROUND(IF(F476*J476*K476/12&gt;=H476,H476-1000,F476*J476*K476/12),0)-999</f>
        <v>165729</v>
      </c>
      <c r="M476" s="73">
        <f t="shared" si="101"/>
        <v>3352547</v>
      </c>
      <c r="N476" s="140">
        <f t="shared" si="103"/>
        <v>1999</v>
      </c>
      <c r="O476" s="74" t="s">
        <v>2352</v>
      </c>
      <c r="P476" s="74">
        <v>18</v>
      </c>
      <c r="Q476" s="625" t="s">
        <v>2353</v>
      </c>
      <c r="R476" s="23"/>
      <c r="S476" s="10">
        <f t="shared" si="104"/>
        <v>167727.30000000002</v>
      </c>
      <c r="T476" s="10">
        <f t="shared" si="105"/>
        <v>-165728.30000000002</v>
      </c>
      <c r="U476" s="10">
        <f t="shared" si="110"/>
        <v>999</v>
      </c>
      <c r="V476" s="10">
        <f t="shared" si="106"/>
        <v>670909.19999999995</v>
      </c>
      <c r="W476" s="10">
        <f t="shared" si="114"/>
        <v>223636</v>
      </c>
      <c r="X476" s="10">
        <f t="shared" si="107"/>
        <v>-57907</v>
      </c>
    </row>
    <row r="477" spans="1:24" s="9" customFormat="1" ht="13.5" customHeight="1" x14ac:dyDescent="0.2">
      <c r="A477" s="107">
        <f t="shared" si="108"/>
        <v>473</v>
      </c>
      <c r="B477" s="616" t="s">
        <v>2355</v>
      </c>
      <c r="C477" s="148">
        <v>42490</v>
      </c>
      <c r="D477" s="372">
        <v>717273</v>
      </c>
      <c r="E477" s="372"/>
      <c r="F477" s="73">
        <f t="shared" si="102"/>
        <v>717273</v>
      </c>
      <c r="G477" s="73">
        <v>681411</v>
      </c>
      <c r="H477" s="73">
        <f t="shared" si="109"/>
        <v>35862</v>
      </c>
      <c r="I477" s="68">
        <v>5</v>
      </c>
      <c r="J477" s="68">
        <v>0.2</v>
      </c>
      <c r="K477" s="74">
        <v>4</v>
      </c>
      <c r="L477" s="140">
        <f t="shared" si="113"/>
        <v>34862</v>
      </c>
      <c r="M477" s="73">
        <f t="shared" si="101"/>
        <v>716273</v>
      </c>
      <c r="N477" s="140">
        <f t="shared" si="103"/>
        <v>1000</v>
      </c>
      <c r="O477" s="74" t="s">
        <v>2352</v>
      </c>
      <c r="P477" s="74">
        <v>3</v>
      </c>
      <c r="Q477" s="625" t="s">
        <v>2353</v>
      </c>
      <c r="R477" s="23"/>
      <c r="S477" s="10">
        <f t="shared" si="104"/>
        <v>35863.65</v>
      </c>
      <c r="T477" s="10">
        <f t="shared" si="105"/>
        <v>-34863.65</v>
      </c>
      <c r="U477" s="10">
        <f t="shared" si="110"/>
        <v>0</v>
      </c>
      <c r="V477" s="10">
        <f t="shared" si="106"/>
        <v>143454.6</v>
      </c>
      <c r="W477" s="10">
        <f t="shared" si="114"/>
        <v>47818</v>
      </c>
      <c r="X477" s="10">
        <f t="shared" si="107"/>
        <v>-12956</v>
      </c>
    </row>
    <row r="478" spans="1:24" s="9" customFormat="1" ht="13.5" customHeight="1" x14ac:dyDescent="0.2">
      <c r="A478" s="107">
        <f t="shared" si="108"/>
        <v>474</v>
      </c>
      <c r="B478" s="616" t="s">
        <v>2356</v>
      </c>
      <c r="C478" s="148">
        <v>42490</v>
      </c>
      <c r="D478" s="372">
        <v>11624545</v>
      </c>
      <c r="E478" s="372"/>
      <c r="F478" s="73">
        <f t="shared" si="102"/>
        <v>11624545</v>
      </c>
      <c r="G478" s="73">
        <v>11043318</v>
      </c>
      <c r="H478" s="73">
        <f t="shared" si="109"/>
        <v>581227</v>
      </c>
      <c r="I478" s="68">
        <v>5</v>
      </c>
      <c r="J478" s="68">
        <v>0.2</v>
      </c>
      <c r="K478" s="74">
        <v>4</v>
      </c>
      <c r="L478" s="140">
        <f t="shared" si="113"/>
        <v>580227</v>
      </c>
      <c r="M478" s="73">
        <f t="shared" si="101"/>
        <v>11623545</v>
      </c>
      <c r="N478" s="140">
        <f t="shared" si="103"/>
        <v>1000</v>
      </c>
      <c r="O478" s="74" t="s">
        <v>2352</v>
      </c>
      <c r="P478" s="74">
        <v>24</v>
      </c>
      <c r="Q478" s="625" t="s">
        <v>2353</v>
      </c>
      <c r="R478" s="23"/>
      <c r="S478" s="10">
        <f t="shared" si="104"/>
        <v>581227.25</v>
      </c>
      <c r="T478" s="10">
        <f t="shared" si="105"/>
        <v>-580227.25</v>
      </c>
      <c r="U478" s="10">
        <f t="shared" si="110"/>
        <v>0</v>
      </c>
      <c r="V478" s="10">
        <f t="shared" si="106"/>
        <v>2324909</v>
      </c>
      <c r="W478" s="10">
        <f t="shared" si="114"/>
        <v>774970</v>
      </c>
      <c r="X478" s="10">
        <f t="shared" si="107"/>
        <v>-194743</v>
      </c>
    </row>
    <row r="479" spans="1:24" s="9" customFormat="1" ht="13.5" customHeight="1" x14ac:dyDescent="0.2">
      <c r="A479" s="107">
        <f t="shared" si="108"/>
        <v>475</v>
      </c>
      <c r="B479" s="616" t="s">
        <v>1873</v>
      </c>
      <c r="C479" s="148">
        <v>42501</v>
      </c>
      <c r="D479" s="372">
        <v>1680000</v>
      </c>
      <c r="E479" s="372"/>
      <c r="F479" s="73">
        <f t="shared" si="102"/>
        <v>1680000</v>
      </c>
      <c r="G479" s="73">
        <v>1568000</v>
      </c>
      <c r="H479" s="73">
        <f t="shared" si="109"/>
        <v>112000</v>
      </c>
      <c r="I479" s="68">
        <v>5</v>
      </c>
      <c r="J479" s="68">
        <v>0.2</v>
      </c>
      <c r="K479" s="74">
        <v>5</v>
      </c>
      <c r="L479" s="140">
        <f t="shared" si="113"/>
        <v>111000</v>
      </c>
      <c r="M479" s="73">
        <f t="shared" si="101"/>
        <v>1679000</v>
      </c>
      <c r="N479" s="140">
        <f t="shared" si="103"/>
        <v>1000</v>
      </c>
      <c r="O479" s="74" t="s">
        <v>2177</v>
      </c>
      <c r="P479" s="74">
        <v>16</v>
      </c>
      <c r="Q479" s="625" t="s">
        <v>2340</v>
      </c>
      <c r="R479" s="23"/>
      <c r="S479" s="10">
        <f t="shared" si="104"/>
        <v>84000</v>
      </c>
      <c r="T479" s="10">
        <f t="shared" si="105"/>
        <v>-83000</v>
      </c>
      <c r="U479" s="10">
        <f t="shared" si="110"/>
        <v>0</v>
      </c>
      <c r="V479" s="10">
        <f t="shared" si="106"/>
        <v>336000</v>
      </c>
      <c r="W479" s="10">
        <f t="shared" si="114"/>
        <v>140000</v>
      </c>
      <c r="X479" s="10">
        <f t="shared" si="107"/>
        <v>-29000</v>
      </c>
    </row>
    <row r="480" spans="1:24" s="9" customFormat="1" ht="13.5" customHeight="1" x14ac:dyDescent="0.2">
      <c r="A480" s="107">
        <f t="shared" si="108"/>
        <v>476</v>
      </c>
      <c r="B480" s="616" t="s">
        <v>2357</v>
      </c>
      <c r="C480" s="148">
        <v>42557</v>
      </c>
      <c r="D480" s="372">
        <v>2027991</v>
      </c>
      <c r="E480" s="372"/>
      <c r="F480" s="73">
        <f t="shared" si="102"/>
        <v>2027991</v>
      </c>
      <c r="G480" s="73">
        <v>1825191</v>
      </c>
      <c r="H480" s="73">
        <f t="shared" si="109"/>
        <v>202800</v>
      </c>
      <c r="I480" s="74">
        <v>5</v>
      </c>
      <c r="J480" s="74">
        <v>0.2</v>
      </c>
      <c r="K480" s="74">
        <v>7</v>
      </c>
      <c r="L480" s="140">
        <f t="shared" si="113"/>
        <v>201800</v>
      </c>
      <c r="M480" s="73">
        <f t="shared" si="101"/>
        <v>2026991</v>
      </c>
      <c r="N480" s="140">
        <f t="shared" si="103"/>
        <v>1000</v>
      </c>
      <c r="O480" s="74" t="s">
        <v>2350</v>
      </c>
      <c r="P480" s="74">
        <v>1</v>
      </c>
      <c r="Q480" s="625" t="s">
        <v>529</v>
      </c>
      <c r="R480" s="23"/>
      <c r="S480" s="10">
        <f t="shared" si="104"/>
        <v>101399.55</v>
      </c>
      <c r="T480" s="10">
        <f t="shared" si="105"/>
        <v>-100399.55</v>
      </c>
      <c r="U480" s="10">
        <f t="shared" si="110"/>
        <v>0</v>
      </c>
      <c r="V480" s="10">
        <f t="shared" si="106"/>
        <v>405598.2</v>
      </c>
      <c r="W480" s="10">
        <f t="shared" si="114"/>
        <v>236599</v>
      </c>
      <c r="X480" s="10">
        <f t="shared" si="107"/>
        <v>-34799</v>
      </c>
    </row>
    <row r="481" spans="1:24" s="9" customFormat="1" ht="13.5" customHeight="1" x14ac:dyDescent="0.2">
      <c r="A481" s="107">
        <f t="shared" si="108"/>
        <v>477</v>
      </c>
      <c r="B481" s="616" t="s">
        <v>1938</v>
      </c>
      <c r="C481" s="148">
        <v>42689</v>
      </c>
      <c r="D481" s="372">
        <v>270000</v>
      </c>
      <c r="E481" s="372"/>
      <c r="F481" s="73">
        <f t="shared" si="102"/>
        <v>270000</v>
      </c>
      <c r="G481" s="73">
        <v>225000</v>
      </c>
      <c r="H481" s="73">
        <f t="shared" si="109"/>
        <v>45000</v>
      </c>
      <c r="I481" s="74">
        <v>5</v>
      </c>
      <c r="J481" s="74">
        <v>0.2</v>
      </c>
      <c r="K481" s="74">
        <v>11</v>
      </c>
      <c r="L481" s="140">
        <f t="shared" si="113"/>
        <v>44000</v>
      </c>
      <c r="M481" s="73">
        <f t="shared" si="101"/>
        <v>269000</v>
      </c>
      <c r="N481" s="140">
        <f t="shared" si="103"/>
        <v>1000</v>
      </c>
      <c r="O481" s="74" t="s">
        <v>2358</v>
      </c>
      <c r="P481" s="74">
        <v>2</v>
      </c>
      <c r="Q481" s="625" t="s">
        <v>564</v>
      </c>
      <c r="R481" s="23"/>
      <c r="S481" s="10">
        <f t="shared" si="104"/>
        <v>13500</v>
      </c>
      <c r="T481" s="10">
        <f t="shared" si="105"/>
        <v>-12500</v>
      </c>
      <c r="U481" s="10">
        <f t="shared" si="110"/>
        <v>0</v>
      </c>
      <c r="V481" s="10">
        <f t="shared" si="106"/>
        <v>54000</v>
      </c>
      <c r="W481" s="10">
        <f t="shared" si="114"/>
        <v>49500</v>
      </c>
      <c r="X481" s="10">
        <f t="shared" si="107"/>
        <v>-5500</v>
      </c>
    </row>
    <row r="482" spans="1:24" s="9" customFormat="1" ht="13.5" customHeight="1" x14ac:dyDescent="0.2">
      <c r="A482" s="107">
        <f t="shared" si="108"/>
        <v>478</v>
      </c>
      <c r="B482" s="616" t="s">
        <v>1846</v>
      </c>
      <c r="C482" s="148">
        <v>42759</v>
      </c>
      <c r="D482" s="372">
        <v>3141000</v>
      </c>
      <c r="E482" s="372"/>
      <c r="F482" s="73">
        <f t="shared" si="102"/>
        <v>3141000</v>
      </c>
      <c r="G482" s="73">
        <v>2512800</v>
      </c>
      <c r="H482" s="73">
        <f t="shared" si="109"/>
        <v>628200</v>
      </c>
      <c r="I482" s="74">
        <v>5</v>
      </c>
      <c r="J482" s="74">
        <v>0.2</v>
      </c>
      <c r="K482" s="74">
        <v>12</v>
      </c>
      <c r="L482" s="140">
        <f t="shared" si="113"/>
        <v>627200</v>
      </c>
      <c r="M482" s="73">
        <f t="shared" si="101"/>
        <v>3140000</v>
      </c>
      <c r="N482" s="140">
        <f t="shared" si="103"/>
        <v>1000</v>
      </c>
      <c r="O482" s="74" t="s">
        <v>2359</v>
      </c>
      <c r="P482" s="74">
        <v>3</v>
      </c>
      <c r="Q482" s="625" t="s">
        <v>2353</v>
      </c>
      <c r="R482" s="23"/>
      <c r="S482" s="10">
        <f t="shared" si="104"/>
        <v>157050</v>
      </c>
      <c r="T482" s="10">
        <f t="shared" si="105"/>
        <v>-156050</v>
      </c>
      <c r="U482" s="10">
        <f t="shared" si="110"/>
        <v>0</v>
      </c>
      <c r="V482" s="10">
        <f t="shared" si="106"/>
        <v>628200</v>
      </c>
      <c r="W482" s="10">
        <f t="shared" si="114"/>
        <v>628200</v>
      </c>
      <c r="X482" s="10">
        <f t="shared" si="107"/>
        <v>-1000</v>
      </c>
    </row>
    <row r="483" spans="1:24" s="9" customFormat="1" ht="13.5" customHeight="1" x14ac:dyDescent="0.2">
      <c r="A483" s="107">
        <f t="shared" si="108"/>
        <v>479</v>
      </c>
      <c r="B483" s="616" t="s">
        <v>2360</v>
      </c>
      <c r="C483" s="148">
        <v>43038</v>
      </c>
      <c r="D483" s="372">
        <v>1205000</v>
      </c>
      <c r="E483" s="372"/>
      <c r="F483" s="73">
        <f t="shared" si="102"/>
        <v>1205000</v>
      </c>
      <c r="G483" s="73">
        <v>783250</v>
      </c>
      <c r="H483" s="73">
        <f t="shared" si="109"/>
        <v>421750</v>
      </c>
      <c r="I483" s="74">
        <v>5</v>
      </c>
      <c r="J483" s="74">
        <v>0.2</v>
      </c>
      <c r="K483" s="74">
        <v>12</v>
      </c>
      <c r="L483" s="140">
        <f t="shared" si="113"/>
        <v>241000</v>
      </c>
      <c r="M483" s="73">
        <f t="shared" si="101"/>
        <v>1024250</v>
      </c>
      <c r="N483" s="140">
        <f t="shared" si="103"/>
        <v>180750</v>
      </c>
      <c r="O483" s="74" t="s">
        <v>2359</v>
      </c>
      <c r="P483" s="74">
        <v>1</v>
      </c>
      <c r="Q483" s="625"/>
      <c r="R483" s="23"/>
      <c r="S483" s="10">
        <f t="shared" si="104"/>
        <v>60250</v>
      </c>
      <c r="T483" s="10">
        <f t="shared" si="105"/>
        <v>120500</v>
      </c>
      <c r="U483" s="10">
        <f t="shared" si="110"/>
        <v>179750</v>
      </c>
      <c r="V483" s="10">
        <f t="shared" si="106"/>
        <v>241000</v>
      </c>
      <c r="W483" s="10">
        <f t="shared" si="114"/>
        <v>241000</v>
      </c>
      <c r="X483" s="10">
        <f t="shared" si="107"/>
        <v>0</v>
      </c>
    </row>
    <row r="484" spans="1:24" s="9" customFormat="1" ht="13.5" customHeight="1" x14ac:dyDescent="0.2">
      <c r="A484" s="107">
        <f t="shared" si="108"/>
        <v>480</v>
      </c>
      <c r="B484" s="616" t="s">
        <v>1846</v>
      </c>
      <c r="C484" s="148">
        <v>43165</v>
      </c>
      <c r="D484" s="372">
        <v>700000</v>
      </c>
      <c r="E484" s="372"/>
      <c r="F484" s="73">
        <f t="shared" si="102"/>
        <v>700000</v>
      </c>
      <c r="G484" s="73">
        <v>396667</v>
      </c>
      <c r="H484" s="73">
        <f t="shared" si="109"/>
        <v>303333</v>
      </c>
      <c r="I484" s="74">
        <v>5</v>
      </c>
      <c r="J484" s="74">
        <v>0.2</v>
      </c>
      <c r="K484" s="74">
        <v>12</v>
      </c>
      <c r="L484" s="140">
        <f t="shared" si="113"/>
        <v>140000</v>
      </c>
      <c r="M484" s="73">
        <f t="shared" si="101"/>
        <v>536667</v>
      </c>
      <c r="N484" s="140">
        <f t="shared" si="103"/>
        <v>163333</v>
      </c>
      <c r="O484" s="74" t="s">
        <v>2361</v>
      </c>
      <c r="P484" s="74">
        <v>1</v>
      </c>
      <c r="Q484" s="625" t="s">
        <v>2362</v>
      </c>
      <c r="R484" s="23"/>
      <c r="S484" s="10">
        <f t="shared" si="104"/>
        <v>35000</v>
      </c>
      <c r="T484" s="10">
        <f t="shared" si="105"/>
        <v>128333</v>
      </c>
      <c r="U484" s="10">
        <f t="shared" si="110"/>
        <v>162333</v>
      </c>
      <c r="V484" s="10">
        <f t="shared" si="106"/>
        <v>140000</v>
      </c>
      <c r="W484" s="10">
        <f t="shared" si="114"/>
        <v>140000</v>
      </c>
      <c r="X484" s="10">
        <f t="shared" si="107"/>
        <v>0</v>
      </c>
    </row>
    <row r="485" spans="1:24" s="9" customFormat="1" ht="13.5" customHeight="1" x14ac:dyDescent="0.2">
      <c r="A485" s="107">
        <f t="shared" si="108"/>
        <v>481</v>
      </c>
      <c r="B485" s="616" t="s">
        <v>1846</v>
      </c>
      <c r="C485" s="148">
        <v>43165</v>
      </c>
      <c r="D485" s="372">
        <v>700000</v>
      </c>
      <c r="E485" s="372"/>
      <c r="F485" s="73">
        <f t="shared" si="102"/>
        <v>700000</v>
      </c>
      <c r="G485" s="73">
        <v>396667</v>
      </c>
      <c r="H485" s="73">
        <f t="shared" si="109"/>
        <v>303333</v>
      </c>
      <c r="I485" s="74">
        <v>5</v>
      </c>
      <c r="J485" s="74">
        <v>0.2</v>
      </c>
      <c r="K485" s="74">
        <v>12</v>
      </c>
      <c r="L485" s="140">
        <f t="shared" si="113"/>
        <v>140000</v>
      </c>
      <c r="M485" s="73">
        <f t="shared" si="101"/>
        <v>536667</v>
      </c>
      <c r="N485" s="140">
        <f t="shared" si="103"/>
        <v>163333</v>
      </c>
      <c r="O485" s="74" t="s">
        <v>2361</v>
      </c>
      <c r="P485" s="74">
        <v>1</v>
      </c>
      <c r="Q485" s="625" t="s">
        <v>2363</v>
      </c>
      <c r="R485" s="23"/>
      <c r="S485" s="10">
        <f t="shared" si="104"/>
        <v>35000</v>
      </c>
      <c r="T485" s="10">
        <f t="shared" si="105"/>
        <v>128333</v>
      </c>
      <c r="U485" s="10">
        <f t="shared" si="110"/>
        <v>162333</v>
      </c>
      <c r="V485" s="10">
        <f t="shared" si="106"/>
        <v>140000</v>
      </c>
      <c r="W485" s="10">
        <f t="shared" si="114"/>
        <v>140000</v>
      </c>
      <c r="X485" s="10">
        <f t="shared" si="107"/>
        <v>0</v>
      </c>
    </row>
    <row r="486" spans="1:24" s="9" customFormat="1" ht="13.5" customHeight="1" x14ac:dyDescent="0.2">
      <c r="A486" s="107">
        <f t="shared" si="108"/>
        <v>482</v>
      </c>
      <c r="B486" s="616" t="s">
        <v>1846</v>
      </c>
      <c r="C486" s="148">
        <v>43165</v>
      </c>
      <c r="D486" s="372">
        <v>700000</v>
      </c>
      <c r="E486" s="372"/>
      <c r="F486" s="73">
        <f t="shared" si="102"/>
        <v>700000</v>
      </c>
      <c r="G486" s="73">
        <v>396667</v>
      </c>
      <c r="H486" s="73">
        <f t="shared" si="109"/>
        <v>303333</v>
      </c>
      <c r="I486" s="74">
        <v>5</v>
      </c>
      <c r="J486" s="74">
        <v>0.2</v>
      </c>
      <c r="K486" s="74">
        <v>12</v>
      </c>
      <c r="L486" s="140">
        <f t="shared" si="113"/>
        <v>140000</v>
      </c>
      <c r="M486" s="73">
        <f t="shared" si="101"/>
        <v>536667</v>
      </c>
      <c r="N486" s="140">
        <f t="shared" si="103"/>
        <v>163333</v>
      </c>
      <c r="O486" s="74" t="s">
        <v>2361</v>
      </c>
      <c r="P486" s="74">
        <v>1</v>
      </c>
      <c r="Q486" s="625" t="s">
        <v>2362</v>
      </c>
      <c r="R486" s="23"/>
      <c r="S486" s="10">
        <f t="shared" si="104"/>
        <v>35000</v>
      </c>
      <c r="T486" s="10">
        <f t="shared" si="105"/>
        <v>128333</v>
      </c>
      <c r="U486" s="10">
        <f t="shared" si="110"/>
        <v>162333</v>
      </c>
      <c r="V486" s="10">
        <f t="shared" si="106"/>
        <v>140000</v>
      </c>
      <c r="W486" s="10">
        <f t="shared" si="114"/>
        <v>140000</v>
      </c>
      <c r="X486" s="10">
        <f t="shared" si="107"/>
        <v>0</v>
      </c>
    </row>
    <row r="487" spans="1:24" s="9" customFormat="1" ht="13.5" customHeight="1" x14ac:dyDescent="0.2">
      <c r="A487" s="107">
        <f t="shared" si="108"/>
        <v>483</v>
      </c>
      <c r="B487" s="616" t="s">
        <v>2364</v>
      </c>
      <c r="C487" s="148">
        <v>43335</v>
      </c>
      <c r="D487" s="372">
        <v>1800000</v>
      </c>
      <c r="E487" s="372"/>
      <c r="F487" s="73">
        <f t="shared" si="102"/>
        <v>1800000</v>
      </c>
      <c r="G487" s="73">
        <v>870000</v>
      </c>
      <c r="H487" s="73">
        <f t="shared" si="109"/>
        <v>930000</v>
      </c>
      <c r="I487" s="74">
        <v>5</v>
      </c>
      <c r="J487" s="74">
        <v>0.2</v>
      </c>
      <c r="K487" s="74">
        <v>12</v>
      </c>
      <c r="L487" s="140">
        <f t="shared" si="113"/>
        <v>360000</v>
      </c>
      <c r="M487" s="73">
        <f t="shared" si="101"/>
        <v>1230000</v>
      </c>
      <c r="N487" s="140">
        <f t="shared" si="103"/>
        <v>570000</v>
      </c>
      <c r="O487" s="74" t="s">
        <v>2365</v>
      </c>
      <c r="P487" s="74">
        <v>1</v>
      </c>
      <c r="Q487" s="625" t="s">
        <v>2366</v>
      </c>
      <c r="R487" s="23"/>
      <c r="S487" s="10">
        <f t="shared" si="104"/>
        <v>90000</v>
      </c>
      <c r="T487" s="10">
        <f t="shared" si="105"/>
        <v>480000</v>
      </c>
      <c r="U487" s="10">
        <f t="shared" si="110"/>
        <v>569000</v>
      </c>
      <c r="V487" s="10">
        <f t="shared" si="106"/>
        <v>360000</v>
      </c>
      <c r="W487" s="10">
        <f t="shared" si="114"/>
        <v>360000</v>
      </c>
      <c r="X487" s="10">
        <f t="shared" si="107"/>
        <v>0</v>
      </c>
    </row>
    <row r="488" spans="1:24" s="9" customFormat="1" ht="13.5" customHeight="1" x14ac:dyDescent="0.2">
      <c r="A488" s="107">
        <f t="shared" si="108"/>
        <v>484</v>
      </c>
      <c r="B488" s="616" t="s">
        <v>2367</v>
      </c>
      <c r="C488" s="148">
        <v>43335</v>
      </c>
      <c r="D488" s="372">
        <v>1600000</v>
      </c>
      <c r="E488" s="372"/>
      <c r="F488" s="73">
        <f t="shared" si="102"/>
        <v>1600000</v>
      </c>
      <c r="G488" s="73">
        <v>773333</v>
      </c>
      <c r="H488" s="73">
        <f t="shared" si="109"/>
        <v>826667</v>
      </c>
      <c r="I488" s="74">
        <v>5</v>
      </c>
      <c r="J488" s="74">
        <v>0.2</v>
      </c>
      <c r="K488" s="74">
        <v>12</v>
      </c>
      <c r="L488" s="140">
        <f t="shared" si="113"/>
        <v>320000</v>
      </c>
      <c r="M488" s="73">
        <f t="shared" si="101"/>
        <v>1093333</v>
      </c>
      <c r="N488" s="140">
        <f t="shared" si="103"/>
        <v>506667</v>
      </c>
      <c r="O488" s="74" t="s">
        <v>2365</v>
      </c>
      <c r="P488" s="74">
        <v>1</v>
      </c>
      <c r="Q488" s="625" t="s">
        <v>2366</v>
      </c>
      <c r="R488" s="23"/>
      <c r="S488" s="10">
        <f t="shared" si="104"/>
        <v>80000</v>
      </c>
      <c r="T488" s="10">
        <f t="shared" si="105"/>
        <v>426667</v>
      </c>
      <c r="U488" s="10">
        <f t="shared" si="110"/>
        <v>505667</v>
      </c>
      <c r="V488" s="10">
        <f t="shared" si="106"/>
        <v>320000</v>
      </c>
      <c r="W488" s="10">
        <f t="shared" si="114"/>
        <v>320000</v>
      </c>
      <c r="X488" s="10">
        <f t="shared" si="107"/>
        <v>0</v>
      </c>
    </row>
    <row r="489" spans="1:24" s="9" customFormat="1" ht="13.5" customHeight="1" x14ac:dyDescent="0.2">
      <c r="A489" s="107">
        <f t="shared" si="108"/>
        <v>485</v>
      </c>
      <c r="B489" s="616" t="s">
        <v>2368</v>
      </c>
      <c r="C489" s="148">
        <v>43335</v>
      </c>
      <c r="D489" s="372">
        <v>1200000</v>
      </c>
      <c r="E489" s="372"/>
      <c r="F489" s="73">
        <f t="shared" si="102"/>
        <v>1200000</v>
      </c>
      <c r="G489" s="73">
        <v>580000</v>
      </c>
      <c r="H489" s="73">
        <f t="shared" si="109"/>
        <v>620000</v>
      </c>
      <c r="I489" s="74">
        <v>5</v>
      </c>
      <c r="J489" s="74">
        <v>0.2</v>
      </c>
      <c r="K489" s="74">
        <v>12</v>
      </c>
      <c r="L489" s="140">
        <f t="shared" si="113"/>
        <v>240000</v>
      </c>
      <c r="M489" s="73">
        <f t="shared" ref="M489:M494" si="115">+G489+L489</f>
        <v>820000</v>
      </c>
      <c r="N489" s="140">
        <f t="shared" si="103"/>
        <v>380000</v>
      </c>
      <c r="O489" s="74" t="s">
        <v>2369</v>
      </c>
      <c r="P489" s="74">
        <v>1</v>
      </c>
      <c r="Q489" s="625" t="s">
        <v>2366</v>
      </c>
      <c r="R489" s="23"/>
      <c r="S489" s="10">
        <f t="shared" si="104"/>
        <v>60000</v>
      </c>
      <c r="T489" s="10">
        <f t="shared" si="105"/>
        <v>320000</v>
      </c>
      <c r="U489" s="10">
        <f t="shared" si="110"/>
        <v>379000</v>
      </c>
      <c r="V489" s="10">
        <f t="shared" si="106"/>
        <v>240000</v>
      </c>
      <c r="W489" s="10">
        <f t="shared" si="114"/>
        <v>240000</v>
      </c>
      <c r="X489" s="10">
        <f t="shared" si="107"/>
        <v>0</v>
      </c>
    </row>
    <row r="490" spans="1:24" s="9" customFormat="1" ht="13.5" customHeight="1" x14ac:dyDescent="0.2">
      <c r="A490" s="107">
        <f t="shared" si="108"/>
        <v>486</v>
      </c>
      <c r="B490" s="616" t="s">
        <v>2370</v>
      </c>
      <c r="C490" s="148">
        <v>43335</v>
      </c>
      <c r="D490" s="372">
        <v>2100000</v>
      </c>
      <c r="E490" s="372"/>
      <c r="F490" s="73">
        <f t="shared" si="102"/>
        <v>2100000</v>
      </c>
      <c r="G490" s="73">
        <v>1015000</v>
      </c>
      <c r="H490" s="73">
        <f t="shared" si="109"/>
        <v>1085000</v>
      </c>
      <c r="I490" s="74">
        <v>5</v>
      </c>
      <c r="J490" s="74">
        <v>0.2</v>
      </c>
      <c r="K490" s="74">
        <v>12</v>
      </c>
      <c r="L490" s="140">
        <f t="shared" si="113"/>
        <v>420000</v>
      </c>
      <c r="M490" s="73">
        <f t="shared" si="115"/>
        <v>1435000</v>
      </c>
      <c r="N490" s="140">
        <f t="shared" si="103"/>
        <v>665000</v>
      </c>
      <c r="O490" s="74" t="s">
        <v>2365</v>
      </c>
      <c r="P490" s="74">
        <v>1</v>
      </c>
      <c r="Q490" s="625" t="s">
        <v>2366</v>
      </c>
      <c r="R490" s="23"/>
      <c r="S490" s="10">
        <f t="shared" si="104"/>
        <v>105000</v>
      </c>
      <c r="T490" s="10">
        <f t="shared" si="105"/>
        <v>560000</v>
      </c>
      <c r="U490" s="10">
        <f t="shared" si="110"/>
        <v>664000</v>
      </c>
      <c r="V490" s="10">
        <f t="shared" si="106"/>
        <v>420000</v>
      </c>
      <c r="W490" s="10">
        <f t="shared" si="114"/>
        <v>420000</v>
      </c>
      <c r="X490" s="10">
        <f t="shared" si="107"/>
        <v>0</v>
      </c>
    </row>
    <row r="491" spans="1:24" s="9" customFormat="1" ht="13.5" customHeight="1" x14ac:dyDescent="0.2">
      <c r="A491" s="107">
        <f t="shared" si="108"/>
        <v>487</v>
      </c>
      <c r="B491" s="616" t="s">
        <v>2371</v>
      </c>
      <c r="C491" s="148">
        <v>43335</v>
      </c>
      <c r="D491" s="372">
        <v>2600000</v>
      </c>
      <c r="E491" s="372"/>
      <c r="F491" s="73">
        <f t="shared" si="102"/>
        <v>2600000</v>
      </c>
      <c r="G491" s="73">
        <v>1256667</v>
      </c>
      <c r="H491" s="73">
        <f t="shared" si="109"/>
        <v>1343333</v>
      </c>
      <c r="I491" s="74">
        <v>5</v>
      </c>
      <c r="J491" s="74">
        <v>0.2</v>
      </c>
      <c r="K491" s="74">
        <v>12</v>
      </c>
      <c r="L491" s="140">
        <f t="shared" si="113"/>
        <v>520000</v>
      </c>
      <c r="M491" s="73">
        <f t="shared" si="115"/>
        <v>1776667</v>
      </c>
      <c r="N491" s="140">
        <f t="shared" si="103"/>
        <v>823333</v>
      </c>
      <c r="O491" s="74" t="s">
        <v>2365</v>
      </c>
      <c r="P491" s="74">
        <v>1</v>
      </c>
      <c r="Q491" s="625" t="s">
        <v>2366</v>
      </c>
      <c r="R491" s="23"/>
      <c r="S491" s="10">
        <f t="shared" si="104"/>
        <v>130000</v>
      </c>
      <c r="T491" s="10">
        <f t="shared" si="105"/>
        <v>693333</v>
      </c>
      <c r="U491" s="10">
        <f t="shared" si="110"/>
        <v>822333</v>
      </c>
      <c r="V491" s="10">
        <f t="shared" si="106"/>
        <v>520000</v>
      </c>
      <c r="W491" s="10">
        <f t="shared" si="114"/>
        <v>520000</v>
      </c>
      <c r="X491" s="10">
        <f t="shared" si="107"/>
        <v>0</v>
      </c>
    </row>
    <row r="492" spans="1:24" s="9" customFormat="1" ht="13.5" customHeight="1" x14ac:dyDescent="0.2">
      <c r="A492" s="107">
        <f t="shared" si="108"/>
        <v>488</v>
      </c>
      <c r="B492" s="616" t="s">
        <v>1838</v>
      </c>
      <c r="C492" s="148">
        <v>43340</v>
      </c>
      <c r="D492" s="372">
        <v>5300000</v>
      </c>
      <c r="E492" s="372"/>
      <c r="F492" s="73">
        <f t="shared" si="102"/>
        <v>5300000</v>
      </c>
      <c r="G492" s="73">
        <v>2561667</v>
      </c>
      <c r="H492" s="73">
        <f t="shared" si="109"/>
        <v>2738333</v>
      </c>
      <c r="I492" s="74">
        <v>5</v>
      </c>
      <c r="J492" s="74">
        <v>0.2</v>
      </c>
      <c r="K492" s="74">
        <v>12</v>
      </c>
      <c r="L492" s="140">
        <f t="shared" si="113"/>
        <v>1060000</v>
      </c>
      <c r="M492" s="73">
        <f t="shared" si="115"/>
        <v>3621667</v>
      </c>
      <c r="N492" s="140">
        <f t="shared" si="103"/>
        <v>1678333</v>
      </c>
      <c r="O492" s="74" t="s">
        <v>405</v>
      </c>
      <c r="P492" s="74">
        <v>1</v>
      </c>
      <c r="Q492" s="625" t="s">
        <v>2366</v>
      </c>
      <c r="R492" s="23"/>
      <c r="S492" s="10">
        <f t="shared" si="104"/>
        <v>265000</v>
      </c>
      <c r="T492" s="10">
        <f t="shared" si="105"/>
        <v>1413333</v>
      </c>
      <c r="U492" s="10">
        <f t="shared" si="110"/>
        <v>1677333</v>
      </c>
      <c r="V492" s="10">
        <f t="shared" si="106"/>
        <v>1060000</v>
      </c>
      <c r="W492" s="10">
        <f t="shared" si="114"/>
        <v>1060000</v>
      </c>
      <c r="X492" s="10">
        <f t="shared" si="107"/>
        <v>0</v>
      </c>
    </row>
    <row r="493" spans="1:24" s="9" customFormat="1" ht="13.5" customHeight="1" x14ac:dyDescent="0.2">
      <c r="A493" s="107">
        <f t="shared" si="108"/>
        <v>489</v>
      </c>
      <c r="B493" s="616" t="s">
        <v>2372</v>
      </c>
      <c r="C493" s="148">
        <v>43340</v>
      </c>
      <c r="D493" s="372">
        <v>2700000</v>
      </c>
      <c r="E493" s="372"/>
      <c r="F493" s="73">
        <f t="shared" si="102"/>
        <v>2700000</v>
      </c>
      <c r="G493" s="73">
        <v>1305000</v>
      </c>
      <c r="H493" s="73">
        <f t="shared" si="109"/>
        <v>1395000</v>
      </c>
      <c r="I493" s="74">
        <v>5</v>
      </c>
      <c r="J493" s="74">
        <v>0.2</v>
      </c>
      <c r="K493" s="74">
        <v>12</v>
      </c>
      <c r="L493" s="140">
        <f t="shared" si="113"/>
        <v>540000</v>
      </c>
      <c r="M493" s="73">
        <f t="shared" si="115"/>
        <v>1845000</v>
      </c>
      <c r="N493" s="140">
        <f t="shared" si="103"/>
        <v>855000</v>
      </c>
      <c r="O493" s="74" t="s">
        <v>405</v>
      </c>
      <c r="P493" s="74">
        <v>1</v>
      </c>
      <c r="Q493" s="625" t="s">
        <v>2366</v>
      </c>
      <c r="R493" s="23"/>
      <c r="S493" s="10">
        <f t="shared" si="104"/>
        <v>135000</v>
      </c>
      <c r="T493" s="10">
        <f t="shared" si="105"/>
        <v>720000</v>
      </c>
      <c r="U493" s="10">
        <f t="shared" si="110"/>
        <v>854000</v>
      </c>
      <c r="V493" s="10">
        <f t="shared" si="106"/>
        <v>540000</v>
      </c>
      <c r="W493" s="10">
        <f t="shared" si="114"/>
        <v>540000</v>
      </c>
      <c r="X493" s="10">
        <f t="shared" si="107"/>
        <v>0</v>
      </c>
    </row>
    <row r="494" spans="1:24" s="9" customFormat="1" ht="13.5" customHeight="1" x14ac:dyDescent="0.2">
      <c r="A494" s="107">
        <f t="shared" si="108"/>
        <v>490</v>
      </c>
      <c r="B494" s="616" t="s">
        <v>1838</v>
      </c>
      <c r="C494" s="148">
        <v>43340</v>
      </c>
      <c r="D494" s="372">
        <v>3000000</v>
      </c>
      <c r="E494" s="372"/>
      <c r="F494" s="73">
        <f t="shared" si="102"/>
        <v>3000000</v>
      </c>
      <c r="G494" s="73">
        <v>1450000</v>
      </c>
      <c r="H494" s="73">
        <f t="shared" si="109"/>
        <v>1550000</v>
      </c>
      <c r="I494" s="74">
        <v>5</v>
      </c>
      <c r="J494" s="74">
        <v>0.2</v>
      </c>
      <c r="K494" s="74">
        <v>12</v>
      </c>
      <c r="L494" s="140">
        <f t="shared" si="113"/>
        <v>600000</v>
      </c>
      <c r="M494" s="73">
        <f t="shared" si="115"/>
        <v>2050000</v>
      </c>
      <c r="N494" s="140">
        <f t="shared" si="103"/>
        <v>950000</v>
      </c>
      <c r="O494" s="74" t="s">
        <v>405</v>
      </c>
      <c r="P494" s="74">
        <v>1</v>
      </c>
      <c r="Q494" s="625" t="s">
        <v>2373</v>
      </c>
      <c r="R494" s="23"/>
      <c r="S494" s="10">
        <f t="shared" si="104"/>
        <v>150000</v>
      </c>
      <c r="T494" s="10">
        <f t="shared" si="105"/>
        <v>800000</v>
      </c>
      <c r="U494" s="10">
        <f t="shared" si="110"/>
        <v>949000</v>
      </c>
      <c r="V494" s="10">
        <f t="shared" si="106"/>
        <v>600000</v>
      </c>
      <c r="W494" s="10">
        <f t="shared" si="114"/>
        <v>600000</v>
      </c>
      <c r="X494" s="10">
        <f t="shared" si="107"/>
        <v>0</v>
      </c>
    </row>
    <row r="495" spans="1:24" s="9" customFormat="1" ht="13.5" customHeight="1" x14ac:dyDescent="0.2">
      <c r="A495" s="107">
        <f t="shared" si="108"/>
        <v>491</v>
      </c>
      <c r="B495" s="616" t="s">
        <v>2374</v>
      </c>
      <c r="C495" s="148">
        <v>43419</v>
      </c>
      <c r="D495" s="372">
        <v>9630000</v>
      </c>
      <c r="E495" s="372"/>
      <c r="F495" s="73">
        <f t="shared" ref="F495:F503" si="116">+D495+E495</f>
        <v>9630000</v>
      </c>
      <c r="G495" s="73">
        <v>4173000</v>
      </c>
      <c r="H495" s="73">
        <f t="shared" si="109"/>
        <v>5457000</v>
      </c>
      <c r="I495" s="74">
        <v>5</v>
      </c>
      <c r="J495" s="74">
        <v>0.2</v>
      </c>
      <c r="K495" s="74">
        <v>12</v>
      </c>
      <c r="L495" s="140">
        <f t="shared" ref="L495:L503" si="117">ROUND(IF(F495*J495*K495/12&gt;=H495,H495-1000,F495*J495*K495/12),0)</f>
        <v>1926000</v>
      </c>
      <c r="M495" s="73">
        <f t="shared" ref="M495:M503" si="118">+G495+L495</f>
        <v>6099000</v>
      </c>
      <c r="N495" s="140">
        <f t="shared" ref="N495:N503" si="119">+F495-M495</f>
        <v>3531000</v>
      </c>
      <c r="O495" s="74" t="s">
        <v>2375</v>
      </c>
      <c r="P495" s="74">
        <v>1</v>
      </c>
      <c r="Q495" s="625"/>
      <c r="R495" s="23"/>
      <c r="S495" s="10">
        <f t="shared" si="104"/>
        <v>481500</v>
      </c>
      <c r="T495" s="10">
        <f t="shared" si="105"/>
        <v>3049500</v>
      </c>
      <c r="U495" s="10">
        <f t="shared" si="110"/>
        <v>3530000</v>
      </c>
      <c r="V495" s="10">
        <f t="shared" si="106"/>
        <v>1926000</v>
      </c>
      <c r="W495" s="10">
        <f t="shared" si="114"/>
        <v>1926000</v>
      </c>
      <c r="X495" s="10">
        <f t="shared" si="107"/>
        <v>0</v>
      </c>
    </row>
    <row r="496" spans="1:24" s="9" customFormat="1" ht="13.5" customHeight="1" x14ac:dyDescent="0.2">
      <c r="A496" s="107">
        <f t="shared" si="108"/>
        <v>492</v>
      </c>
      <c r="B496" s="616" t="s">
        <v>2376</v>
      </c>
      <c r="C496" s="148">
        <v>43444</v>
      </c>
      <c r="D496" s="372">
        <v>885154.5</v>
      </c>
      <c r="E496" s="372"/>
      <c r="F496" s="73">
        <f t="shared" si="116"/>
        <v>885154.5</v>
      </c>
      <c r="G496" s="73">
        <v>368815</v>
      </c>
      <c r="H496" s="73">
        <f t="shared" si="109"/>
        <v>516339.5</v>
      </c>
      <c r="I496" s="74">
        <v>5</v>
      </c>
      <c r="J496" s="74">
        <v>0.2</v>
      </c>
      <c r="K496" s="74">
        <v>12</v>
      </c>
      <c r="L496" s="140">
        <f t="shared" si="117"/>
        <v>177031</v>
      </c>
      <c r="M496" s="73">
        <f t="shared" si="118"/>
        <v>545846</v>
      </c>
      <c r="N496" s="140">
        <f t="shared" si="119"/>
        <v>339308.5</v>
      </c>
      <c r="O496" s="74" t="s">
        <v>2377</v>
      </c>
      <c r="P496" s="74">
        <v>1</v>
      </c>
      <c r="Q496" s="625" t="s">
        <v>2378</v>
      </c>
      <c r="R496" s="23"/>
      <c r="S496" s="10">
        <f t="shared" si="104"/>
        <v>44257.725000000006</v>
      </c>
      <c r="T496" s="10">
        <f t="shared" si="105"/>
        <v>295050.77500000002</v>
      </c>
      <c r="U496" s="10">
        <f t="shared" si="110"/>
        <v>338308.5</v>
      </c>
      <c r="V496" s="10">
        <f t="shared" si="106"/>
        <v>177030.9</v>
      </c>
      <c r="W496" s="10">
        <f t="shared" si="114"/>
        <v>177031</v>
      </c>
      <c r="X496" s="10">
        <f t="shared" si="107"/>
        <v>0</v>
      </c>
    </row>
    <row r="497" spans="1:24" s="9" customFormat="1" ht="13.5" customHeight="1" x14ac:dyDescent="0.2">
      <c r="A497" s="107">
        <f t="shared" si="108"/>
        <v>493</v>
      </c>
      <c r="B497" s="616" t="s">
        <v>2376</v>
      </c>
      <c r="C497" s="148">
        <v>43444</v>
      </c>
      <c r="D497" s="372">
        <v>885154.5</v>
      </c>
      <c r="E497" s="372"/>
      <c r="F497" s="73">
        <f t="shared" si="116"/>
        <v>885154.5</v>
      </c>
      <c r="G497" s="73">
        <v>368815</v>
      </c>
      <c r="H497" s="73">
        <f t="shared" si="109"/>
        <v>516339.5</v>
      </c>
      <c r="I497" s="74">
        <v>5</v>
      </c>
      <c r="J497" s="74">
        <v>0.2</v>
      </c>
      <c r="K497" s="74">
        <v>12</v>
      </c>
      <c r="L497" s="140">
        <f t="shared" si="117"/>
        <v>177031</v>
      </c>
      <c r="M497" s="73">
        <f t="shared" si="118"/>
        <v>545846</v>
      </c>
      <c r="N497" s="140">
        <f t="shared" si="119"/>
        <v>339308.5</v>
      </c>
      <c r="O497" s="74" t="s">
        <v>2377</v>
      </c>
      <c r="P497" s="74">
        <v>1</v>
      </c>
      <c r="Q497" s="625" t="s">
        <v>2378</v>
      </c>
      <c r="R497" s="23"/>
      <c r="S497" s="10">
        <f t="shared" si="104"/>
        <v>44257.725000000006</v>
      </c>
      <c r="T497" s="10">
        <f t="shared" si="105"/>
        <v>295050.77500000002</v>
      </c>
      <c r="U497" s="10">
        <f t="shared" si="110"/>
        <v>338308.5</v>
      </c>
      <c r="V497" s="10">
        <f t="shared" si="106"/>
        <v>177030.9</v>
      </c>
      <c r="W497" s="10">
        <f t="shared" si="114"/>
        <v>177031</v>
      </c>
      <c r="X497" s="10">
        <f t="shared" si="107"/>
        <v>0</v>
      </c>
    </row>
    <row r="498" spans="1:24" s="9" customFormat="1" ht="13.5" customHeight="1" x14ac:dyDescent="0.2">
      <c r="A498" s="107">
        <f t="shared" si="108"/>
        <v>494</v>
      </c>
      <c r="B498" s="616" t="s">
        <v>2379</v>
      </c>
      <c r="C498" s="148">
        <v>43455</v>
      </c>
      <c r="D498" s="372">
        <v>2500000</v>
      </c>
      <c r="E498" s="372"/>
      <c r="F498" s="73">
        <f t="shared" si="116"/>
        <v>2500000</v>
      </c>
      <c r="G498" s="73">
        <v>1041667</v>
      </c>
      <c r="H498" s="73">
        <f t="shared" si="109"/>
        <v>1458333</v>
      </c>
      <c r="I498" s="74">
        <v>5</v>
      </c>
      <c r="J498" s="74">
        <v>0.2</v>
      </c>
      <c r="K498" s="74">
        <v>12</v>
      </c>
      <c r="L498" s="140">
        <f t="shared" si="117"/>
        <v>500000</v>
      </c>
      <c r="M498" s="73">
        <f t="shared" si="118"/>
        <v>1541667</v>
      </c>
      <c r="N498" s="140">
        <f t="shared" si="119"/>
        <v>958333</v>
      </c>
      <c r="O498" s="74" t="s">
        <v>2380</v>
      </c>
      <c r="P498" s="74">
        <v>1</v>
      </c>
      <c r="Q498" s="625" t="s">
        <v>2381</v>
      </c>
      <c r="R498" s="23"/>
      <c r="S498" s="10">
        <f t="shared" si="104"/>
        <v>125000</v>
      </c>
      <c r="T498" s="10">
        <f t="shared" si="105"/>
        <v>833333</v>
      </c>
      <c r="U498" s="10">
        <f t="shared" si="110"/>
        <v>957333</v>
      </c>
      <c r="V498" s="10">
        <f t="shared" si="106"/>
        <v>500000</v>
      </c>
      <c r="W498" s="10">
        <f t="shared" si="114"/>
        <v>500000</v>
      </c>
      <c r="X498" s="10">
        <f t="shared" si="107"/>
        <v>0</v>
      </c>
    </row>
    <row r="499" spans="1:24" s="9" customFormat="1" ht="13.5" customHeight="1" x14ac:dyDescent="0.2">
      <c r="A499" s="107">
        <f t="shared" si="108"/>
        <v>495</v>
      </c>
      <c r="B499" s="65" t="s">
        <v>2877</v>
      </c>
      <c r="C499" s="148">
        <v>43509</v>
      </c>
      <c r="D499" s="372">
        <v>1280000</v>
      </c>
      <c r="E499" s="372"/>
      <c r="F499" s="73">
        <f t="shared" si="116"/>
        <v>1280000</v>
      </c>
      <c r="G499" s="73">
        <v>490667</v>
      </c>
      <c r="H499" s="73">
        <f t="shared" si="109"/>
        <v>789333</v>
      </c>
      <c r="I499" s="74">
        <v>5</v>
      </c>
      <c r="J499" s="74">
        <v>0.2</v>
      </c>
      <c r="K499" s="74">
        <v>12</v>
      </c>
      <c r="L499" s="140">
        <f t="shared" si="117"/>
        <v>256000</v>
      </c>
      <c r="M499" s="73">
        <f t="shared" si="118"/>
        <v>746667</v>
      </c>
      <c r="N499" s="140">
        <f t="shared" si="119"/>
        <v>533333</v>
      </c>
      <c r="O499" s="74" t="s">
        <v>2878</v>
      </c>
      <c r="P499" s="74">
        <v>1</v>
      </c>
      <c r="Q499" s="625"/>
      <c r="R499" s="23"/>
      <c r="S499" s="10">
        <f t="shared" si="104"/>
        <v>64000</v>
      </c>
      <c r="T499" s="10">
        <f t="shared" si="105"/>
        <v>469333</v>
      </c>
      <c r="U499" s="10">
        <f t="shared" si="110"/>
        <v>532333</v>
      </c>
      <c r="V499" s="10">
        <f t="shared" si="106"/>
        <v>256000</v>
      </c>
      <c r="W499" s="10">
        <f t="shared" si="114"/>
        <v>256000</v>
      </c>
      <c r="X499" s="10">
        <f t="shared" si="107"/>
        <v>0</v>
      </c>
    </row>
    <row r="500" spans="1:24" s="9" customFormat="1" ht="13.5" customHeight="1" x14ac:dyDescent="0.2">
      <c r="A500" s="107">
        <f t="shared" si="108"/>
        <v>496</v>
      </c>
      <c r="B500" s="616" t="s">
        <v>2930</v>
      </c>
      <c r="C500" s="148">
        <v>43728</v>
      </c>
      <c r="D500" s="372">
        <v>1200000</v>
      </c>
      <c r="E500" s="372"/>
      <c r="F500" s="73">
        <f t="shared" si="116"/>
        <v>1200000</v>
      </c>
      <c r="G500" s="73">
        <v>320000</v>
      </c>
      <c r="H500" s="73">
        <f t="shared" ref="H500:H519" si="120">+F500-G500</f>
        <v>880000</v>
      </c>
      <c r="I500" s="74">
        <v>5</v>
      </c>
      <c r="J500" s="74">
        <v>0.2</v>
      </c>
      <c r="K500" s="74">
        <v>12</v>
      </c>
      <c r="L500" s="140">
        <f t="shared" si="117"/>
        <v>240000</v>
      </c>
      <c r="M500" s="73">
        <f t="shared" si="118"/>
        <v>560000</v>
      </c>
      <c r="N500" s="140">
        <f t="shared" si="119"/>
        <v>640000</v>
      </c>
      <c r="O500" s="74" t="s">
        <v>2933</v>
      </c>
      <c r="P500" s="74">
        <v>8</v>
      </c>
      <c r="Q500" s="625" t="s">
        <v>2381</v>
      </c>
      <c r="R500" s="23"/>
      <c r="S500" s="10"/>
      <c r="T500" s="10"/>
      <c r="U500" s="10"/>
      <c r="V500" s="10"/>
      <c r="W500" s="10"/>
      <c r="X500" s="10"/>
    </row>
    <row r="501" spans="1:24" s="9" customFormat="1" ht="13.5" customHeight="1" x14ac:dyDescent="0.2">
      <c r="A501" s="107">
        <f t="shared" si="108"/>
        <v>497</v>
      </c>
      <c r="B501" s="616" t="s">
        <v>2931</v>
      </c>
      <c r="C501" s="148">
        <v>43728</v>
      </c>
      <c r="D501" s="372">
        <v>3195000</v>
      </c>
      <c r="E501" s="372"/>
      <c r="F501" s="73">
        <f t="shared" si="116"/>
        <v>3195000</v>
      </c>
      <c r="G501" s="73">
        <v>852000</v>
      </c>
      <c r="H501" s="73">
        <f t="shared" si="120"/>
        <v>2343000</v>
      </c>
      <c r="I501" s="74">
        <v>5</v>
      </c>
      <c r="J501" s="74">
        <v>0.2</v>
      </c>
      <c r="K501" s="74">
        <v>12</v>
      </c>
      <c r="L501" s="140">
        <f t="shared" si="117"/>
        <v>639000</v>
      </c>
      <c r="M501" s="73">
        <f t="shared" si="118"/>
        <v>1491000</v>
      </c>
      <c r="N501" s="140">
        <f t="shared" si="119"/>
        <v>1704000</v>
      </c>
      <c r="O501" s="74" t="s">
        <v>2933</v>
      </c>
      <c r="P501" s="74">
        <v>27</v>
      </c>
      <c r="Q501" s="625" t="s">
        <v>2381</v>
      </c>
      <c r="R501" s="23"/>
      <c r="S501" s="10"/>
      <c r="T501" s="10"/>
      <c r="U501" s="10"/>
      <c r="V501" s="10"/>
      <c r="W501" s="10"/>
      <c r="X501" s="10"/>
    </row>
    <row r="502" spans="1:24" s="9" customFormat="1" ht="13.5" customHeight="1" x14ac:dyDescent="0.2">
      <c r="A502" s="107">
        <f t="shared" si="108"/>
        <v>498</v>
      </c>
      <c r="B502" s="616" t="s">
        <v>2932</v>
      </c>
      <c r="C502" s="148">
        <v>43728</v>
      </c>
      <c r="D502" s="372">
        <v>105000</v>
      </c>
      <c r="E502" s="372"/>
      <c r="F502" s="73">
        <f t="shared" si="116"/>
        <v>105000</v>
      </c>
      <c r="G502" s="73">
        <v>28000</v>
      </c>
      <c r="H502" s="73">
        <f t="shared" si="120"/>
        <v>77000</v>
      </c>
      <c r="I502" s="74">
        <v>5</v>
      </c>
      <c r="J502" s="74">
        <v>0.2</v>
      </c>
      <c r="K502" s="74">
        <v>12</v>
      </c>
      <c r="L502" s="140">
        <f t="shared" si="117"/>
        <v>21000</v>
      </c>
      <c r="M502" s="73">
        <f t="shared" si="118"/>
        <v>49000</v>
      </c>
      <c r="N502" s="140">
        <f t="shared" si="119"/>
        <v>56000</v>
      </c>
      <c r="O502" s="74" t="s">
        <v>2933</v>
      </c>
      <c r="P502" s="74">
        <v>1</v>
      </c>
      <c r="Q502" s="625" t="s">
        <v>2381</v>
      </c>
      <c r="R502" s="23"/>
      <c r="S502" s="10"/>
      <c r="T502" s="10"/>
      <c r="U502" s="10"/>
      <c r="V502" s="10"/>
      <c r="W502" s="10"/>
      <c r="X502" s="10"/>
    </row>
    <row r="503" spans="1:24" s="9" customFormat="1" ht="13.5" customHeight="1" x14ac:dyDescent="0.2">
      <c r="A503" s="107">
        <f t="shared" si="108"/>
        <v>499</v>
      </c>
      <c r="B503" s="616" t="s">
        <v>2941</v>
      </c>
      <c r="C503" s="148">
        <v>43738</v>
      </c>
      <c r="D503" s="372">
        <v>1800000</v>
      </c>
      <c r="E503" s="372"/>
      <c r="F503" s="73">
        <f t="shared" si="116"/>
        <v>1800000</v>
      </c>
      <c r="G503" s="73">
        <v>480000</v>
      </c>
      <c r="H503" s="73">
        <f t="shared" si="120"/>
        <v>1320000</v>
      </c>
      <c r="I503" s="74">
        <v>5</v>
      </c>
      <c r="J503" s="74">
        <v>0.2</v>
      </c>
      <c r="K503" s="74">
        <v>12</v>
      </c>
      <c r="L503" s="140">
        <f t="shared" si="117"/>
        <v>360000</v>
      </c>
      <c r="M503" s="73">
        <f t="shared" si="118"/>
        <v>840000</v>
      </c>
      <c r="N503" s="140">
        <f t="shared" si="119"/>
        <v>960000</v>
      </c>
      <c r="O503" s="74" t="s">
        <v>2934</v>
      </c>
      <c r="P503" s="74">
        <v>154</v>
      </c>
      <c r="Q503" s="625"/>
      <c r="R503" s="23"/>
      <c r="S503" s="10"/>
      <c r="T503" s="10"/>
      <c r="U503" s="10"/>
      <c r="V503" s="10"/>
      <c r="W503" s="10"/>
      <c r="X503" s="10"/>
    </row>
    <row r="504" spans="1:24" s="9" customFormat="1" ht="13.5" customHeight="1" x14ac:dyDescent="0.2">
      <c r="A504" s="107">
        <f t="shared" si="108"/>
        <v>500</v>
      </c>
      <c r="B504" s="616" t="s">
        <v>2959</v>
      </c>
      <c r="C504" s="148">
        <v>43816</v>
      </c>
      <c r="D504" s="372">
        <v>260000</v>
      </c>
      <c r="E504" s="372"/>
      <c r="F504" s="73">
        <f>+D504+E504</f>
        <v>260000</v>
      </c>
      <c r="G504" s="73">
        <v>56333</v>
      </c>
      <c r="H504" s="73">
        <f t="shared" si="120"/>
        <v>203667</v>
      </c>
      <c r="I504" s="74">
        <v>5</v>
      </c>
      <c r="J504" s="74">
        <v>0.2</v>
      </c>
      <c r="K504" s="74">
        <v>12</v>
      </c>
      <c r="L504" s="140">
        <f>ROUND(IF(F504*J504*K504/12&gt;=H504,H504-1000,F504*J504*K504/12),0)</f>
        <v>52000</v>
      </c>
      <c r="M504" s="73">
        <f>+G504+L504</f>
        <v>108333</v>
      </c>
      <c r="N504" s="140">
        <f>+F504-M504</f>
        <v>151667</v>
      </c>
      <c r="O504" s="74" t="s">
        <v>2960</v>
      </c>
      <c r="P504" s="74">
        <v>1</v>
      </c>
      <c r="Q504" s="625"/>
      <c r="R504" s="23"/>
      <c r="S504" s="10"/>
      <c r="T504" s="10"/>
      <c r="U504" s="10"/>
      <c r="V504" s="10"/>
      <c r="W504" s="10"/>
      <c r="X504" s="10"/>
    </row>
    <row r="505" spans="1:24" s="9" customFormat="1" ht="13.5" customHeight="1" x14ac:dyDescent="0.2">
      <c r="A505" s="107">
        <f t="shared" si="108"/>
        <v>501</v>
      </c>
      <c r="B505" s="616" t="s">
        <v>2959</v>
      </c>
      <c r="C505" s="148">
        <v>43816</v>
      </c>
      <c r="D505" s="372">
        <v>260000</v>
      </c>
      <c r="E505" s="372"/>
      <c r="F505" s="73">
        <f>+D505+E505</f>
        <v>260000</v>
      </c>
      <c r="G505" s="73">
        <v>56333</v>
      </c>
      <c r="H505" s="73">
        <f t="shared" si="120"/>
        <v>203667</v>
      </c>
      <c r="I505" s="74">
        <v>5</v>
      </c>
      <c r="J505" s="74">
        <v>0.2</v>
      </c>
      <c r="K505" s="74">
        <v>12</v>
      </c>
      <c r="L505" s="140">
        <f>ROUND(IF(F505*J505*K505/12&gt;=H505,H505-1000,F505*J505*K505/12),0)</f>
        <v>52000</v>
      </c>
      <c r="M505" s="73">
        <f>+G505+L505</f>
        <v>108333</v>
      </c>
      <c r="N505" s="140">
        <f>+F505-M505</f>
        <v>151667</v>
      </c>
      <c r="O505" s="74" t="s">
        <v>2960</v>
      </c>
      <c r="P505" s="74">
        <v>1</v>
      </c>
      <c r="Q505" s="625"/>
      <c r="R505" s="23"/>
      <c r="S505" s="10"/>
      <c r="T505" s="10"/>
      <c r="U505" s="10"/>
      <c r="V505" s="10"/>
      <c r="W505" s="10"/>
      <c r="X505" s="10"/>
    </row>
    <row r="506" spans="1:24" s="9" customFormat="1" ht="13.5" customHeight="1" x14ac:dyDescent="0.2">
      <c r="A506" s="107">
        <f t="shared" si="108"/>
        <v>502</v>
      </c>
      <c r="B506" s="616" t="s">
        <v>2959</v>
      </c>
      <c r="C506" s="148">
        <v>43816</v>
      </c>
      <c r="D506" s="372">
        <v>260000</v>
      </c>
      <c r="E506" s="372"/>
      <c r="F506" s="73">
        <f>+D506+E506</f>
        <v>260000</v>
      </c>
      <c r="G506" s="73">
        <v>56333</v>
      </c>
      <c r="H506" s="73">
        <f t="shared" si="120"/>
        <v>203667</v>
      </c>
      <c r="I506" s="74">
        <v>5</v>
      </c>
      <c r="J506" s="74">
        <v>0.2</v>
      </c>
      <c r="K506" s="74">
        <v>12</v>
      </c>
      <c r="L506" s="140">
        <f>ROUND(IF(F506*J506*K506/12&gt;=H506,H506-1000,F506*J506*K506/12),0)</f>
        <v>52000</v>
      </c>
      <c r="M506" s="73">
        <f>+G506+L506</f>
        <v>108333</v>
      </c>
      <c r="N506" s="140">
        <f>+F506-M506</f>
        <v>151667</v>
      </c>
      <c r="O506" s="74" t="s">
        <v>2960</v>
      </c>
      <c r="P506" s="74">
        <v>1</v>
      </c>
      <c r="Q506" s="625"/>
      <c r="R506" s="23"/>
      <c r="S506" s="10"/>
      <c r="T506" s="10"/>
      <c r="U506" s="10"/>
      <c r="V506" s="10"/>
      <c r="W506" s="10"/>
      <c r="X506" s="10"/>
    </row>
    <row r="507" spans="1:24" s="9" customFormat="1" ht="13.5" customHeight="1" x14ac:dyDescent="0.2">
      <c r="A507" s="107">
        <f t="shared" si="108"/>
        <v>503</v>
      </c>
      <c r="B507" s="616" t="s">
        <v>2959</v>
      </c>
      <c r="C507" s="148">
        <v>43816</v>
      </c>
      <c r="D507" s="372">
        <v>260000</v>
      </c>
      <c r="E507" s="372"/>
      <c r="F507" s="73">
        <f>+D507+E507</f>
        <v>260000</v>
      </c>
      <c r="G507" s="73">
        <v>56333</v>
      </c>
      <c r="H507" s="73">
        <f t="shared" si="120"/>
        <v>203667</v>
      </c>
      <c r="I507" s="74">
        <v>5</v>
      </c>
      <c r="J507" s="74">
        <v>0.2</v>
      </c>
      <c r="K507" s="74">
        <v>12</v>
      </c>
      <c r="L507" s="140">
        <f>ROUND(IF(F507*J507*K507/12&gt;=H507,H507-1000,F507*J507*K507/12),0)</f>
        <v>52000</v>
      </c>
      <c r="M507" s="73">
        <f>+G507+L507</f>
        <v>108333</v>
      </c>
      <c r="N507" s="140">
        <f>+F507-M507</f>
        <v>151667</v>
      </c>
      <c r="O507" s="74" t="s">
        <v>2960</v>
      </c>
      <c r="P507" s="74">
        <v>1</v>
      </c>
      <c r="Q507" s="625"/>
      <c r="R507" s="23"/>
      <c r="S507" s="10"/>
      <c r="T507" s="10"/>
      <c r="U507" s="10"/>
      <c r="V507" s="10"/>
      <c r="W507" s="10"/>
      <c r="X507" s="10"/>
    </row>
    <row r="508" spans="1:24" s="9" customFormat="1" ht="13.5" customHeight="1" x14ac:dyDescent="0.2">
      <c r="A508" s="107">
        <f t="shared" si="108"/>
        <v>504</v>
      </c>
      <c r="B508" s="616" t="s">
        <v>2959</v>
      </c>
      <c r="C508" s="148">
        <v>43816</v>
      </c>
      <c r="D508" s="372">
        <v>260000</v>
      </c>
      <c r="E508" s="372"/>
      <c r="F508" s="73">
        <f>+D508+E508</f>
        <v>260000</v>
      </c>
      <c r="G508" s="73">
        <v>56333</v>
      </c>
      <c r="H508" s="73">
        <f t="shared" si="120"/>
        <v>203667</v>
      </c>
      <c r="I508" s="74">
        <v>5</v>
      </c>
      <c r="J508" s="74">
        <v>0.2</v>
      </c>
      <c r="K508" s="74">
        <v>12</v>
      </c>
      <c r="L508" s="140">
        <f>ROUND(IF(F508*J508*K508/12&gt;=H508,H508-1000,F508*J508*K508/12),0)</f>
        <v>52000</v>
      </c>
      <c r="M508" s="73">
        <f>+G508+L508</f>
        <v>108333</v>
      </c>
      <c r="N508" s="140">
        <f>+F508-M508</f>
        <v>151667</v>
      </c>
      <c r="O508" s="74" t="s">
        <v>2960</v>
      </c>
      <c r="P508" s="74">
        <v>1</v>
      </c>
      <c r="Q508" s="625"/>
      <c r="R508" s="23"/>
      <c r="S508" s="10"/>
      <c r="T508" s="10"/>
      <c r="U508" s="10"/>
      <c r="V508" s="10"/>
      <c r="W508" s="10"/>
      <c r="X508" s="10"/>
    </row>
    <row r="509" spans="1:24" s="9" customFormat="1" ht="13.5" customHeight="1" x14ac:dyDescent="0.2">
      <c r="A509" s="107">
        <f t="shared" si="108"/>
        <v>505</v>
      </c>
      <c r="B509" s="616" t="s">
        <v>2959</v>
      </c>
      <c r="C509" s="148">
        <v>43843</v>
      </c>
      <c r="D509" s="372">
        <v>260000</v>
      </c>
      <c r="E509" s="372"/>
      <c r="F509" s="73">
        <f t="shared" ref="F509:F532" si="121">+D509+E509</f>
        <v>260000</v>
      </c>
      <c r="G509" s="73">
        <v>52000</v>
      </c>
      <c r="H509" s="73">
        <f t="shared" si="120"/>
        <v>208000</v>
      </c>
      <c r="I509" s="74">
        <v>5</v>
      </c>
      <c r="J509" s="74">
        <v>0.2</v>
      </c>
      <c r="K509" s="74">
        <v>12</v>
      </c>
      <c r="L509" s="140">
        <f t="shared" ref="L509:L519" si="122">ROUND(IF(F509*J509*K509/12&gt;=H509,H509-1000,F509*J509*K509/12),0)</f>
        <v>52000</v>
      </c>
      <c r="M509" s="73">
        <f t="shared" ref="M509:M519" si="123">+G509+L509</f>
        <v>104000</v>
      </c>
      <c r="N509" s="140">
        <f t="shared" ref="N509:N519" si="124">+F509-M509</f>
        <v>156000</v>
      </c>
      <c r="O509" s="74" t="s">
        <v>2960</v>
      </c>
      <c r="P509" s="74">
        <v>1</v>
      </c>
      <c r="Q509" s="625"/>
      <c r="R509" s="23"/>
      <c r="S509" s="10"/>
      <c r="T509" s="10"/>
      <c r="U509" s="10"/>
      <c r="V509" s="10"/>
      <c r="W509" s="10"/>
      <c r="X509" s="10"/>
    </row>
    <row r="510" spans="1:24" s="9" customFormat="1" ht="13.5" customHeight="1" x14ac:dyDescent="0.2">
      <c r="A510" s="107">
        <f t="shared" si="108"/>
        <v>506</v>
      </c>
      <c r="B510" s="616" t="s">
        <v>2959</v>
      </c>
      <c r="C510" s="148">
        <v>43843</v>
      </c>
      <c r="D510" s="372">
        <v>260000</v>
      </c>
      <c r="E510" s="372"/>
      <c r="F510" s="73">
        <f t="shared" si="121"/>
        <v>260000</v>
      </c>
      <c r="G510" s="73">
        <v>52000</v>
      </c>
      <c r="H510" s="73">
        <f t="shared" si="120"/>
        <v>208000</v>
      </c>
      <c r="I510" s="74">
        <v>5</v>
      </c>
      <c r="J510" s="74">
        <v>0.2</v>
      </c>
      <c r="K510" s="74">
        <v>12</v>
      </c>
      <c r="L510" s="140">
        <f t="shared" si="122"/>
        <v>52000</v>
      </c>
      <c r="M510" s="73">
        <f t="shared" si="123"/>
        <v>104000</v>
      </c>
      <c r="N510" s="140">
        <f t="shared" si="124"/>
        <v>156000</v>
      </c>
      <c r="O510" s="74" t="s">
        <v>2960</v>
      </c>
      <c r="P510" s="74">
        <v>1</v>
      </c>
      <c r="Q510" s="625"/>
      <c r="R510" s="23"/>
      <c r="S510" s="10"/>
      <c r="T510" s="10"/>
      <c r="U510" s="10"/>
      <c r="V510" s="10"/>
      <c r="W510" s="10"/>
      <c r="X510" s="10"/>
    </row>
    <row r="511" spans="1:24" s="9" customFormat="1" ht="13.5" customHeight="1" x14ac:dyDescent="0.2">
      <c r="A511" s="107">
        <f t="shared" si="108"/>
        <v>507</v>
      </c>
      <c r="B511" s="616" t="s">
        <v>2959</v>
      </c>
      <c r="C511" s="148">
        <v>43843</v>
      </c>
      <c r="D511" s="372">
        <v>260000</v>
      </c>
      <c r="E511" s="372"/>
      <c r="F511" s="73">
        <f t="shared" si="121"/>
        <v>260000</v>
      </c>
      <c r="G511" s="73">
        <v>52000</v>
      </c>
      <c r="H511" s="73">
        <f t="shared" si="120"/>
        <v>208000</v>
      </c>
      <c r="I511" s="74">
        <v>5</v>
      </c>
      <c r="J511" s="74">
        <v>0.2</v>
      </c>
      <c r="K511" s="74">
        <v>12</v>
      </c>
      <c r="L511" s="140">
        <f t="shared" si="122"/>
        <v>52000</v>
      </c>
      <c r="M511" s="73">
        <f t="shared" si="123"/>
        <v>104000</v>
      </c>
      <c r="N511" s="140">
        <f t="shared" si="124"/>
        <v>156000</v>
      </c>
      <c r="O511" s="74" t="s">
        <v>2960</v>
      </c>
      <c r="P511" s="74">
        <v>1</v>
      </c>
      <c r="Q511" s="625"/>
      <c r="R511" s="23"/>
      <c r="S511" s="10"/>
      <c r="T511" s="10"/>
      <c r="U511" s="10"/>
      <c r="V511" s="10"/>
      <c r="W511" s="10"/>
      <c r="X511" s="10"/>
    </row>
    <row r="512" spans="1:24" s="9" customFormat="1" ht="13.5" customHeight="1" x14ac:dyDescent="0.2">
      <c r="A512" s="107">
        <f t="shared" si="108"/>
        <v>508</v>
      </c>
      <c r="B512" s="616" t="s">
        <v>2959</v>
      </c>
      <c r="C512" s="148">
        <v>43885</v>
      </c>
      <c r="D512" s="372">
        <v>260000</v>
      </c>
      <c r="E512" s="372"/>
      <c r="F512" s="73">
        <f t="shared" si="121"/>
        <v>260000</v>
      </c>
      <c r="G512" s="73">
        <v>47667</v>
      </c>
      <c r="H512" s="73">
        <f t="shared" si="120"/>
        <v>212333</v>
      </c>
      <c r="I512" s="74">
        <v>5</v>
      </c>
      <c r="J512" s="74">
        <v>0.2</v>
      </c>
      <c r="K512" s="74">
        <v>12</v>
      </c>
      <c r="L512" s="140">
        <f t="shared" si="122"/>
        <v>52000</v>
      </c>
      <c r="M512" s="73">
        <f t="shared" si="123"/>
        <v>99667</v>
      </c>
      <c r="N512" s="140">
        <f t="shared" si="124"/>
        <v>160333</v>
      </c>
      <c r="O512" s="74" t="s">
        <v>2960</v>
      </c>
      <c r="P512" s="74">
        <v>1</v>
      </c>
      <c r="Q512" s="625"/>
      <c r="R512" s="23"/>
      <c r="S512" s="10"/>
      <c r="T512" s="10"/>
      <c r="U512" s="10"/>
      <c r="V512" s="10"/>
      <c r="W512" s="10"/>
      <c r="X512" s="10"/>
    </row>
    <row r="513" spans="1:24" s="9" customFormat="1" ht="13.5" customHeight="1" x14ac:dyDescent="0.2">
      <c r="A513" s="107">
        <f t="shared" si="108"/>
        <v>509</v>
      </c>
      <c r="B513" s="616" t="s">
        <v>2959</v>
      </c>
      <c r="C513" s="148">
        <v>43885</v>
      </c>
      <c r="D513" s="372">
        <v>260000</v>
      </c>
      <c r="E513" s="372"/>
      <c r="F513" s="73">
        <f t="shared" si="121"/>
        <v>260000</v>
      </c>
      <c r="G513" s="73">
        <v>47667</v>
      </c>
      <c r="H513" s="73">
        <f t="shared" si="120"/>
        <v>212333</v>
      </c>
      <c r="I513" s="74">
        <v>5</v>
      </c>
      <c r="J513" s="74">
        <v>0.2</v>
      </c>
      <c r="K513" s="74">
        <v>12</v>
      </c>
      <c r="L513" s="140">
        <f t="shared" si="122"/>
        <v>52000</v>
      </c>
      <c r="M513" s="73">
        <f t="shared" si="123"/>
        <v>99667</v>
      </c>
      <c r="N513" s="140">
        <f t="shared" si="124"/>
        <v>160333</v>
      </c>
      <c r="O513" s="74" t="s">
        <v>2960</v>
      </c>
      <c r="P513" s="74">
        <v>1</v>
      </c>
      <c r="Q513" s="625"/>
      <c r="R513" s="23"/>
      <c r="S513" s="10"/>
      <c r="T513" s="10"/>
      <c r="U513" s="10"/>
      <c r="V513" s="10"/>
      <c r="W513" s="10"/>
      <c r="X513" s="10"/>
    </row>
    <row r="514" spans="1:24" s="9" customFormat="1" ht="13.5" customHeight="1" x14ac:dyDescent="0.2">
      <c r="A514" s="107">
        <f t="shared" si="108"/>
        <v>510</v>
      </c>
      <c r="B514" s="616" t="s">
        <v>2959</v>
      </c>
      <c r="C514" s="148">
        <v>43885</v>
      </c>
      <c r="D514" s="372">
        <v>260000</v>
      </c>
      <c r="E514" s="372"/>
      <c r="F514" s="73">
        <f t="shared" si="121"/>
        <v>260000</v>
      </c>
      <c r="G514" s="73">
        <v>47667</v>
      </c>
      <c r="H514" s="73">
        <f t="shared" si="120"/>
        <v>212333</v>
      </c>
      <c r="I514" s="74">
        <v>5</v>
      </c>
      <c r="J514" s="74">
        <v>0.2</v>
      </c>
      <c r="K514" s="74">
        <v>12</v>
      </c>
      <c r="L514" s="140">
        <f t="shared" si="122"/>
        <v>52000</v>
      </c>
      <c r="M514" s="73">
        <f t="shared" si="123"/>
        <v>99667</v>
      </c>
      <c r="N514" s="140">
        <f t="shared" si="124"/>
        <v>160333</v>
      </c>
      <c r="O514" s="74" t="s">
        <v>2960</v>
      </c>
      <c r="P514" s="74">
        <v>1</v>
      </c>
      <c r="Q514" s="625"/>
      <c r="R514" s="23"/>
      <c r="S514" s="10"/>
      <c r="T514" s="10"/>
      <c r="U514" s="10"/>
      <c r="V514" s="10"/>
      <c r="W514" s="10"/>
      <c r="X514" s="10"/>
    </row>
    <row r="515" spans="1:24" s="9" customFormat="1" ht="13.5" customHeight="1" x14ac:dyDescent="0.2">
      <c r="A515" s="107">
        <f t="shared" si="108"/>
        <v>511</v>
      </c>
      <c r="B515" s="616" t="s">
        <v>2959</v>
      </c>
      <c r="C515" s="148">
        <v>43885</v>
      </c>
      <c r="D515" s="372">
        <v>260000</v>
      </c>
      <c r="E515" s="372"/>
      <c r="F515" s="73">
        <f t="shared" si="121"/>
        <v>260000</v>
      </c>
      <c r="G515" s="73">
        <v>47667</v>
      </c>
      <c r="H515" s="73">
        <f t="shared" si="120"/>
        <v>212333</v>
      </c>
      <c r="I515" s="74">
        <v>5</v>
      </c>
      <c r="J515" s="74">
        <v>0.2</v>
      </c>
      <c r="K515" s="74">
        <v>12</v>
      </c>
      <c r="L515" s="140">
        <f t="shared" si="122"/>
        <v>52000</v>
      </c>
      <c r="M515" s="73">
        <f t="shared" si="123"/>
        <v>99667</v>
      </c>
      <c r="N515" s="140">
        <f t="shared" si="124"/>
        <v>160333</v>
      </c>
      <c r="O515" s="74" t="s">
        <v>2960</v>
      </c>
      <c r="P515" s="74">
        <v>1</v>
      </c>
      <c r="Q515" s="625"/>
      <c r="R515" s="23"/>
      <c r="S515" s="10"/>
      <c r="T515" s="10"/>
      <c r="U515" s="10"/>
      <c r="V515" s="10"/>
      <c r="W515" s="10"/>
      <c r="X515" s="10"/>
    </row>
    <row r="516" spans="1:24" s="9" customFormat="1" ht="13.5" customHeight="1" x14ac:dyDescent="0.2">
      <c r="A516" s="107">
        <f t="shared" si="108"/>
        <v>512</v>
      </c>
      <c r="B516" s="616" t="s">
        <v>2965</v>
      </c>
      <c r="C516" s="148">
        <v>43885</v>
      </c>
      <c r="D516" s="372">
        <v>260000</v>
      </c>
      <c r="E516" s="372"/>
      <c r="F516" s="73">
        <f t="shared" si="121"/>
        <v>260000</v>
      </c>
      <c r="G516" s="73">
        <v>47667</v>
      </c>
      <c r="H516" s="73">
        <f t="shared" si="120"/>
        <v>212333</v>
      </c>
      <c r="I516" s="74">
        <v>5</v>
      </c>
      <c r="J516" s="74">
        <v>0.2</v>
      </c>
      <c r="K516" s="74">
        <v>12</v>
      </c>
      <c r="L516" s="140">
        <f t="shared" si="122"/>
        <v>52000</v>
      </c>
      <c r="M516" s="73">
        <f t="shared" si="123"/>
        <v>99667</v>
      </c>
      <c r="N516" s="140">
        <f t="shared" si="124"/>
        <v>160333</v>
      </c>
      <c r="O516" s="74" t="s">
        <v>2960</v>
      </c>
      <c r="P516" s="74">
        <v>1</v>
      </c>
      <c r="Q516" s="625"/>
      <c r="R516" s="23"/>
      <c r="S516" s="10"/>
      <c r="T516" s="10"/>
      <c r="U516" s="10"/>
      <c r="V516" s="10"/>
      <c r="W516" s="10"/>
      <c r="X516" s="10"/>
    </row>
    <row r="517" spans="1:24" s="9" customFormat="1" ht="13.5" customHeight="1" x14ac:dyDescent="0.2">
      <c r="A517" s="107">
        <f t="shared" si="108"/>
        <v>513</v>
      </c>
      <c r="B517" s="616" t="s">
        <v>2959</v>
      </c>
      <c r="C517" s="148">
        <v>43914</v>
      </c>
      <c r="D517" s="372">
        <v>480000</v>
      </c>
      <c r="E517" s="372"/>
      <c r="F517" s="73">
        <f t="shared" si="121"/>
        <v>480000</v>
      </c>
      <c r="G517" s="73">
        <v>80000</v>
      </c>
      <c r="H517" s="73">
        <f t="shared" si="120"/>
        <v>400000</v>
      </c>
      <c r="I517" s="74">
        <v>5</v>
      </c>
      <c r="J517" s="74">
        <v>0.2</v>
      </c>
      <c r="K517" s="74">
        <v>12</v>
      </c>
      <c r="L517" s="140">
        <f t="shared" si="122"/>
        <v>96000</v>
      </c>
      <c r="M517" s="73">
        <f t="shared" si="123"/>
        <v>176000</v>
      </c>
      <c r="N517" s="140">
        <f t="shared" si="124"/>
        <v>304000</v>
      </c>
      <c r="O517" s="74" t="s">
        <v>2960</v>
      </c>
      <c r="P517" s="74">
        <v>1</v>
      </c>
      <c r="Q517" s="625"/>
      <c r="R517" s="23"/>
      <c r="S517" s="10"/>
      <c r="T517" s="10"/>
      <c r="U517" s="10"/>
      <c r="V517" s="10"/>
      <c r="W517" s="10"/>
      <c r="X517" s="10"/>
    </row>
    <row r="518" spans="1:24" s="9" customFormat="1" ht="13.5" customHeight="1" x14ac:dyDescent="0.2">
      <c r="A518" s="107">
        <f>A517+1</f>
        <v>514</v>
      </c>
      <c r="B518" s="616" t="s">
        <v>2965</v>
      </c>
      <c r="C518" s="148">
        <v>43914</v>
      </c>
      <c r="D518" s="372">
        <v>260000</v>
      </c>
      <c r="E518" s="372"/>
      <c r="F518" s="73">
        <f t="shared" si="121"/>
        <v>260000</v>
      </c>
      <c r="G518" s="73">
        <v>43333</v>
      </c>
      <c r="H518" s="73">
        <f t="shared" si="120"/>
        <v>216667</v>
      </c>
      <c r="I518" s="74">
        <v>5</v>
      </c>
      <c r="J518" s="74">
        <v>0.2</v>
      </c>
      <c r="K518" s="74">
        <v>12</v>
      </c>
      <c r="L518" s="140">
        <f t="shared" si="122"/>
        <v>52000</v>
      </c>
      <c r="M518" s="73">
        <f t="shared" si="123"/>
        <v>95333</v>
      </c>
      <c r="N518" s="140">
        <f t="shared" si="124"/>
        <v>164667</v>
      </c>
      <c r="O518" s="74" t="s">
        <v>2960</v>
      </c>
      <c r="P518" s="74">
        <v>1</v>
      </c>
      <c r="Q518" s="625"/>
      <c r="R518" s="23"/>
      <c r="S518" s="10"/>
      <c r="T518" s="10"/>
      <c r="U518" s="10"/>
      <c r="V518" s="10"/>
      <c r="W518" s="10"/>
      <c r="X518" s="10"/>
    </row>
    <row r="519" spans="1:24" s="9" customFormat="1" ht="13.5" customHeight="1" x14ac:dyDescent="0.2">
      <c r="A519" s="107">
        <f>A518+1</f>
        <v>515</v>
      </c>
      <c r="B519" s="616" t="s">
        <v>2965</v>
      </c>
      <c r="C519" s="148">
        <v>43914</v>
      </c>
      <c r="D519" s="372">
        <v>260000</v>
      </c>
      <c r="E519" s="372"/>
      <c r="F519" s="73">
        <f t="shared" si="121"/>
        <v>260000</v>
      </c>
      <c r="G519" s="73">
        <v>43333</v>
      </c>
      <c r="H519" s="73">
        <f t="shared" si="120"/>
        <v>216667</v>
      </c>
      <c r="I519" s="74">
        <v>5</v>
      </c>
      <c r="J519" s="74">
        <v>0.2</v>
      </c>
      <c r="K519" s="74">
        <v>12</v>
      </c>
      <c r="L519" s="140">
        <f t="shared" si="122"/>
        <v>52000</v>
      </c>
      <c r="M519" s="73">
        <f t="shared" si="123"/>
        <v>95333</v>
      </c>
      <c r="N519" s="140">
        <f t="shared" si="124"/>
        <v>164667</v>
      </c>
      <c r="O519" s="74" t="s">
        <v>2960</v>
      </c>
      <c r="P519" s="74">
        <v>1</v>
      </c>
      <c r="Q519" s="625"/>
      <c r="R519" s="23"/>
      <c r="S519" s="10"/>
      <c r="T519" s="10"/>
      <c r="U519" s="10"/>
      <c r="V519" s="10"/>
      <c r="W519" s="10"/>
      <c r="X519" s="10"/>
    </row>
    <row r="520" spans="1:24" s="9" customFormat="1" ht="13.5" customHeight="1" x14ac:dyDescent="0.2">
      <c r="A520" s="107">
        <f t="shared" ref="A520:A530" si="125">A519+1</f>
        <v>516</v>
      </c>
      <c r="B520" s="616" t="s">
        <v>2982</v>
      </c>
      <c r="C520" s="148">
        <v>43941</v>
      </c>
      <c r="D520" s="372">
        <v>1050000</v>
      </c>
      <c r="E520" s="372"/>
      <c r="F520" s="73">
        <f t="shared" si="121"/>
        <v>1050000</v>
      </c>
      <c r="G520" s="73">
        <v>157500</v>
      </c>
      <c r="H520" s="73">
        <f t="shared" ref="H520:H532" si="126">+F520-G520</f>
        <v>892500</v>
      </c>
      <c r="I520" s="74">
        <v>5</v>
      </c>
      <c r="J520" s="74">
        <v>0.2</v>
      </c>
      <c r="K520" s="74">
        <v>12</v>
      </c>
      <c r="L520" s="140">
        <f t="shared" ref="L520:L529" si="127">ROUND(IF(F520*J520*K520/12&gt;=H520,H520-1000,F520*J520*K520/12),0)</f>
        <v>210000</v>
      </c>
      <c r="M520" s="73">
        <f t="shared" ref="M520:M529" si="128">+G520+L520</f>
        <v>367500</v>
      </c>
      <c r="N520" s="140">
        <f t="shared" ref="N520:N529" si="129">+F520-M520</f>
        <v>682500</v>
      </c>
      <c r="O520" s="74" t="s">
        <v>2933</v>
      </c>
      <c r="P520" s="74">
        <v>8</v>
      </c>
      <c r="Q520" s="625"/>
      <c r="R520" s="23"/>
      <c r="S520" s="10"/>
      <c r="T520" s="10"/>
      <c r="U520" s="10"/>
      <c r="V520" s="10"/>
      <c r="W520" s="10"/>
      <c r="X520" s="10"/>
    </row>
    <row r="521" spans="1:24" s="9" customFormat="1" ht="13.5" customHeight="1" x14ac:dyDescent="0.2">
      <c r="A521" s="107">
        <f t="shared" si="125"/>
        <v>517</v>
      </c>
      <c r="B521" s="616" t="s">
        <v>2959</v>
      </c>
      <c r="C521" s="148">
        <v>43942</v>
      </c>
      <c r="D521" s="372">
        <v>780000</v>
      </c>
      <c r="E521" s="372"/>
      <c r="F521" s="73">
        <f t="shared" si="121"/>
        <v>780000</v>
      </c>
      <c r="G521" s="73">
        <v>117000</v>
      </c>
      <c r="H521" s="73">
        <f t="shared" si="126"/>
        <v>663000</v>
      </c>
      <c r="I521" s="74">
        <v>5</v>
      </c>
      <c r="J521" s="74">
        <v>0.2</v>
      </c>
      <c r="K521" s="74">
        <v>12</v>
      </c>
      <c r="L521" s="140">
        <f t="shared" si="127"/>
        <v>156000</v>
      </c>
      <c r="M521" s="73">
        <f t="shared" si="128"/>
        <v>273000</v>
      </c>
      <c r="N521" s="140">
        <f t="shared" si="129"/>
        <v>507000</v>
      </c>
      <c r="O521" s="74" t="s">
        <v>2960</v>
      </c>
      <c r="P521" s="74">
        <v>3</v>
      </c>
      <c r="Q521" s="625"/>
      <c r="R521" s="23"/>
      <c r="S521" s="10"/>
      <c r="T521" s="10"/>
      <c r="U521" s="10"/>
      <c r="V521" s="10"/>
      <c r="W521" s="10"/>
      <c r="X521" s="10"/>
    </row>
    <row r="522" spans="1:24" s="9" customFormat="1" ht="13.5" customHeight="1" x14ac:dyDescent="0.2">
      <c r="A522" s="107">
        <f t="shared" si="125"/>
        <v>518</v>
      </c>
      <c r="B522" s="616" t="s">
        <v>2965</v>
      </c>
      <c r="C522" s="148">
        <v>43942</v>
      </c>
      <c r="D522" s="372">
        <v>520000</v>
      </c>
      <c r="E522" s="372"/>
      <c r="F522" s="73">
        <f t="shared" si="121"/>
        <v>520000</v>
      </c>
      <c r="G522" s="73">
        <v>78000</v>
      </c>
      <c r="H522" s="73">
        <f t="shared" si="126"/>
        <v>442000</v>
      </c>
      <c r="I522" s="74">
        <v>5</v>
      </c>
      <c r="J522" s="74">
        <v>0.2</v>
      </c>
      <c r="K522" s="74">
        <v>12</v>
      </c>
      <c r="L522" s="140">
        <f t="shared" si="127"/>
        <v>104000</v>
      </c>
      <c r="M522" s="73">
        <f t="shared" si="128"/>
        <v>182000</v>
      </c>
      <c r="N522" s="140">
        <f t="shared" si="129"/>
        <v>338000</v>
      </c>
      <c r="O522" s="74" t="s">
        <v>2960</v>
      </c>
      <c r="P522" s="74">
        <v>2</v>
      </c>
      <c r="Q522" s="625"/>
      <c r="R522" s="23"/>
      <c r="S522" s="10"/>
      <c r="T522" s="10"/>
      <c r="U522" s="10"/>
      <c r="V522" s="10"/>
      <c r="W522" s="10"/>
      <c r="X522" s="10"/>
    </row>
    <row r="523" spans="1:24" s="9" customFormat="1" ht="13.5" customHeight="1" x14ac:dyDescent="0.2">
      <c r="A523" s="107">
        <f t="shared" si="125"/>
        <v>519</v>
      </c>
      <c r="B523" s="616" t="s">
        <v>2983</v>
      </c>
      <c r="C523" s="148">
        <v>43976</v>
      </c>
      <c r="D523" s="372">
        <v>2000000</v>
      </c>
      <c r="E523" s="372"/>
      <c r="F523" s="73">
        <f t="shared" si="121"/>
        <v>2000000</v>
      </c>
      <c r="G523" s="73">
        <v>266667</v>
      </c>
      <c r="H523" s="73">
        <f t="shared" si="126"/>
        <v>1733333</v>
      </c>
      <c r="I523" s="74">
        <v>5</v>
      </c>
      <c r="J523" s="74">
        <v>0.2</v>
      </c>
      <c r="K523" s="74">
        <v>12</v>
      </c>
      <c r="L523" s="140">
        <f t="shared" si="127"/>
        <v>400000</v>
      </c>
      <c r="M523" s="73">
        <f t="shared" si="128"/>
        <v>666667</v>
      </c>
      <c r="N523" s="140">
        <f t="shared" si="129"/>
        <v>1333333</v>
      </c>
      <c r="O523" s="74" t="s">
        <v>2985</v>
      </c>
      <c r="P523" s="74">
        <v>1</v>
      </c>
      <c r="Q523" s="625" t="s">
        <v>2990</v>
      </c>
      <c r="R523" s="23"/>
      <c r="S523" s="10"/>
      <c r="T523" s="10"/>
      <c r="U523" s="10"/>
      <c r="V523" s="10"/>
      <c r="W523" s="10"/>
      <c r="X523" s="10"/>
    </row>
    <row r="524" spans="1:24" s="9" customFormat="1" ht="13.5" customHeight="1" x14ac:dyDescent="0.2">
      <c r="A524" s="107">
        <f t="shared" si="125"/>
        <v>520</v>
      </c>
      <c r="B524" s="616" t="s">
        <v>2984</v>
      </c>
      <c r="C524" s="148">
        <v>43976</v>
      </c>
      <c r="D524" s="372">
        <v>240000</v>
      </c>
      <c r="E524" s="372"/>
      <c r="F524" s="73">
        <f t="shared" si="121"/>
        <v>240000</v>
      </c>
      <c r="G524" s="73">
        <v>32000</v>
      </c>
      <c r="H524" s="73">
        <f t="shared" si="126"/>
        <v>208000</v>
      </c>
      <c r="I524" s="74">
        <v>5</v>
      </c>
      <c r="J524" s="74">
        <v>0.2</v>
      </c>
      <c r="K524" s="74">
        <v>12</v>
      </c>
      <c r="L524" s="140">
        <f t="shared" si="127"/>
        <v>48000</v>
      </c>
      <c r="M524" s="73">
        <f t="shared" si="128"/>
        <v>80000</v>
      </c>
      <c r="N524" s="140">
        <f t="shared" si="129"/>
        <v>160000</v>
      </c>
      <c r="O524" s="74" t="s">
        <v>2985</v>
      </c>
      <c r="P524" s="74">
        <v>1</v>
      </c>
      <c r="Q524" s="625" t="s">
        <v>2990</v>
      </c>
      <c r="R524" s="23"/>
      <c r="S524" s="10"/>
      <c r="T524" s="10"/>
      <c r="U524" s="10"/>
      <c r="V524" s="10"/>
      <c r="W524" s="10"/>
      <c r="X524" s="10"/>
    </row>
    <row r="525" spans="1:24" s="9" customFormat="1" ht="13.5" customHeight="1" x14ac:dyDescent="0.2">
      <c r="A525" s="107">
        <f t="shared" si="125"/>
        <v>521</v>
      </c>
      <c r="B525" s="616" t="s">
        <v>2986</v>
      </c>
      <c r="C525" s="148">
        <v>43978</v>
      </c>
      <c r="D525" s="372">
        <v>520000</v>
      </c>
      <c r="E525" s="372"/>
      <c r="F525" s="73">
        <f t="shared" si="121"/>
        <v>520000</v>
      </c>
      <c r="G525" s="73">
        <v>69333</v>
      </c>
      <c r="H525" s="73">
        <f t="shared" si="126"/>
        <v>450667</v>
      </c>
      <c r="I525" s="74">
        <v>5</v>
      </c>
      <c r="J525" s="74">
        <v>0.2</v>
      </c>
      <c r="K525" s="74">
        <v>12</v>
      </c>
      <c r="L525" s="140">
        <f t="shared" si="127"/>
        <v>104000</v>
      </c>
      <c r="M525" s="73">
        <f t="shared" si="128"/>
        <v>173333</v>
      </c>
      <c r="N525" s="140">
        <f t="shared" si="129"/>
        <v>346667</v>
      </c>
      <c r="O525" s="74" t="s">
        <v>2960</v>
      </c>
      <c r="P525" s="74">
        <v>1</v>
      </c>
      <c r="Q525" s="625"/>
      <c r="R525" s="23"/>
      <c r="S525" s="10"/>
      <c r="T525" s="10"/>
      <c r="U525" s="10"/>
      <c r="V525" s="10"/>
      <c r="W525" s="10"/>
      <c r="X525" s="10"/>
    </row>
    <row r="526" spans="1:24" s="9" customFormat="1" ht="13.5" customHeight="1" x14ac:dyDescent="0.2">
      <c r="A526" s="107">
        <f t="shared" si="125"/>
        <v>522</v>
      </c>
      <c r="B526" s="616" t="s">
        <v>2982</v>
      </c>
      <c r="C526" s="148">
        <v>43979</v>
      </c>
      <c r="D526" s="372">
        <v>800000</v>
      </c>
      <c r="E526" s="372"/>
      <c r="F526" s="73">
        <f t="shared" si="121"/>
        <v>800000</v>
      </c>
      <c r="G526" s="73">
        <v>106667</v>
      </c>
      <c r="H526" s="73">
        <f t="shared" si="126"/>
        <v>693333</v>
      </c>
      <c r="I526" s="74">
        <v>5</v>
      </c>
      <c r="J526" s="74">
        <v>0.2</v>
      </c>
      <c r="K526" s="74">
        <v>12</v>
      </c>
      <c r="L526" s="140">
        <f t="shared" si="127"/>
        <v>160000</v>
      </c>
      <c r="M526" s="73">
        <f t="shared" si="128"/>
        <v>266667</v>
      </c>
      <c r="N526" s="140">
        <f t="shared" si="129"/>
        <v>533333</v>
      </c>
      <c r="O526" s="74" t="s">
        <v>2933</v>
      </c>
      <c r="P526" s="74">
        <v>6</v>
      </c>
      <c r="Q526" s="625"/>
      <c r="R526" s="23"/>
      <c r="S526" s="10"/>
      <c r="T526" s="10"/>
      <c r="U526" s="10"/>
      <c r="V526" s="10"/>
      <c r="W526" s="10"/>
      <c r="X526" s="10"/>
    </row>
    <row r="527" spans="1:24" s="9" customFormat="1" ht="13.5" customHeight="1" x14ac:dyDescent="0.2">
      <c r="A527" s="107">
        <f t="shared" si="125"/>
        <v>523</v>
      </c>
      <c r="B527" s="616" t="s">
        <v>2959</v>
      </c>
      <c r="C527" s="148">
        <v>43991</v>
      </c>
      <c r="D527" s="372">
        <v>780000</v>
      </c>
      <c r="E527" s="372"/>
      <c r="F527" s="73">
        <f t="shared" si="121"/>
        <v>780000</v>
      </c>
      <c r="G527" s="73">
        <v>91000</v>
      </c>
      <c r="H527" s="73">
        <f t="shared" si="126"/>
        <v>689000</v>
      </c>
      <c r="I527" s="74">
        <v>5</v>
      </c>
      <c r="J527" s="74">
        <v>0.2</v>
      </c>
      <c r="K527" s="74">
        <v>12</v>
      </c>
      <c r="L527" s="140">
        <f t="shared" si="127"/>
        <v>156000</v>
      </c>
      <c r="M527" s="73">
        <f t="shared" si="128"/>
        <v>247000</v>
      </c>
      <c r="N527" s="140">
        <f t="shared" si="129"/>
        <v>533000</v>
      </c>
      <c r="O527" s="74" t="s">
        <v>2960</v>
      </c>
      <c r="P527" s="74">
        <v>3</v>
      </c>
      <c r="Q527" s="625"/>
      <c r="R527" s="23"/>
      <c r="S527" s="10"/>
      <c r="T527" s="10"/>
      <c r="U527" s="10"/>
      <c r="V527" s="10"/>
      <c r="W527" s="10"/>
      <c r="X527" s="10"/>
    </row>
    <row r="528" spans="1:24" s="9" customFormat="1" ht="13.5" customHeight="1" x14ac:dyDescent="0.2">
      <c r="A528" s="107">
        <f t="shared" si="125"/>
        <v>524</v>
      </c>
      <c r="B528" s="616" t="s">
        <v>2965</v>
      </c>
      <c r="C528" s="148">
        <v>43991</v>
      </c>
      <c r="D528" s="372">
        <v>780000</v>
      </c>
      <c r="E528" s="372"/>
      <c r="F528" s="73">
        <f t="shared" si="121"/>
        <v>780000</v>
      </c>
      <c r="G528" s="73">
        <v>91000</v>
      </c>
      <c r="H528" s="73">
        <f t="shared" si="126"/>
        <v>689000</v>
      </c>
      <c r="I528" s="74">
        <v>5</v>
      </c>
      <c r="J528" s="74">
        <v>0.2</v>
      </c>
      <c r="K528" s="74">
        <v>12</v>
      </c>
      <c r="L528" s="140">
        <f t="shared" si="127"/>
        <v>156000</v>
      </c>
      <c r="M528" s="73">
        <f t="shared" si="128"/>
        <v>247000</v>
      </c>
      <c r="N528" s="140">
        <f t="shared" si="129"/>
        <v>533000</v>
      </c>
      <c r="O528" s="74" t="s">
        <v>2960</v>
      </c>
      <c r="P528" s="74">
        <v>3</v>
      </c>
      <c r="Q528" s="625"/>
      <c r="R528" s="23"/>
      <c r="S528" s="10"/>
      <c r="T528" s="10"/>
      <c r="U528" s="10"/>
      <c r="V528" s="10"/>
      <c r="W528" s="10"/>
      <c r="X528" s="10"/>
    </row>
    <row r="529" spans="1:24" s="9" customFormat="1" ht="13.5" customHeight="1" x14ac:dyDescent="0.2">
      <c r="A529" s="107">
        <f t="shared" si="125"/>
        <v>525</v>
      </c>
      <c r="B529" s="616" t="s">
        <v>2987</v>
      </c>
      <c r="C529" s="148">
        <v>44012</v>
      </c>
      <c r="D529" s="372">
        <v>2580000</v>
      </c>
      <c r="E529" s="372"/>
      <c r="F529" s="73">
        <f t="shared" si="121"/>
        <v>2580000</v>
      </c>
      <c r="G529" s="73">
        <v>301000</v>
      </c>
      <c r="H529" s="73">
        <f t="shared" si="126"/>
        <v>2279000</v>
      </c>
      <c r="I529" s="74">
        <v>5</v>
      </c>
      <c r="J529" s="74">
        <v>0.2</v>
      </c>
      <c r="K529" s="74">
        <v>12</v>
      </c>
      <c r="L529" s="140">
        <f t="shared" si="127"/>
        <v>516000</v>
      </c>
      <c r="M529" s="73">
        <f t="shared" si="128"/>
        <v>817000</v>
      </c>
      <c r="N529" s="140">
        <f t="shared" si="129"/>
        <v>1763000</v>
      </c>
      <c r="O529" s="74" t="s">
        <v>2960</v>
      </c>
      <c r="P529" s="74">
        <v>3</v>
      </c>
      <c r="Q529" s="625"/>
      <c r="R529" s="23"/>
      <c r="S529" s="10"/>
      <c r="T529" s="10"/>
      <c r="U529" s="10"/>
      <c r="V529" s="10"/>
      <c r="W529" s="10"/>
      <c r="X529" s="10"/>
    </row>
    <row r="530" spans="1:24" s="9" customFormat="1" ht="13.5" customHeight="1" x14ac:dyDescent="0.2">
      <c r="A530" s="107">
        <f t="shared" si="125"/>
        <v>526</v>
      </c>
      <c r="B530" s="616" t="s">
        <v>3017</v>
      </c>
      <c r="C530" s="148">
        <v>44138</v>
      </c>
      <c r="D530" s="372">
        <v>1750000</v>
      </c>
      <c r="E530" s="372"/>
      <c r="F530" s="73">
        <f t="shared" si="121"/>
        <v>1750000</v>
      </c>
      <c r="G530" s="73">
        <v>58333</v>
      </c>
      <c r="H530" s="73">
        <f t="shared" si="126"/>
        <v>1691667</v>
      </c>
      <c r="I530" s="74">
        <v>5</v>
      </c>
      <c r="J530" s="74">
        <v>0.2</v>
      </c>
      <c r="K530" s="74">
        <v>12</v>
      </c>
      <c r="L530" s="140">
        <f t="shared" ref="L530:L535" si="130">ROUND(IF(F530*J530*K530/12&gt;=H530,H530-1000,F530*J530*K530/12),0)</f>
        <v>350000</v>
      </c>
      <c r="M530" s="73">
        <f t="shared" ref="M530:M535" si="131">+G530+L530</f>
        <v>408333</v>
      </c>
      <c r="N530" s="140">
        <f t="shared" ref="N530:N535" si="132">+F530-M530</f>
        <v>1341667</v>
      </c>
      <c r="O530" s="74" t="s">
        <v>3018</v>
      </c>
      <c r="P530" s="74">
        <v>6</v>
      </c>
      <c r="Q530" s="625"/>
      <c r="R530" s="23"/>
      <c r="S530" s="10"/>
      <c r="T530" s="10"/>
      <c r="U530" s="10"/>
      <c r="V530" s="10"/>
      <c r="W530" s="10"/>
      <c r="X530" s="10"/>
    </row>
    <row r="531" spans="1:24" s="9" customFormat="1" ht="13.5" customHeight="1" x14ac:dyDescent="0.2">
      <c r="A531" s="107">
        <v>527</v>
      </c>
      <c r="B531" s="616" t="s">
        <v>3028</v>
      </c>
      <c r="C531" s="148" t="s">
        <v>3030</v>
      </c>
      <c r="D531" s="372"/>
      <c r="E531" s="372">
        <v>520000</v>
      </c>
      <c r="F531" s="73">
        <f t="shared" si="121"/>
        <v>520000</v>
      </c>
      <c r="G531" s="73"/>
      <c r="H531" s="73">
        <f t="shared" si="126"/>
        <v>520000</v>
      </c>
      <c r="I531" s="74">
        <v>5</v>
      </c>
      <c r="J531" s="74">
        <v>0.2</v>
      </c>
      <c r="K531" s="74">
        <v>12</v>
      </c>
      <c r="L531" s="140">
        <f t="shared" si="130"/>
        <v>104000</v>
      </c>
      <c r="M531" s="73">
        <f t="shared" si="131"/>
        <v>104000</v>
      </c>
      <c r="N531" s="140">
        <f t="shared" si="132"/>
        <v>416000</v>
      </c>
      <c r="O531" s="74" t="s">
        <v>2960</v>
      </c>
      <c r="P531" s="74">
        <v>2</v>
      </c>
      <c r="Q531" s="625"/>
      <c r="R531" s="23"/>
      <c r="S531" s="10"/>
      <c r="T531" s="10"/>
      <c r="U531" s="10"/>
      <c r="V531" s="10"/>
      <c r="W531" s="10"/>
      <c r="X531" s="10"/>
    </row>
    <row r="532" spans="1:24" s="9" customFormat="1" ht="13.5" customHeight="1" x14ac:dyDescent="0.2">
      <c r="A532" s="107">
        <v>528</v>
      </c>
      <c r="B532" s="616" t="s">
        <v>3029</v>
      </c>
      <c r="C532" s="148" t="s">
        <v>3030</v>
      </c>
      <c r="D532" s="372"/>
      <c r="E532" s="372">
        <v>480000</v>
      </c>
      <c r="F532" s="73">
        <f t="shared" si="121"/>
        <v>480000</v>
      </c>
      <c r="G532" s="73"/>
      <c r="H532" s="73">
        <f t="shared" si="126"/>
        <v>480000</v>
      </c>
      <c r="I532" s="74">
        <v>5</v>
      </c>
      <c r="J532" s="74">
        <v>0.2</v>
      </c>
      <c r="K532" s="74">
        <v>12</v>
      </c>
      <c r="L532" s="140">
        <f t="shared" si="130"/>
        <v>96000</v>
      </c>
      <c r="M532" s="73">
        <f t="shared" si="131"/>
        <v>96000</v>
      </c>
      <c r="N532" s="140">
        <f t="shared" si="132"/>
        <v>384000</v>
      </c>
      <c r="O532" s="74" t="s">
        <v>2960</v>
      </c>
      <c r="P532" s="74">
        <v>1</v>
      </c>
      <c r="Q532" s="625"/>
      <c r="R532" s="23"/>
      <c r="S532" s="10"/>
      <c r="T532" s="10"/>
      <c r="U532" s="10"/>
      <c r="V532" s="10"/>
      <c r="W532" s="10"/>
      <c r="X532" s="10"/>
    </row>
    <row r="533" spans="1:24" s="9" customFormat="1" ht="13.5" customHeight="1" x14ac:dyDescent="0.2">
      <c r="A533" s="107">
        <v>529</v>
      </c>
      <c r="B533" s="616" t="s">
        <v>3028</v>
      </c>
      <c r="C533" s="148">
        <v>44347</v>
      </c>
      <c r="D533" s="372"/>
      <c r="E533" s="372">
        <v>1040000</v>
      </c>
      <c r="F533" s="73">
        <f t="shared" ref="F533:F534" si="133">+D533+E533</f>
        <v>1040000</v>
      </c>
      <c r="G533" s="73"/>
      <c r="H533" s="73">
        <f t="shared" ref="H533:H534" si="134">+F533-G533</f>
        <v>1040000</v>
      </c>
      <c r="I533" s="74">
        <v>5</v>
      </c>
      <c r="J533" s="74">
        <v>0.2</v>
      </c>
      <c r="K533" s="74">
        <v>8</v>
      </c>
      <c r="L533" s="140">
        <f t="shared" si="130"/>
        <v>138667</v>
      </c>
      <c r="M533" s="73">
        <f t="shared" si="131"/>
        <v>138667</v>
      </c>
      <c r="N533" s="140">
        <f t="shared" si="132"/>
        <v>901333</v>
      </c>
      <c r="O533" s="74" t="s">
        <v>2960</v>
      </c>
      <c r="P533" s="74">
        <v>4</v>
      </c>
      <c r="Q533" s="625" t="s">
        <v>582</v>
      </c>
      <c r="R533" s="23"/>
      <c r="S533" s="10"/>
      <c r="T533" s="10"/>
      <c r="U533" s="10"/>
      <c r="V533" s="10"/>
      <c r="W533" s="10"/>
      <c r="X533" s="10"/>
    </row>
    <row r="534" spans="1:24" s="9" customFormat="1" ht="13.5" customHeight="1" x14ac:dyDescent="0.2">
      <c r="A534" s="107">
        <v>530</v>
      </c>
      <c r="B534" s="616" t="s">
        <v>3056</v>
      </c>
      <c r="C534" s="148">
        <v>44377</v>
      </c>
      <c r="D534" s="372"/>
      <c r="E534" s="372">
        <v>3000000</v>
      </c>
      <c r="F534" s="73">
        <f t="shared" si="133"/>
        <v>3000000</v>
      </c>
      <c r="G534" s="73"/>
      <c r="H534" s="73">
        <f t="shared" si="134"/>
        <v>3000000</v>
      </c>
      <c r="I534" s="74">
        <v>5</v>
      </c>
      <c r="J534" s="74">
        <v>0.2</v>
      </c>
      <c r="K534" s="74">
        <v>7</v>
      </c>
      <c r="L534" s="140">
        <f t="shared" si="130"/>
        <v>350000</v>
      </c>
      <c r="M534" s="73">
        <f t="shared" si="131"/>
        <v>350000</v>
      </c>
      <c r="N534" s="140">
        <f t="shared" si="132"/>
        <v>2650000</v>
      </c>
      <c r="O534" s="74" t="s">
        <v>2380</v>
      </c>
      <c r="P534" s="74">
        <v>1</v>
      </c>
      <c r="Q534" s="625" t="s">
        <v>3057</v>
      </c>
      <c r="R534" s="23"/>
      <c r="S534" s="10"/>
      <c r="T534" s="10"/>
      <c r="U534" s="10"/>
      <c r="V534" s="10"/>
      <c r="W534" s="10"/>
      <c r="X534" s="10"/>
    </row>
    <row r="535" spans="1:24" s="9" customFormat="1" ht="13.5" customHeight="1" x14ac:dyDescent="0.2">
      <c r="A535" s="107">
        <v>531</v>
      </c>
      <c r="B535" s="616" t="s">
        <v>3028</v>
      </c>
      <c r="C535" s="148" t="s">
        <v>3111</v>
      </c>
      <c r="D535" s="372"/>
      <c r="E535" s="372">
        <v>1040000</v>
      </c>
      <c r="F535" s="73">
        <f t="shared" ref="F535" si="135">+D535+E535</f>
        <v>1040000</v>
      </c>
      <c r="G535" s="73"/>
      <c r="H535" s="73">
        <f t="shared" ref="H535" si="136">+F535-G535</f>
        <v>1040000</v>
      </c>
      <c r="I535" s="74">
        <v>5</v>
      </c>
      <c r="J535" s="74">
        <v>0.2</v>
      </c>
      <c r="K535" s="74">
        <v>2</v>
      </c>
      <c r="L535" s="140">
        <f t="shared" si="130"/>
        <v>34667</v>
      </c>
      <c r="M535" s="73">
        <f t="shared" si="131"/>
        <v>34667</v>
      </c>
      <c r="N535" s="140">
        <f t="shared" si="132"/>
        <v>1005333</v>
      </c>
      <c r="O535" s="74" t="s">
        <v>2960</v>
      </c>
      <c r="P535" s="74">
        <v>4</v>
      </c>
      <c r="Q535" s="625"/>
      <c r="R535" s="23"/>
      <c r="S535" s="10"/>
      <c r="T535" s="10"/>
      <c r="U535" s="10"/>
      <c r="V535" s="10"/>
      <c r="W535" s="10"/>
      <c r="X535" s="10"/>
    </row>
    <row r="536" spans="1:24" s="9" customFormat="1" ht="13.5" customHeight="1" thickBot="1" x14ac:dyDescent="0.25">
      <c r="A536" s="127"/>
      <c r="B536" s="722"/>
      <c r="C536" s="129"/>
      <c r="D536" s="543"/>
      <c r="E536" s="543"/>
      <c r="F536" s="73"/>
      <c r="G536" s="130"/>
      <c r="H536" s="130"/>
      <c r="I536" s="156"/>
      <c r="J536" s="156"/>
      <c r="K536" s="156"/>
      <c r="L536" s="155"/>
      <c r="M536" s="130"/>
      <c r="N536" s="155"/>
      <c r="O536" s="156"/>
      <c r="P536" s="156"/>
      <c r="Q536" s="626"/>
      <c r="R536" s="23"/>
      <c r="S536" s="10">
        <f t="shared" si="104"/>
        <v>0</v>
      </c>
      <c r="T536" s="10">
        <f t="shared" si="105"/>
        <v>0</v>
      </c>
      <c r="U536" s="10">
        <f t="shared" si="110"/>
        <v>-1000</v>
      </c>
      <c r="V536" s="10" t="e">
        <f t="shared" si="106"/>
        <v>#DIV/0!</v>
      </c>
      <c r="W536" s="10">
        <f>ROUND(IF(H536&lt;=1000,0,V536/12*K536),0)</f>
        <v>0</v>
      </c>
      <c r="X536" s="10">
        <f t="shared" si="107"/>
        <v>0</v>
      </c>
    </row>
    <row r="537" spans="1:24" s="9" customFormat="1" ht="13.5" customHeight="1" thickTop="1" thickBot="1" x14ac:dyDescent="0.25">
      <c r="A537" s="95"/>
      <c r="B537" s="278" t="s">
        <v>118</v>
      </c>
      <c r="C537" s="568"/>
      <c r="D537" s="453">
        <f>ROUND(SUM(D5:D536),0)</f>
        <v>696689087</v>
      </c>
      <c r="E537" s="453">
        <f>ROUND(SUM(E5:E536),0)</f>
        <v>6080000</v>
      </c>
      <c r="F537" s="453">
        <f>ROUND(SUM(F5:F536),0)</f>
        <v>702769087</v>
      </c>
      <c r="G537" s="453">
        <f>ROUND(SUM(G5:G536),0)</f>
        <v>655076693</v>
      </c>
      <c r="H537" s="453">
        <f>ROUND(SUM(H5:H536),0)</f>
        <v>47692394</v>
      </c>
      <c r="I537" s="453"/>
      <c r="J537" s="453"/>
      <c r="K537" s="453"/>
      <c r="L537" s="455">
        <f>ROUND(SUM(L5:L536),0)</f>
        <v>14984532</v>
      </c>
      <c r="M537" s="453">
        <f>ROUND(SUM(M5:M536),0)</f>
        <v>670061225</v>
      </c>
      <c r="N537" s="453">
        <f>ROUND(SUM(N5:N536),0)</f>
        <v>32707862</v>
      </c>
      <c r="O537" s="99"/>
      <c r="P537" s="627"/>
      <c r="Q537" s="489"/>
      <c r="R537" s="23">
        <f>SUM(R5:R247)</f>
        <v>31000</v>
      </c>
      <c r="S537" s="10"/>
      <c r="T537" s="10"/>
      <c r="U537" s="10"/>
      <c r="V537" s="10"/>
      <c r="W537" s="10">
        <f>SUM(W5:W536)</f>
        <v>10177535</v>
      </c>
      <c r="X537" s="10"/>
    </row>
    <row r="538" spans="1:24" s="9" customFormat="1" ht="13.5" customHeight="1" x14ac:dyDescent="0.2">
      <c r="A538" s="45"/>
      <c r="B538" s="161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45"/>
      <c r="P538" s="45"/>
      <c r="R538" s="23"/>
      <c r="S538" s="10"/>
      <c r="T538" s="10"/>
      <c r="U538" s="10"/>
      <c r="V538" s="10"/>
      <c r="W538" s="10"/>
      <c r="X538" s="10"/>
    </row>
    <row r="539" spans="1:24" s="11" customFormat="1" ht="13.5" customHeight="1" x14ac:dyDescent="0.25">
      <c r="A539" s="458"/>
      <c r="B539" s="628"/>
      <c r="K539" s="11" t="s">
        <v>1125</v>
      </c>
      <c r="L539" s="2">
        <f>+L285+L265+L264+L254+L217+L216+L205+L204+L203+L202+L176+L175+L174+L173+L172+L171+L170+L163+L134+L132+L131+L111+L110+L109+L108+L162+L418+L443+L444+L445+L446+L447+L454+L459+L457+L466+L474+L484+L485+L486+L523+L524</f>
        <v>898134</v>
      </c>
      <c r="N539" s="2"/>
      <c r="S539" s="2"/>
      <c r="T539" s="2"/>
      <c r="U539" s="2"/>
      <c r="V539" s="2"/>
      <c r="W539" s="2"/>
      <c r="X539" s="2"/>
    </row>
    <row r="540" spans="1:24" s="11" customFormat="1" ht="13.5" customHeight="1" x14ac:dyDescent="0.25">
      <c r="A540" s="458"/>
      <c r="B540" s="628"/>
      <c r="K540" s="11" t="s">
        <v>4</v>
      </c>
      <c r="L540" s="2">
        <f>+L537-L539</f>
        <v>14086398</v>
      </c>
      <c r="N540" s="2"/>
      <c r="S540" s="2"/>
      <c r="T540" s="2"/>
      <c r="U540" s="2"/>
      <c r="V540" s="2"/>
      <c r="W540" s="2"/>
      <c r="X540" s="2"/>
    </row>
    <row r="541" spans="1:24" s="11" customFormat="1" ht="13.5" customHeight="1" x14ac:dyDescent="0.25">
      <c r="A541" s="458"/>
      <c r="B541" s="628"/>
      <c r="L541" s="2">
        <f>SUM(L539:L540)</f>
        <v>14984532</v>
      </c>
      <c r="N541" s="2"/>
      <c r="S541" s="2"/>
      <c r="T541" s="2"/>
      <c r="U541" s="2"/>
      <c r="V541" s="2"/>
      <c r="W541" s="2"/>
      <c r="X541" s="2"/>
    </row>
  </sheetData>
  <autoFilter ref="A4:Q541"/>
  <mergeCells count="2">
    <mergeCell ref="B1:Q1"/>
    <mergeCell ref="S3:T3"/>
  </mergeCells>
  <phoneticPr fontId="4" type="noConversion"/>
  <printOptions horizontalCentered="1"/>
  <pageMargins left="0.35433070866141736" right="0.23622047244094491" top="0.47244094488188981" bottom="0.43307086614173229" header="0.35433070866141736" footer="0.35433070866141736"/>
  <pageSetup paperSize="9" scale="6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6"/>
  <sheetViews>
    <sheetView zoomScaleNormal="100" workbookViewId="0">
      <pane xSplit="3" ySplit="4" topLeftCell="D436" activePane="bottomRight" state="frozenSplit"/>
      <selection activeCell="P535" sqref="P535"/>
      <selection pane="topRight" activeCell="P535" sqref="P535"/>
      <selection pane="bottomLeft" activeCell="P535" sqref="P535"/>
      <selection pane="bottomRight" activeCell="P535" sqref="P535"/>
    </sheetView>
  </sheetViews>
  <sheetFormatPr defaultRowHeight="16.5" x14ac:dyDescent="0.3"/>
  <cols>
    <col min="1" max="1" width="6.140625" style="48" customWidth="1"/>
    <col min="2" max="2" width="29.28515625" style="44" customWidth="1"/>
    <col min="3" max="3" width="13.28515625" style="44" customWidth="1"/>
    <col min="4" max="4" width="12.7109375" style="44" customWidth="1"/>
    <col min="5" max="5" width="13.5703125" style="44" customWidth="1"/>
    <col min="6" max="6" width="12.7109375" style="44" customWidth="1"/>
    <col min="7" max="7" width="14.140625" style="44" customWidth="1"/>
    <col min="8" max="8" width="14.7109375" style="44" customWidth="1"/>
    <col min="9" max="9" width="5.85546875" style="44" customWidth="1"/>
    <col min="10" max="10" width="8.85546875" style="44" customWidth="1"/>
    <col min="11" max="11" width="5.42578125" style="44" customWidth="1"/>
    <col min="12" max="12" width="13.28515625" style="142" customWidth="1"/>
    <col min="13" max="13" width="15.7109375" style="44" customWidth="1"/>
    <col min="14" max="14" width="15.140625" style="142" customWidth="1"/>
    <col min="15" max="15" width="21.42578125" style="45" customWidth="1"/>
    <col min="16" max="16" width="5.85546875" style="45" customWidth="1"/>
    <col min="17" max="17" width="14.28515625" style="44" customWidth="1"/>
    <col min="18" max="18" width="11.42578125" style="44" hidden="1" customWidth="1"/>
    <col min="19" max="24" width="11.42578125" style="142" hidden="1" customWidth="1"/>
    <col min="25" max="16384" width="9.140625" style="44"/>
  </cols>
  <sheetData>
    <row r="1" spans="1:24" ht="31.5" x14ac:dyDescent="0.55000000000000004">
      <c r="B1" s="847" t="s">
        <v>3100</v>
      </c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</row>
    <row r="3" spans="1:24" s="9" customFormat="1" ht="13.5" customHeight="1" thickBot="1" x14ac:dyDescent="0.25">
      <c r="A3" s="9" t="s">
        <v>2382</v>
      </c>
      <c r="B3" s="549"/>
      <c r="L3" s="10"/>
      <c r="N3" s="10"/>
      <c r="O3" s="45"/>
      <c r="P3" s="45"/>
      <c r="Q3" s="49" t="s">
        <v>2383</v>
      </c>
      <c r="S3" s="849"/>
      <c r="T3" s="849"/>
      <c r="U3" s="10"/>
      <c r="V3" s="10"/>
      <c r="W3" s="10"/>
      <c r="X3" s="10"/>
    </row>
    <row r="4" spans="1:24" s="9" customFormat="1" ht="13.5" customHeight="1" thickBot="1" x14ac:dyDescent="0.25">
      <c r="A4" s="569" t="s">
        <v>44</v>
      </c>
      <c r="B4" s="51" t="s">
        <v>2384</v>
      </c>
      <c r="C4" s="52" t="s">
        <v>84</v>
      </c>
      <c r="D4" s="53" t="s">
        <v>85</v>
      </c>
      <c r="E4" s="53" t="s">
        <v>2385</v>
      </c>
      <c r="F4" s="53" t="s">
        <v>87</v>
      </c>
      <c r="G4" s="53" t="s">
        <v>1682</v>
      </c>
      <c r="H4" s="53" t="s">
        <v>88</v>
      </c>
      <c r="I4" s="53" t="s">
        <v>51</v>
      </c>
      <c r="J4" s="53" t="s">
        <v>89</v>
      </c>
      <c r="K4" s="53" t="s">
        <v>90</v>
      </c>
      <c r="L4" s="135" t="s">
        <v>91</v>
      </c>
      <c r="M4" s="53" t="s">
        <v>92</v>
      </c>
      <c r="N4" s="629" t="s">
        <v>93</v>
      </c>
      <c r="O4" s="54" t="s">
        <v>94</v>
      </c>
      <c r="P4" s="54" t="s">
        <v>95</v>
      </c>
      <c r="Q4" s="55" t="s">
        <v>59</v>
      </c>
      <c r="R4" s="9" t="s">
        <v>96</v>
      </c>
      <c r="S4" s="125" t="s">
        <v>199</v>
      </c>
      <c r="T4" s="125" t="s">
        <v>200</v>
      </c>
      <c r="U4" s="10" t="s">
        <v>99</v>
      </c>
      <c r="V4" s="10" t="s">
        <v>2386</v>
      </c>
      <c r="W4" s="10" t="s">
        <v>1098</v>
      </c>
      <c r="X4" s="10" t="s">
        <v>102</v>
      </c>
    </row>
    <row r="5" spans="1:24" s="9" customFormat="1" ht="13.5" customHeight="1" thickTop="1" x14ac:dyDescent="0.2">
      <c r="A5" s="630">
        <v>1</v>
      </c>
      <c r="B5" s="631" t="s">
        <v>1858</v>
      </c>
      <c r="C5" s="283">
        <v>36616</v>
      </c>
      <c r="D5" s="632">
        <v>0</v>
      </c>
      <c r="E5" s="632"/>
      <c r="F5" s="284">
        <f t="shared" ref="F5:F68" si="0">+D5+E5</f>
        <v>0</v>
      </c>
      <c r="G5" s="284">
        <v>0</v>
      </c>
      <c r="H5" s="284">
        <f t="shared" ref="H5:H68" si="1">+F5-G5</f>
        <v>0</v>
      </c>
      <c r="I5" s="286">
        <v>5</v>
      </c>
      <c r="J5" s="286">
        <v>0.2</v>
      </c>
      <c r="K5" s="286">
        <v>0</v>
      </c>
      <c r="L5" s="287"/>
      <c r="M5" s="284">
        <f t="shared" ref="M5:M68" si="2">+G5+L5</f>
        <v>0</v>
      </c>
      <c r="N5" s="633">
        <f t="shared" ref="N5:N68" si="3">+F5-M5</f>
        <v>0</v>
      </c>
      <c r="O5" s="297"/>
      <c r="P5" s="308"/>
      <c r="Q5" s="634"/>
      <c r="R5" s="23"/>
      <c r="S5" s="10">
        <f t="shared" ref="S5:S68" si="4">D5*0.05</f>
        <v>0</v>
      </c>
      <c r="T5" s="10">
        <f t="shared" ref="T5:T68" si="5">N5-S5</f>
        <v>0</v>
      </c>
      <c r="U5" s="10"/>
      <c r="V5" s="10">
        <f t="shared" ref="V5:V68" si="6">F5/I5</f>
        <v>0</v>
      </c>
      <c r="W5" s="10">
        <f t="shared" ref="W5:W68" si="7">ROUND(IF(H5&lt;=1000,0,V5/12*3),0)</f>
        <v>0</v>
      </c>
      <c r="X5" s="10">
        <f t="shared" ref="X5:X68" si="8">L5-W5</f>
        <v>0</v>
      </c>
    </row>
    <row r="6" spans="1:24" s="9" customFormat="1" ht="13.5" customHeight="1" x14ac:dyDescent="0.2">
      <c r="A6" s="573">
        <f t="shared" ref="A6:A69" si="9">+A5+1</f>
        <v>2</v>
      </c>
      <c r="B6" s="109" t="s">
        <v>2387</v>
      </c>
      <c r="C6" s="163">
        <v>36658</v>
      </c>
      <c r="D6" s="175">
        <v>590909</v>
      </c>
      <c r="E6" s="175"/>
      <c r="F6" s="67">
        <f t="shared" si="0"/>
        <v>590909</v>
      </c>
      <c r="G6" s="67">
        <v>589909</v>
      </c>
      <c r="H6" s="67">
        <f t="shared" si="1"/>
        <v>1000</v>
      </c>
      <c r="I6" s="68">
        <v>5</v>
      </c>
      <c r="J6" s="68">
        <v>0.2</v>
      </c>
      <c r="K6" s="68">
        <v>0</v>
      </c>
      <c r="L6" s="110"/>
      <c r="M6" s="67">
        <f t="shared" si="2"/>
        <v>589909</v>
      </c>
      <c r="N6" s="462">
        <f t="shared" si="3"/>
        <v>1000</v>
      </c>
      <c r="O6" s="111"/>
      <c r="P6" s="111"/>
      <c r="Q6" s="464"/>
      <c r="R6" s="23"/>
      <c r="S6" s="10">
        <f t="shared" si="4"/>
        <v>29545.45</v>
      </c>
      <c r="T6" s="10">
        <f t="shared" si="5"/>
        <v>-28545.45</v>
      </c>
      <c r="U6" s="10">
        <f t="shared" ref="U6:U23" si="10">N6-1000</f>
        <v>0</v>
      </c>
      <c r="V6" s="10">
        <f t="shared" si="6"/>
        <v>118181.8</v>
      </c>
      <c r="W6" s="10">
        <f t="shared" si="7"/>
        <v>0</v>
      </c>
      <c r="X6" s="10">
        <f t="shared" si="8"/>
        <v>0</v>
      </c>
    </row>
    <row r="7" spans="1:24" s="9" customFormat="1" ht="13.5" customHeight="1" x14ac:dyDescent="0.2">
      <c r="A7" s="573">
        <f t="shared" si="9"/>
        <v>3</v>
      </c>
      <c r="B7" s="109" t="s">
        <v>1933</v>
      </c>
      <c r="C7" s="163">
        <v>36698</v>
      </c>
      <c r="D7" s="175">
        <v>290000</v>
      </c>
      <c r="E7" s="175"/>
      <c r="F7" s="67">
        <f t="shared" si="0"/>
        <v>290000</v>
      </c>
      <c r="G7" s="67">
        <v>289000</v>
      </c>
      <c r="H7" s="67">
        <f t="shared" si="1"/>
        <v>1000</v>
      </c>
      <c r="I7" s="68">
        <v>5</v>
      </c>
      <c r="J7" s="68">
        <v>0.2</v>
      </c>
      <c r="K7" s="68">
        <v>0</v>
      </c>
      <c r="L7" s="110"/>
      <c r="M7" s="67">
        <f t="shared" si="2"/>
        <v>289000</v>
      </c>
      <c r="N7" s="462">
        <f t="shared" si="3"/>
        <v>1000</v>
      </c>
      <c r="O7" s="111"/>
      <c r="P7" s="111"/>
      <c r="Q7" s="464"/>
      <c r="R7" s="23"/>
      <c r="S7" s="10">
        <f t="shared" si="4"/>
        <v>14500</v>
      </c>
      <c r="T7" s="10">
        <f t="shared" si="5"/>
        <v>-13500</v>
      </c>
      <c r="U7" s="10">
        <f t="shared" si="10"/>
        <v>0</v>
      </c>
      <c r="V7" s="10">
        <f t="shared" si="6"/>
        <v>58000</v>
      </c>
      <c r="W7" s="10">
        <f t="shared" si="7"/>
        <v>0</v>
      </c>
      <c r="X7" s="10">
        <f t="shared" si="8"/>
        <v>0</v>
      </c>
    </row>
    <row r="8" spans="1:24" s="9" customFormat="1" ht="13.5" customHeight="1" x14ac:dyDescent="0.2">
      <c r="A8" s="573">
        <f t="shared" si="9"/>
        <v>4</v>
      </c>
      <c r="B8" s="635" t="s">
        <v>2388</v>
      </c>
      <c r="C8" s="572">
        <v>36904</v>
      </c>
      <c r="D8" s="424">
        <v>262000</v>
      </c>
      <c r="E8" s="424"/>
      <c r="F8" s="426">
        <f t="shared" si="0"/>
        <v>262000</v>
      </c>
      <c r="G8" s="426">
        <v>261000</v>
      </c>
      <c r="H8" s="426">
        <f t="shared" si="1"/>
        <v>1000</v>
      </c>
      <c r="I8" s="556">
        <v>5</v>
      </c>
      <c r="J8" s="556">
        <v>0.2</v>
      </c>
      <c r="K8" s="68">
        <v>0</v>
      </c>
      <c r="L8" s="110"/>
      <c r="M8" s="426">
        <f t="shared" si="2"/>
        <v>261000</v>
      </c>
      <c r="N8" s="553">
        <f t="shared" si="3"/>
        <v>1000</v>
      </c>
      <c r="O8" s="111"/>
      <c r="P8" s="111"/>
      <c r="Q8" s="557"/>
      <c r="R8" s="23">
        <f t="shared" ref="R8:R71" si="11">+N8*J8</f>
        <v>200</v>
      </c>
      <c r="S8" s="10">
        <f t="shared" si="4"/>
        <v>13100</v>
      </c>
      <c r="T8" s="10">
        <f t="shared" si="5"/>
        <v>-12100</v>
      </c>
      <c r="U8" s="10">
        <f t="shared" si="10"/>
        <v>0</v>
      </c>
      <c r="V8" s="10">
        <f t="shared" si="6"/>
        <v>52400</v>
      </c>
      <c r="W8" s="10">
        <f t="shared" si="7"/>
        <v>0</v>
      </c>
      <c r="X8" s="10">
        <f t="shared" si="8"/>
        <v>0</v>
      </c>
    </row>
    <row r="9" spans="1:24" s="9" customFormat="1" ht="13.5" customHeight="1" x14ac:dyDescent="0.2">
      <c r="A9" s="573">
        <f t="shared" si="9"/>
        <v>5</v>
      </c>
      <c r="B9" s="109" t="s">
        <v>2356</v>
      </c>
      <c r="C9" s="163">
        <v>37004</v>
      </c>
      <c r="D9" s="175">
        <v>563636</v>
      </c>
      <c r="E9" s="175"/>
      <c r="F9" s="67">
        <f t="shared" si="0"/>
        <v>563636</v>
      </c>
      <c r="G9" s="67">
        <v>562636</v>
      </c>
      <c r="H9" s="67">
        <f t="shared" si="1"/>
        <v>1000</v>
      </c>
      <c r="I9" s="68">
        <v>5</v>
      </c>
      <c r="J9" s="68">
        <v>0.2</v>
      </c>
      <c r="K9" s="68">
        <v>0</v>
      </c>
      <c r="L9" s="110"/>
      <c r="M9" s="67">
        <f t="shared" si="2"/>
        <v>562636</v>
      </c>
      <c r="N9" s="462">
        <f t="shared" si="3"/>
        <v>1000</v>
      </c>
      <c r="O9" s="111"/>
      <c r="P9" s="111"/>
      <c r="Q9" s="327"/>
      <c r="R9" s="23">
        <f t="shared" si="11"/>
        <v>200</v>
      </c>
      <c r="S9" s="10">
        <f t="shared" si="4"/>
        <v>28181.800000000003</v>
      </c>
      <c r="T9" s="10">
        <f t="shared" si="5"/>
        <v>-27181.800000000003</v>
      </c>
      <c r="U9" s="10">
        <f t="shared" si="10"/>
        <v>0</v>
      </c>
      <c r="V9" s="10">
        <f t="shared" si="6"/>
        <v>112727.2</v>
      </c>
      <c r="W9" s="10">
        <f t="shared" si="7"/>
        <v>0</v>
      </c>
      <c r="X9" s="10">
        <f t="shared" si="8"/>
        <v>0</v>
      </c>
    </row>
    <row r="10" spans="1:24" s="9" customFormat="1" ht="13.5" customHeight="1" x14ac:dyDescent="0.2">
      <c r="A10" s="573">
        <f t="shared" si="9"/>
        <v>6</v>
      </c>
      <c r="B10" s="109" t="s">
        <v>2389</v>
      </c>
      <c r="C10" s="163">
        <v>37011</v>
      </c>
      <c r="D10" s="175">
        <v>155000</v>
      </c>
      <c r="E10" s="175"/>
      <c r="F10" s="67">
        <f t="shared" si="0"/>
        <v>155000</v>
      </c>
      <c r="G10" s="67">
        <v>154000</v>
      </c>
      <c r="H10" s="67">
        <f t="shared" si="1"/>
        <v>1000</v>
      </c>
      <c r="I10" s="68">
        <v>5</v>
      </c>
      <c r="J10" s="68">
        <v>0.2</v>
      </c>
      <c r="K10" s="68">
        <v>0</v>
      </c>
      <c r="L10" s="110"/>
      <c r="M10" s="67">
        <f t="shared" si="2"/>
        <v>154000</v>
      </c>
      <c r="N10" s="462">
        <f t="shared" si="3"/>
        <v>1000</v>
      </c>
      <c r="O10" s="111"/>
      <c r="P10" s="111"/>
      <c r="Q10" s="327"/>
      <c r="R10" s="23">
        <f t="shared" si="11"/>
        <v>200</v>
      </c>
      <c r="S10" s="10">
        <f t="shared" si="4"/>
        <v>7750</v>
      </c>
      <c r="T10" s="10">
        <f t="shared" si="5"/>
        <v>-6750</v>
      </c>
      <c r="U10" s="10">
        <f t="shared" si="10"/>
        <v>0</v>
      </c>
      <c r="V10" s="10">
        <f t="shared" si="6"/>
        <v>31000</v>
      </c>
      <c r="W10" s="10">
        <f t="shared" si="7"/>
        <v>0</v>
      </c>
      <c r="X10" s="10">
        <f t="shared" si="8"/>
        <v>0</v>
      </c>
    </row>
    <row r="11" spans="1:24" s="9" customFormat="1" ht="13.5" customHeight="1" x14ac:dyDescent="0.2">
      <c r="A11" s="573">
        <f t="shared" si="9"/>
        <v>7</v>
      </c>
      <c r="B11" s="109" t="s">
        <v>2390</v>
      </c>
      <c r="C11" s="163">
        <v>37092</v>
      </c>
      <c r="D11" s="175">
        <v>100000</v>
      </c>
      <c r="E11" s="175"/>
      <c r="F11" s="67">
        <f t="shared" si="0"/>
        <v>100000</v>
      </c>
      <c r="G11" s="67">
        <v>99000</v>
      </c>
      <c r="H11" s="67">
        <f t="shared" si="1"/>
        <v>1000</v>
      </c>
      <c r="I11" s="68">
        <v>5</v>
      </c>
      <c r="J11" s="68">
        <v>0.2</v>
      </c>
      <c r="K11" s="68">
        <v>0</v>
      </c>
      <c r="L11" s="110"/>
      <c r="M11" s="67">
        <f t="shared" si="2"/>
        <v>99000</v>
      </c>
      <c r="N11" s="462">
        <f t="shared" si="3"/>
        <v>1000</v>
      </c>
      <c r="O11" s="111"/>
      <c r="P11" s="111"/>
      <c r="Q11" s="327"/>
      <c r="R11" s="23">
        <f t="shared" si="11"/>
        <v>200</v>
      </c>
      <c r="S11" s="10">
        <f t="shared" si="4"/>
        <v>5000</v>
      </c>
      <c r="T11" s="10">
        <f t="shared" si="5"/>
        <v>-4000</v>
      </c>
      <c r="U11" s="10">
        <f t="shared" si="10"/>
        <v>0</v>
      </c>
      <c r="V11" s="10">
        <f t="shared" si="6"/>
        <v>20000</v>
      </c>
      <c r="W11" s="10">
        <f t="shared" si="7"/>
        <v>0</v>
      </c>
      <c r="X11" s="10">
        <f t="shared" si="8"/>
        <v>0</v>
      </c>
    </row>
    <row r="12" spans="1:24" s="9" customFormat="1" ht="13.5" customHeight="1" x14ac:dyDescent="0.2">
      <c r="A12" s="573">
        <f t="shared" si="9"/>
        <v>8</v>
      </c>
      <c r="B12" s="109" t="s">
        <v>2391</v>
      </c>
      <c r="C12" s="163">
        <v>37093</v>
      </c>
      <c r="D12" s="175">
        <v>90000</v>
      </c>
      <c r="E12" s="175"/>
      <c r="F12" s="67">
        <f t="shared" si="0"/>
        <v>90000</v>
      </c>
      <c r="G12" s="67">
        <v>89000</v>
      </c>
      <c r="H12" s="67">
        <f t="shared" si="1"/>
        <v>1000</v>
      </c>
      <c r="I12" s="68">
        <v>5</v>
      </c>
      <c r="J12" s="68">
        <v>0.2</v>
      </c>
      <c r="K12" s="68">
        <v>0</v>
      </c>
      <c r="L12" s="110"/>
      <c r="M12" s="67">
        <f t="shared" si="2"/>
        <v>89000</v>
      </c>
      <c r="N12" s="462">
        <f t="shared" si="3"/>
        <v>1000</v>
      </c>
      <c r="O12" s="111"/>
      <c r="P12" s="111"/>
      <c r="Q12" s="327"/>
      <c r="R12" s="23">
        <f t="shared" si="11"/>
        <v>200</v>
      </c>
      <c r="S12" s="10">
        <f t="shared" si="4"/>
        <v>4500</v>
      </c>
      <c r="T12" s="10">
        <f t="shared" si="5"/>
        <v>-3500</v>
      </c>
      <c r="U12" s="10">
        <f t="shared" si="10"/>
        <v>0</v>
      </c>
      <c r="V12" s="10">
        <f t="shared" si="6"/>
        <v>18000</v>
      </c>
      <c r="W12" s="10">
        <f t="shared" si="7"/>
        <v>0</v>
      </c>
      <c r="X12" s="10">
        <f t="shared" si="8"/>
        <v>0</v>
      </c>
    </row>
    <row r="13" spans="1:24" s="9" customFormat="1" ht="13.5" customHeight="1" x14ac:dyDescent="0.2">
      <c r="A13" s="573">
        <f t="shared" si="9"/>
        <v>9</v>
      </c>
      <c r="B13" s="109" t="s">
        <v>2392</v>
      </c>
      <c r="C13" s="163">
        <v>37095</v>
      </c>
      <c r="D13" s="175">
        <v>125455</v>
      </c>
      <c r="E13" s="175"/>
      <c r="F13" s="67">
        <f t="shared" si="0"/>
        <v>125455</v>
      </c>
      <c r="G13" s="67">
        <v>124455</v>
      </c>
      <c r="H13" s="67">
        <f t="shared" si="1"/>
        <v>1000</v>
      </c>
      <c r="I13" s="68">
        <v>5</v>
      </c>
      <c r="J13" s="68">
        <v>0.2</v>
      </c>
      <c r="K13" s="68">
        <v>0</v>
      </c>
      <c r="L13" s="110"/>
      <c r="M13" s="67">
        <f t="shared" si="2"/>
        <v>124455</v>
      </c>
      <c r="N13" s="462">
        <f t="shared" si="3"/>
        <v>1000</v>
      </c>
      <c r="O13" s="111"/>
      <c r="P13" s="111"/>
      <c r="Q13" s="327"/>
      <c r="R13" s="23">
        <f t="shared" si="11"/>
        <v>200</v>
      </c>
      <c r="S13" s="10">
        <f t="shared" si="4"/>
        <v>6272.75</v>
      </c>
      <c r="T13" s="10">
        <f t="shared" si="5"/>
        <v>-5272.75</v>
      </c>
      <c r="U13" s="10">
        <f t="shared" si="10"/>
        <v>0</v>
      </c>
      <c r="V13" s="10">
        <f t="shared" si="6"/>
        <v>25091</v>
      </c>
      <c r="W13" s="10">
        <f t="shared" si="7"/>
        <v>0</v>
      </c>
      <c r="X13" s="10">
        <f t="shared" si="8"/>
        <v>0</v>
      </c>
    </row>
    <row r="14" spans="1:24" s="9" customFormat="1" ht="13.5" customHeight="1" x14ac:dyDescent="0.2">
      <c r="A14" s="573">
        <f t="shared" si="9"/>
        <v>10</v>
      </c>
      <c r="B14" s="109" t="s">
        <v>2393</v>
      </c>
      <c r="C14" s="163">
        <v>37128</v>
      </c>
      <c r="D14" s="175">
        <v>480000</v>
      </c>
      <c r="E14" s="175"/>
      <c r="F14" s="67">
        <f t="shared" si="0"/>
        <v>480000</v>
      </c>
      <c r="G14" s="67">
        <v>479000</v>
      </c>
      <c r="H14" s="67">
        <f t="shared" si="1"/>
        <v>1000</v>
      </c>
      <c r="I14" s="68">
        <v>5</v>
      </c>
      <c r="J14" s="68">
        <v>0.2</v>
      </c>
      <c r="K14" s="68">
        <v>0</v>
      </c>
      <c r="L14" s="110"/>
      <c r="M14" s="67">
        <f t="shared" si="2"/>
        <v>479000</v>
      </c>
      <c r="N14" s="462">
        <f t="shared" si="3"/>
        <v>1000</v>
      </c>
      <c r="O14" s="111"/>
      <c r="P14" s="111"/>
      <c r="Q14" s="327"/>
      <c r="R14" s="23">
        <f t="shared" si="11"/>
        <v>200</v>
      </c>
      <c r="S14" s="10">
        <f t="shared" si="4"/>
        <v>24000</v>
      </c>
      <c r="T14" s="10">
        <f t="shared" si="5"/>
        <v>-23000</v>
      </c>
      <c r="U14" s="10">
        <f t="shared" si="10"/>
        <v>0</v>
      </c>
      <c r="V14" s="10">
        <f t="shared" si="6"/>
        <v>96000</v>
      </c>
      <c r="W14" s="10">
        <f t="shared" si="7"/>
        <v>0</v>
      </c>
      <c r="X14" s="10">
        <f t="shared" si="8"/>
        <v>0</v>
      </c>
    </row>
    <row r="15" spans="1:24" s="9" customFormat="1" ht="13.5" customHeight="1" x14ac:dyDescent="0.2">
      <c r="A15" s="573">
        <f t="shared" si="9"/>
        <v>11</v>
      </c>
      <c r="B15" s="109" t="s">
        <v>1937</v>
      </c>
      <c r="C15" s="163">
        <v>37141</v>
      </c>
      <c r="D15" s="175">
        <v>385000</v>
      </c>
      <c r="E15" s="175"/>
      <c r="F15" s="67">
        <f t="shared" si="0"/>
        <v>385000</v>
      </c>
      <c r="G15" s="67">
        <v>384000</v>
      </c>
      <c r="H15" s="67">
        <f t="shared" si="1"/>
        <v>1000</v>
      </c>
      <c r="I15" s="68">
        <v>5</v>
      </c>
      <c r="J15" s="68">
        <v>0.2</v>
      </c>
      <c r="K15" s="68">
        <v>0</v>
      </c>
      <c r="L15" s="110"/>
      <c r="M15" s="67">
        <f t="shared" si="2"/>
        <v>384000</v>
      </c>
      <c r="N15" s="462">
        <f t="shared" si="3"/>
        <v>1000</v>
      </c>
      <c r="O15" s="111"/>
      <c r="P15" s="111"/>
      <c r="Q15" s="327"/>
      <c r="R15" s="23">
        <f t="shared" si="11"/>
        <v>200</v>
      </c>
      <c r="S15" s="10">
        <f t="shared" si="4"/>
        <v>19250</v>
      </c>
      <c r="T15" s="10">
        <f t="shared" si="5"/>
        <v>-18250</v>
      </c>
      <c r="U15" s="10">
        <f t="shared" si="10"/>
        <v>0</v>
      </c>
      <c r="V15" s="10">
        <f t="shared" si="6"/>
        <v>77000</v>
      </c>
      <c r="W15" s="10">
        <f t="shared" si="7"/>
        <v>0</v>
      </c>
      <c r="X15" s="10">
        <f t="shared" si="8"/>
        <v>0</v>
      </c>
    </row>
    <row r="16" spans="1:24" s="9" customFormat="1" ht="13.5" customHeight="1" x14ac:dyDescent="0.2">
      <c r="A16" s="573">
        <f t="shared" si="9"/>
        <v>12</v>
      </c>
      <c r="B16" s="109" t="s">
        <v>2394</v>
      </c>
      <c r="C16" s="163">
        <v>37145</v>
      </c>
      <c r="D16" s="175">
        <v>2000000</v>
      </c>
      <c r="E16" s="175"/>
      <c r="F16" s="67">
        <f t="shared" si="0"/>
        <v>2000000</v>
      </c>
      <c r="G16" s="67">
        <v>1999000</v>
      </c>
      <c r="H16" s="67">
        <f t="shared" si="1"/>
        <v>1000</v>
      </c>
      <c r="I16" s="68">
        <v>5</v>
      </c>
      <c r="J16" s="68">
        <v>0.2</v>
      </c>
      <c r="K16" s="68">
        <v>0</v>
      </c>
      <c r="L16" s="110"/>
      <c r="M16" s="67">
        <f t="shared" si="2"/>
        <v>1999000</v>
      </c>
      <c r="N16" s="462">
        <f t="shared" si="3"/>
        <v>1000</v>
      </c>
      <c r="O16" s="111"/>
      <c r="P16" s="111"/>
      <c r="Q16" s="327"/>
      <c r="R16" s="23">
        <f t="shared" si="11"/>
        <v>200</v>
      </c>
      <c r="S16" s="10">
        <f t="shared" si="4"/>
        <v>100000</v>
      </c>
      <c r="T16" s="10">
        <f t="shared" si="5"/>
        <v>-99000</v>
      </c>
      <c r="U16" s="10">
        <f t="shared" si="10"/>
        <v>0</v>
      </c>
      <c r="V16" s="10">
        <f t="shared" si="6"/>
        <v>400000</v>
      </c>
      <c r="W16" s="10">
        <f t="shared" si="7"/>
        <v>0</v>
      </c>
      <c r="X16" s="10">
        <f t="shared" si="8"/>
        <v>0</v>
      </c>
    </row>
    <row r="17" spans="1:24" s="9" customFormat="1" ht="13.5" customHeight="1" x14ac:dyDescent="0.2">
      <c r="A17" s="573">
        <f t="shared" si="9"/>
        <v>13</v>
      </c>
      <c r="B17" s="109" t="s">
        <v>1877</v>
      </c>
      <c r="C17" s="163">
        <v>37337</v>
      </c>
      <c r="D17" s="175">
        <v>235000</v>
      </c>
      <c r="E17" s="175"/>
      <c r="F17" s="67">
        <f t="shared" si="0"/>
        <v>235000</v>
      </c>
      <c r="G17" s="67">
        <v>234000</v>
      </c>
      <c r="H17" s="67">
        <f t="shared" si="1"/>
        <v>1000</v>
      </c>
      <c r="I17" s="68">
        <v>5</v>
      </c>
      <c r="J17" s="68">
        <v>0.2</v>
      </c>
      <c r="K17" s="68">
        <v>0</v>
      </c>
      <c r="L17" s="110"/>
      <c r="M17" s="67">
        <f t="shared" si="2"/>
        <v>234000</v>
      </c>
      <c r="N17" s="462">
        <f t="shared" si="3"/>
        <v>1000</v>
      </c>
      <c r="O17" s="111" t="s">
        <v>1882</v>
      </c>
      <c r="P17" s="111"/>
      <c r="Q17" s="327"/>
      <c r="R17" s="23">
        <f t="shared" si="11"/>
        <v>200</v>
      </c>
      <c r="S17" s="10">
        <f t="shared" si="4"/>
        <v>11750</v>
      </c>
      <c r="T17" s="10">
        <f t="shared" si="5"/>
        <v>-10750</v>
      </c>
      <c r="U17" s="10">
        <f t="shared" si="10"/>
        <v>0</v>
      </c>
      <c r="V17" s="10">
        <f t="shared" si="6"/>
        <v>47000</v>
      </c>
      <c r="W17" s="10">
        <f t="shared" si="7"/>
        <v>0</v>
      </c>
      <c r="X17" s="10">
        <f t="shared" si="8"/>
        <v>0</v>
      </c>
    </row>
    <row r="18" spans="1:24" s="9" customFormat="1" ht="13.5" customHeight="1" x14ac:dyDescent="0.2">
      <c r="A18" s="573">
        <f t="shared" si="9"/>
        <v>14</v>
      </c>
      <c r="B18" s="109" t="s">
        <v>1903</v>
      </c>
      <c r="C18" s="163">
        <v>37475</v>
      </c>
      <c r="D18" s="175">
        <v>1318181</v>
      </c>
      <c r="E18" s="175"/>
      <c r="F18" s="67">
        <f t="shared" si="0"/>
        <v>1318181</v>
      </c>
      <c r="G18" s="67">
        <v>1317181</v>
      </c>
      <c r="H18" s="67">
        <f t="shared" si="1"/>
        <v>1000</v>
      </c>
      <c r="I18" s="68">
        <v>5</v>
      </c>
      <c r="J18" s="68">
        <v>0.2</v>
      </c>
      <c r="K18" s="68">
        <v>0</v>
      </c>
      <c r="L18" s="110"/>
      <c r="M18" s="67">
        <f t="shared" si="2"/>
        <v>1317181</v>
      </c>
      <c r="N18" s="462">
        <f t="shared" si="3"/>
        <v>1000</v>
      </c>
      <c r="O18" s="111" t="s">
        <v>2395</v>
      </c>
      <c r="P18" s="111">
        <v>1</v>
      </c>
      <c r="Q18" s="327"/>
      <c r="R18" s="23">
        <f t="shared" si="11"/>
        <v>200</v>
      </c>
      <c r="S18" s="10">
        <f t="shared" si="4"/>
        <v>65909.05</v>
      </c>
      <c r="T18" s="10">
        <f t="shared" si="5"/>
        <v>-64909.05</v>
      </c>
      <c r="U18" s="10">
        <f t="shared" si="10"/>
        <v>0</v>
      </c>
      <c r="V18" s="10">
        <f t="shared" si="6"/>
        <v>263636.2</v>
      </c>
      <c r="W18" s="10">
        <f t="shared" si="7"/>
        <v>0</v>
      </c>
      <c r="X18" s="10">
        <f t="shared" si="8"/>
        <v>0</v>
      </c>
    </row>
    <row r="19" spans="1:24" s="9" customFormat="1" ht="13.5" customHeight="1" x14ac:dyDescent="0.2">
      <c r="A19" s="573">
        <f t="shared" si="9"/>
        <v>15</v>
      </c>
      <c r="B19" s="109" t="s">
        <v>1888</v>
      </c>
      <c r="C19" s="163">
        <v>37487</v>
      </c>
      <c r="D19" s="175">
        <v>1349090</v>
      </c>
      <c r="E19" s="175"/>
      <c r="F19" s="67">
        <f t="shared" si="0"/>
        <v>1349090</v>
      </c>
      <c r="G19" s="67">
        <v>1348090</v>
      </c>
      <c r="H19" s="67">
        <f t="shared" si="1"/>
        <v>1000</v>
      </c>
      <c r="I19" s="68">
        <v>5</v>
      </c>
      <c r="J19" s="68">
        <v>0.2</v>
      </c>
      <c r="K19" s="68">
        <v>0</v>
      </c>
      <c r="L19" s="110"/>
      <c r="M19" s="67">
        <f t="shared" si="2"/>
        <v>1348090</v>
      </c>
      <c r="N19" s="462">
        <f t="shared" si="3"/>
        <v>1000</v>
      </c>
      <c r="O19" s="111" t="s">
        <v>2396</v>
      </c>
      <c r="P19" s="111">
        <v>1</v>
      </c>
      <c r="Q19" s="327"/>
      <c r="R19" s="23">
        <f t="shared" si="11"/>
        <v>200</v>
      </c>
      <c r="S19" s="10">
        <f t="shared" si="4"/>
        <v>67454.5</v>
      </c>
      <c r="T19" s="10">
        <f t="shared" si="5"/>
        <v>-66454.5</v>
      </c>
      <c r="U19" s="10">
        <f t="shared" si="10"/>
        <v>0</v>
      </c>
      <c r="V19" s="10">
        <f t="shared" si="6"/>
        <v>269818</v>
      </c>
      <c r="W19" s="10">
        <f t="shared" si="7"/>
        <v>0</v>
      </c>
      <c r="X19" s="10">
        <f t="shared" si="8"/>
        <v>0</v>
      </c>
    </row>
    <row r="20" spans="1:24" s="9" customFormat="1" ht="13.5" customHeight="1" x14ac:dyDescent="0.2">
      <c r="A20" s="573">
        <f t="shared" si="9"/>
        <v>16</v>
      </c>
      <c r="B20" s="109" t="s">
        <v>2397</v>
      </c>
      <c r="C20" s="163">
        <v>37524</v>
      </c>
      <c r="D20" s="175">
        <v>250000</v>
      </c>
      <c r="E20" s="175"/>
      <c r="F20" s="67">
        <f t="shared" si="0"/>
        <v>250000</v>
      </c>
      <c r="G20" s="67">
        <v>249000</v>
      </c>
      <c r="H20" s="67">
        <f t="shared" si="1"/>
        <v>1000</v>
      </c>
      <c r="I20" s="68">
        <v>5</v>
      </c>
      <c r="J20" s="68">
        <v>0.2</v>
      </c>
      <c r="K20" s="68">
        <v>0</v>
      </c>
      <c r="L20" s="110"/>
      <c r="M20" s="67">
        <f t="shared" si="2"/>
        <v>249000</v>
      </c>
      <c r="N20" s="462">
        <f t="shared" si="3"/>
        <v>1000</v>
      </c>
      <c r="O20" s="111" t="s">
        <v>2398</v>
      </c>
      <c r="P20" s="111"/>
      <c r="Q20" s="327"/>
      <c r="R20" s="23">
        <f t="shared" si="11"/>
        <v>200</v>
      </c>
      <c r="S20" s="10">
        <f t="shared" si="4"/>
        <v>12500</v>
      </c>
      <c r="T20" s="10">
        <f t="shared" si="5"/>
        <v>-11500</v>
      </c>
      <c r="U20" s="10">
        <f t="shared" si="10"/>
        <v>0</v>
      </c>
      <c r="V20" s="10">
        <f t="shared" si="6"/>
        <v>50000</v>
      </c>
      <c r="W20" s="10">
        <f t="shared" si="7"/>
        <v>0</v>
      </c>
      <c r="X20" s="10">
        <f t="shared" si="8"/>
        <v>0</v>
      </c>
    </row>
    <row r="21" spans="1:24" s="9" customFormat="1" ht="13.5" customHeight="1" x14ac:dyDescent="0.2">
      <c r="A21" s="573">
        <f t="shared" si="9"/>
        <v>17</v>
      </c>
      <c r="B21" s="109" t="s">
        <v>2399</v>
      </c>
      <c r="C21" s="163">
        <v>37544</v>
      </c>
      <c r="D21" s="175">
        <v>290000</v>
      </c>
      <c r="E21" s="175"/>
      <c r="F21" s="67">
        <f t="shared" si="0"/>
        <v>290000</v>
      </c>
      <c r="G21" s="67">
        <v>289000</v>
      </c>
      <c r="H21" s="67">
        <f t="shared" si="1"/>
        <v>1000</v>
      </c>
      <c r="I21" s="68">
        <v>5</v>
      </c>
      <c r="J21" s="68">
        <v>0.2</v>
      </c>
      <c r="K21" s="68">
        <v>0</v>
      </c>
      <c r="L21" s="110"/>
      <c r="M21" s="67">
        <f t="shared" si="2"/>
        <v>289000</v>
      </c>
      <c r="N21" s="462">
        <f t="shared" si="3"/>
        <v>1000</v>
      </c>
      <c r="O21" s="111" t="s">
        <v>1882</v>
      </c>
      <c r="P21" s="111">
        <v>6</v>
      </c>
      <c r="Q21" s="327"/>
      <c r="R21" s="23">
        <f t="shared" si="11"/>
        <v>200</v>
      </c>
      <c r="S21" s="10">
        <f t="shared" si="4"/>
        <v>14500</v>
      </c>
      <c r="T21" s="10">
        <f t="shared" si="5"/>
        <v>-13500</v>
      </c>
      <c r="U21" s="10">
        <f t="shared" si="10"/>
        <v>0</v>
      </c>
      <c r="V21" s="10">
        <f t="shared" si="6"/>
        <v>58000</v>
      </c>
      <c r="W21" s="10">
        <f t="shared" si="7"/>
        <v>0</v>
      </c>
      <c r="X21" s="10">
        <f t="shared" si="8"/>
        <v>0</v>
      </c>
    </row>
    <row r="22" spans="1:24" s="9" customFormat="1" ht="13.5" customHeight="1" x14ac:dyDescent="0.2">
      <c r="A22" s="573">
        <f t="shared" si="9"/>
        <v>18</v>
      </c>
      <c r="B22" s="109" t="s">
        <v>2400</v>
      </c>
      <c r="C22" s="163">
        <v>37588</v>
      </c>
      <c r="D22" s="175">
        <v>810000</v>
      </c>
      <c r="E22" s="175"/>
      <c r="F22" s="67">
        <f t="shared" si="0"/>
        <v>810000</v>
      </c>
      <c r="G22" s="67">
        <v>809000</v>
      </c>
      <c r="H22" s="67">
        <f t="shared" si="1"/>
        <v>1000</v>
      </c>
      <c r="I22" s="68">
        <v>5</v>
      </c>
      <c r="J22" s="68">
        <v>0.2</v>
      </c>
      <c r="K22" s="68">
        <v>0</v>
      </c>
      <c r="L22" s="110"/>
      <c r="M22" s="67">
        <f t="shared" si="2"/>
        <v>809000</v>
      </c>
      <c r="N22" s="462">
        <f t="shared" si="3"/>
        <v>1000</v>
      </c>
      <c r="O22" s="111" t="s">
        <v>1882</v>
      </c>
      <c r="P22" s="111">
        <v>12</v>
      </c>
      <c r="Q22" s="327"/>
      <c r="R22" s="23">
        <f t="shared" si="11"/>
        <v>200</v>
      </c>
      <c r="S22" s="10">
        <f t="shared" si="4"/>
        <v>40500</v>
      </c>
      <c r="T22" s="10">
        <f t="shared" si="5"/>
        <v>-39500</v>
      </c>
      <c r="U22" s="10">
        <f t="shared" si="10"/>
        <v>0</v>
      </c>
      <c r="V22" s="10">
        <f t="shared" si="6"/>
        <v>162000</v>
      </c>
      <c r="W22" s="10">
        <f t="shared" si="7"/>
        <v>0</v>
      </c>
      <c r="X22" s="10">
        <f t="shared" si="8"/>
        <v>0</v>
      </c>
    </row>
    <row r="23" spans="1:24" s="9" customFormat="1" ht="13.5" customHeight="1" x14ac:dyDescent="0.2">
      <c r="A23" s="573">
        <f t="shared" si="9"/>
        <v>19</v>
      </c>
      <c r="B23" s="109" t="s">
        <v>2401</v>
      </c>
      <c r="C23" s="163">
        <v>37686</v>
      </c>
      <c r="D23" s="175">
        <v>260000</v>
      </c>
      <c r="E23" s="175"/>
      <c r="F23" s="67">
        <f t="shared" si="0"/>
        <v>260000</v>
      </c>
      <c r="G23" s="67">
        <v>259000</v>
      </c>
      <c r="H23" s="67">
        <f t="shared" si="1"/>
        <v>1000</v>
      </c>
      <c r="I23" s="68">
        <v>5</v>
      </c>
      <c r="J23" s="68">
        <v>0.2</v>
      </c>
      <c r="K23" s="68">
        <v>0</v>
      </c>
      <c r="L23" s="110"/>
      <c r="M23" s="67">
        <f t="shared" si="2"/>
        <v>259000</v>
      </c>
      <c r="N23" s="462">
        <f t="shared" si="3"/>
        <v>1000</v>
      </c>
      <c r="O23" s="111" t="s">
        <v>2402</v>
      </c>
      <c r="P23" s="111">
        <v>1</v>
      </c>
      <c r="Q23" s="327"/>
      <c r="R23" s="23">
        <f t="shared" si="11"/>
        <v>200</v>
      </c>
      <c r="S23" s="10">
        <f t="shared" si="4"/>
        <v>13000</v>
      </c>
      <c r="T23" s="10">
        <f t="shared" si="5"/>
        <v>-12000</v>
      </c>
      <c r="U23" s="10">
        <f t="shared" si="10"/>
        <v>0</v>
      </c>
      <c r="V23" s="10">
        <f t="shared" si="6"/>
        <v>52000</v>
      </c>
      <c r="W23" s="10">
        <f t="shared" si="7"/>
        <v>0</v>
      </c>
      <c r="X23" s="10">
        <f t="shared" si="8"/>
        <v>0</v>
      </c>
    </row>
    <row r="24" spans="1:24" s="9" customFormat="1" ht="13.5" customHeight="1" x14ac:dyDescent="0.2">
      <c r="A24" s="636">
        <f t="shared" si="9"/>
        <v>20</v>
      </c>
      <c r="B24" s="558" t="s">
        <v>1976</v>
      </c>
      <c r="C24" s="294">
        <v>37694</v>
      </c>
      <c r="D24" s="310">
        <v>0</v>
      </c>
      <c r="E24" s="310"/>
      <c r="F24" s="295">
        <f t="shared" si="0"/>
        <v>0</v>
      </c>
      <c r="G24" s="295">
        <v>0</v>
      </c>
      <c r="H24" s="295">
        <f t="shared" si="1"/>
        <v>0</v>
      </c>
      <c r="I24" s="296">
        <v>5</v>
      </c>
      <c r="J24" s="296">
        <v>0.2</v>
      </c>
      <c r="K24" s="296">
        <v>0</v>
      </c>
      <c r="L24" s="287"/>
      <c r="M24" s="295">
        <f t="shared" si="2"/>
        <v>0</v>
      </c>
      <c r="N24" s="468">
        <f t="shared" si="3"/>
        <v>0</v>
      </c>
      <c r="O24" s="297" t="s">
        <v>1947</v>
      </c>
      <c r="P24" s="297"/>
      <c r="Q24" s="637"/>
      <c r="R24" s="23">
        <f t="shared" si="11"/>
        <v>0</v>
      </c>
      <c r="S24" s="10">
        <f t="shared" si="4"/>
        <v>0</v>
      </c>
      <c r="T24" s="10">
        <f t="shared" si="5"/>
        <v>0</v>
      </c>
      <c r="U24" s="10"/>
      <c r="V24" s="10">
        <f t="shared" si="6"/>
        <v>0</v>
      </c>
      <c r="W24" s="10">
        <f t="shared" si="7"/>
        <v>0</v>
      </c>
      <c r="X24" s="10">
        <f t="shared" si="8"/>
        <v>0</v>
      </c>
    </row>
    <row r="25" spans="1:24" s="9" customFormat="1" ht="13.5" customHeight="1" x14ac:dyDescent="0.2">
      <c r="A25" s="573">
        <f t="shared" si="9"/>
        <v>21</v>
      </c>
      <c r="B25" s="109" t="s">
        <v>2403</v>
      </c>
      <c r="C25" s="163">
        <v>37700</v>
      </c>
      <c r="D25" s="175">
        <v>1954546</v>
      </c>
      <c r="E25" s="175"/>
      <c r="F25" s="67">
        <f t="shared" si="0"/>
        <v>1954546</v>
      </c>
      <c r="G25" s="67">
        <v>1953546</v>
      </c>
      <c r="H25" s="67">
        <f t="shared" si="1"/>
        <v>1000</v>
      </c>
      <c r="I25" s="68">
        <v>5</v>
      </c>
      <c r="J25" s="68">
        <v>0.2</v>
      </c>
      <c r="K25" s="68">
        <v>0</v>
      </c>
      <c r="L25" s="110"/>
      <c r="M25" s="67">
        <f t="shared" si="2"/>
        <v>1953546</v>
      </c>
      <c r="N25" s="462">
        <f t="shared" si="3"/>
        <v>1000</v>
      </c>
      <c r="O25" s="111" t="s">
        <v>767</v>
      </c>
      <c r="P25" s="111">
        <v>1</v>
      </c>
      <c r="Q25" s="327"/>
      <c r="R25" s="23">
        <f t="shared" si="11"/>
        <v>200</v>
      </c>
      <c r="S25" s="10">
        <f t="shared" si="4"/>
        <v>97727.3</v>
      </c>
      <c r="T25" s="10">
        <f t="shared" si="5"/>
        <v>-96727.3</v>
      </c>
      <c r="U25" s="10">
        <f t="shared" ref="U25:U38" si="12">N25-1000</f>
        <v>0</v>
      </c>
      <c r="V25" s="10">
        <f t="shared" si="6"/>
        <v>390909.2</v>
      </c>
      <c r="W25" s="10">
        <f t="shared" si="7"/>
        <v>0</v>
      </c>
      <c r="X25" s="10">
        <f t="shared" si="8"/>
        <v>0</v>
      </c>
    </row>
    <row r="26" spans="1:24" s="9" customFormat="1" ht="13.5" customHeight="1" x14ac:dyDescent="0.2">
      <c r="A26" s="573">
        <f t="shared" si="9"/>
        <v>22</v>
      </c>
      <c r="B26" s="109" t="s">
        <v>2404</v>
      </c>
      <c r="C26" s="163">
        <v>37713</v>
      </c>
      <c r="D26" s="175">
        <v>120000</v>
      </c>
      <c r="E26" s="175"/>
      <c r="F26" s="67">
        <f t="shared" si="0"/>
        <v>120000</v>
      </c>
      <c r="G26" s="67">
        <v>119000</v>
      </c>
      <c r="H26" s="67">
        <f t="shared" si="1"/>
        <v>1000</v>
      </c>
      <c r="I26" s="68">
        <v>5</v>
      </c>
      <c r="J26" s="68">
        <v>0.2</v>
      </c>
      <c r="K26" s="68">
        <v>0</v>
      </c>
      <c r="L26" s="110"/>
      <c r="M26" s="67">
        <f t="shared" si="2"/>
        <v>119000</v>
      </c>
      <c r="N26" s="462">
        <f t="shared" si="3"/>
        <v>1000</v>
      </c>
      <c r="O26" s="111" t="s">
        <v>1882</v>
      </c>
      <c r="P26" s="111">
        <v>1</v>
      </c>
      <c r="Q26" s="327"/>
      <c r="R26" s="23">
        <f t="shared" si="11"/>
        <v>200</v>
      </c>
      <c r="S26" s="10">
        <f t="shared" si="4"/>
        <v>6000</v>
      </c>
      <c r="T26" s="10">
        <f t="shared" si="5"/>
        <v>-5000</v>
      </c>
      <c r="U26" s="10">
        <f t="shared" si="12"/>
        <v>0</v>
      </c>
      <c r="V26" s="10">
        <f t="shared" si="6"/>
        <v>24000</v>
      </c>
      <c r="W26" s="10">
        <f t="shared" si="7"/>
        <v>0</v>
      </c>
      <c r="X26" s="10">
        <f t="shared" si="8"/>
        <v>0</v>
      </c>
    </row>
    <row r="27" spans="1:24" s="9" customFormat="1" ht="13.5" customHeight="1" x14ac:dyDescent="0.2">
      <c r="A27" s="573">
        <f t="shared" si="9"/>
        <v>23</v>
      </c>
      <c r="B27" s="109" t="s">
        <v>1864</v>
      </c>
      <c r="C27" s="163">
        <v>37722</v>
      </c>
      <c r="D27" s="175">
        <v>65000</v>
      </c>
      <c r="E27" s="175"/>
      <c r="F27" s="67">
        <f t="shared" si="0"/>
        <v>65000</v>
      </c>
      <c r="G27" s="67">
        <v>64000</v>
      </c>
      <c r="H27" s="67">
        <f t="shared" si="1"/>
        <v>1000</v>
      </c>
      <c r="I27" s="68">
        <v>5</v>
      </c>
      <c r="J27" s="68">
        <v>0.2</v>
      </c>
      <c r="K27" s="68">
        <v>0</v>
      </c>
      <c r="L27" s="110"/>
      <c r="M27" s="67">
        <f t="shared" si="2"/>
        <v>64000</v>
      </c>
      <c r="N27" s="462">
        <f t="shared" si="3"/>
        <v>1000</v>
      </c>
      <c r="O27" s="111" t="s">
        <v>2405</v>
      </c>
      <c r="P27" s="111">
        <v>1</v>
      </c>
      <c r="Q27" s="327"/>
      <c r="R27" s="23">
        <f t="shared" si="11"/>
        <v>200</v>
      </c>
      <c r="S27" s="10">
        <f t="shared" si="4"/>
        <v>3250</v>
      </c>
      <c r="T27" s="10">
        <f t="shared" si="5"/>
        <v>-2250</v>
      </c>
      <c r="U27" s="10">
        <f t="shared" si="12"/>
        <v>0</v>
      </c>
      <c r="V27" s="10">
        <f t="shared" si="6"/>
        <v>13000</v>
      </c>
      <c r="W27" s="10">
        <f t="shared" si="7"/>
        <v>0</v>
      </c>
      <c r="X27" s="10">
        <f t="shared" si="8"/>
        <v>0</v>
      </c>
    </row>
    <row r="28" spans="1:24" s="9" customFormat="1" ht="13.5" customHeight="1" x14ac:dyDescent="0.2">
      <c r="A28" s="573">
        <f t="shared" si="9"/>
        <v>24</v>
      </c>
      <c r="B28" s="109" t="s">
        <v>1975</v>
      </c>
      <c r="C28" s="163">
        <v>37736</v>
      </c>
      <c r="D28" s="175">
        <v>795000</v>
      </c>
      <c r="E28" s="175"/>
      <c r="F28" s="67">
        <f t="shared" si="0"/>
        <v>795000</v>
      </c>
      <c r="G28" s="67">
        <v>794000</v>
      </c>
      <c r="H28" s="67">
        <f t="shared" si="1"/>
        <v>1000</v>
      </c>
      <c r="I28" s="68">
        <v>5</v>
      </c>
      <c r="J28" s="68">
        <v>0.2</v>
      </c>
      <c r="K28" s="68">
        <v>0</v>
      </c>
      <c r="L28" s="110"/>
      <c r="M28" s="67">
        <f t="shared" si="2"/>
        <v>794000</v>
      </c>
      <c r="N28" s="462">
        <f t="shared" si="3"/>
        <v>1000</v>
      </c>
      <c r="O28" s="111" t="s">
        <v>2406</v>
      </c>
      <c r="P28" s="111">
        <v>3</v>
      </c>
      <c r="Q28" s="327"/>
      <c r="R28" s="23">
        <f t="shared" si="11"/>
        <v>200</v>
      </c>
      <c r="S28" s="10">
        <f t="shared" si="4"/>
        <v>39750</v>
      </c>
      <c r="T28" s="10">
        <f t="shared" si="5"/>
        <v>-38750</v>
      </c>
      <c r="U28" s="10">
        <f t="shared" si="12"/>
        <v>0</v>
      </c>
      <c r="V28" s="10">
        <f t="shared" si="6"/>
        <v>159000</v>
      </c>
      <c r="W28" s="10">
        <f t="shared" si="7"/>
        <v>0</v>
      </c>
      <c r="X28" s="10">
        <f t="shared" si="8"/>
        <v>0</v>
      </c>
    </row>
    <row r="29" spans="1:24" s="9" customFormat="1" ht="13.5" customHeight="1" x14ac:dyDescent="0.2">
      <c r="A29" s="573">
        <f t="shared" si="9"/>
        <v>25</v>
      </c>
      <c r="B29" s="109" t="s">
        <v>1838</v>
      </c>
      <c r="C29" s="163">
        <v>37775</v>
      </c>
      <c r="D29" s="175">
        <v>3363636</v>
      </c>
      <c r="E29" s="175"/>
      <c r="F29" s="67">
        <f t="shared" si="0"/>
        <v>3363636</v>
      </c>
      <c r="G29" s="67">
        <v>3362636</v>
      </c>
      <c r="H29" s="67">
        <f t="shared" si="1"/>
        <v>1000</v>
      </c>
      <c r="I29" s="68">
        <v>5</v>
      </c>
      <c r="J29" s="68">
        <v>0.2</v>
      </c>
      <c r="K29" s="68">
        <v>0</v>
      </c>
      <c r="L29" s="110"/>
      <c r="M29" s="67">
        <f t="shared" si="2"/>
        <v>3362636</v>
      </c>
      <c r="N29" s="462">
        <f t="shared" si="3"/>
        <v>1000</v>
      </c>
      <c r="O29" s="111" t="s">
        <v>767</v>
      </c>
      <c r="P29" s="111">
        <v>1</v>
      </c>
      <c r="Q29" s="327"/>
      <c r="R29" s="23">
        <f t="shared" si="11"/>
        <v>200</v>
      </c>
      <c r="S29" s="10">
        <f t="shared" si="4"/>
        <v>168181.80000000002</v>
      </c>
      <c r="T29" s="10">
        <f t="shared" si="5"/>
        <v>-167181.80000000002</v>
      </c>
      <c r="U29" s="10">
        <f t="shared" si="12"/>
        <v>0</v>
      </c>
      <c r="V29" s="10">
        <f t="shared" si="6"/>
        <v>672727.2</v>
      </c>
      <c r="W29" s="10">
        <f t="shared" si="7"/>
        <v>0</v>
      </c>
      <c r="X29" s="10">
        <f t="shared" si="8"/>
        <v>0</v>
      </c>
    </row>
    <row r="30" spans="1:24" s="9" customFormat="1" ht="13.5" customHeight="1" x14ac:dyDescent="0.2">
      <c r="A30" s="573">
        <f t="shared" si="9"/>
        <v>26</v>
      </c>
      <c r="B30" s="109" t="s">
        <v>2407</v>
      </c>
      <c r="C30" s="163">
        <v>37824</v>
      </c>
      <c r="D30" s="175">
        <v>110000</v>
      </c>
      <c r="E30" s="175"/>
      <c r="F30" s="67">
        <f t="shared" si="0"/>
        <v>110000</v>
      </c>
      <c r="G30" s="67">
        <v>109000</v>
      </c>
      <c r="H30" s="67">
        <f t="shared" si="1"/>
        <v>1000</v>
      </c>
      <c r="I30" s="68">
        <v>5</v>
      </c>
      <c r="J30" s="68">
        <v>0.2</v>
      </c>
      <c r="K30" s="68">
        <v>0</v>
      </c>
      <c r="L30" s="110"/>
      <c r="M30" s="67">
        <f t="shared" si="2"/>
        <v>109000</v>
      </c>
      <c r="N30" s="462">
        <f t="shared" si="3"/>
        <v>1000</v>
      </c>
      <c r="O30" s="111" t="s">
        <v>1932</v>
      </c>
      <c r="P30" s="111">
        <v>1</v>
      </c>
      <c r="Q30" s="327"/>
      <c r="R30" s="23">
        <f t="shared" si="11"/>
        <v>200</v>
      </c>
      <c r="S30" s="10">
        <f t="shared" si="4"/>
        <v>5500</v>
      </c>
      <c r="T30" s="10">
        <f t="shared" si="5"/>
        <v>-4500</v>
      </c>
      <c r="U30" s="10">
        <f t="shared" si="12"/>
        <v>0</v>
      </c>
      <c r="V30" s="10">
        <f t="shared" si="6"/>
        <v>22000</v>
      </c>
      <c r="W30" s="10">
        <f t="shared" si="7"/>
        <v>0</v>
      </c>
      <c r="X30" s="10">
        <f t="shared" si="8"/>
        <v>0</v>
      </c>
    </row>
    <row r="31" spans="1:24" s="9" customFormat="1" ht="13.5" customHeight="1" x14ac:dyDescent="0.2">
      <c r="A31" s="573">
        <f t="shared" si="9"/>
        <v>27</v>
      </c>
      <c r="B31" s="109" t="s">
        <v>2408</v>
      </c>
      <c r="C31" s="163">
        <v>37853</v>
      </c>
      <c r="D31" s="175">
        <v>700000</v>
      </c>
      <c r="E31" s="175"/>
      <c r="F31" s="67">
        <f t="shared" si="0"/>
        <v>700000</v>
      </c>
      <c r="G31" s="67">
        <v>699000</v>
      </c>
      <c r="H31" s="67">
        <f t="shared" si="1"/>
        <v>1000</v>
      </c>
      <c r="I31" s="68">
        <v>5</v>
      </c>
      <c r="J31" s="68">
        <v>0.2</v>
      </c>
      <c r="K31" s="68">
        <v>0</v>
      </c>
      <c r="L31" s="110"/>
      <c r="M31" s="67">
        <f t="shared" si="2"/>
        <v>699000</v>
      </c>
      <c r="N31" s="462">
        <f t="shared" si="3"/>
        <v>1000</v>
      </c>
      <c r="O31" s="111" t="s">
        <v>1455</v>
      </c>
      <c r="P31" s="111">
        <v>2</v>
      </c>
      <c r="Q31" s="327"/>
      <c r="R31" s="23">
        <f t="shared" si="11"/>
        <v>200</v>
      </c>
      <c r="S31" s="10">
        <f t="shared" si="4"/>
        <v>35000</v>
      </c>
      <c r="T31" s="10">
        <f t="shared" si="5"/>
        <v>-34000</v>
      </c>
      <c r="U31" s="10">
        <f t="shared" si="12"/>
        <v>0</v>
      </c>
      <c r="V31" s="10">
        <f t="shared" si="6"/>
        <v>140000</v>
      </c>
      <c r="W31" s="10">
        <f t="shared" si="7"/>
        <v>0</v>
      </c>
      <c r="X31" s="10">
        <f t="shared" si="8"/>
        <v>0</v>
      </c>
    </row>
    <row r="32" spans="1:24" s="9" customFormat="1" ht="13.5" customHeight="1" x14ac:dyDescent="0.2">
      <c r="A32" s="573">
        <f t="shared" si="9"/>
        <v>28</v>
      </c>
      <c r="B32" s="109" t="s">
        <v>2403</v>
      </c>
      <c r="C32" s="163">
        <v>37855</v>
      </c>
      <c r="D32" s="175">
        <v>480000</v>
      </c>
      <c r="E32" s="175"/>
      <c r="F32" s="67">
        <f t="shared" si="0"/>
        <v>480000</v>
      </c>
      <c r="G32" s="67">
        <v>479000</v>
      </c>
      <c r="H32" s="67">
        <f t="shared" si="1"/>
        <v>1000</v>
      </c>
      <c r="I32" s="68">
        <v>5</v>
      </c>
      <c r="J32" s="68">
        <v>0.2</v>
      </c>
      <c r="K32" s="68">
        <v>0</v>
      </c>
      <c r="L32" s="110"/>
      <c r="M32" s="67">
        <f t="shared" si="2"/>
        <v>479000</v>
      </c>
      <c r="N32" s="462">
        <f t="shared" si="3"/>
        <v>1000</v>
      </c>
      <c r="O32" s="111" t="s">
        <v>260</v>
      </c>
      <c r="P32" s="111">
        <v>1</v>
      </c>
      <c r="Q32" s="327"/>
      <c r="R32" s="23">
        <f t="shared" si="11"/>
        <v>200</v>
      </c>
      <c r="S32" s="10">
        <f t="shared" si="4"/>
        <v>24000</v>
      </c>
      <c r="T32" s="10">
        <f t="shared" si="5"/>
        <v>-23000</v>
      </c>
      <c r="U32" s="10">
        <f t="shared" si="12"/>
        <v>0</v>
      </c>
      <c r="V32" s="10">
        <f t="shared" si="6"/>
        <v>96000</v>
      </c>
      <c r="W32" s="10">
        <f t="shared" si="7"/>
        <v>0</v>
      </c>
      <c r="X32" s="10">
        <f t="shared" si="8"/>
        <v>0</v>
      </c>
    </row>
    <row r="33" spans="1:24" s="9" customFormat="1" ht="13.5" customHeight="1" x14ac:dyDescent="0.2">
      <c r="A33" s="573">
        <f t="shared" si="9"/>
        <v>29</v>
      </c>
      <c r="B33" s="109" t="s">
        <v>2409</v>
      </c>
      <c r="C33" s="163">
        <v>37856</v>
      </c>
      <c r="D33" s="175">
        <v>140000</v>
      </c>
      <c r="E33" s="175"/>
      <c r="F33" s="67">
        <f t="shared" si="0"/>
        <v>140000</v>
      </c>
      <c r="G33" s="67">
        <v>139000</v>
      </c>
      <c r="H33" s="67">
        <f t="shared" si="1"/>
        <v>1000</v>
      </c>
      <c r="I33" s="68">
        <v>5</v>
      </c>
      <c r="J33" s="68">
        <v>0.2</v>
      </c>
      <c r="K33" s="68">
        <v>0</v>
      </c>
      <c r="L33" s="110"/>
      <c r="M33" s="67">
        <f t="shared" si="2"/>
        <v>139000</v>
      </c>
      <c r="N33" s="462">
        <f t="shared" si="3"/>
        <v>1000</v>
      </c>
      <c r="O33" s="111" t="s">
        <v>1932</v>
      </c>
      <c r="P33" s="111">
        <v>2</v>
      </c>
      <c r="Q33" s="327"/>
      <c r="R33" s="23">
        <f t="shared" si="11"/>
        <v>200</v>
      </c>
      <c r="S33" s="10">
        <f t="shared" si="4"/>
        <v>7000</v>
      </c>
      <c r="T33" s="10">
        <f t="shared" si="5"/>
        <v>-6000</v>
      </c>
      <c r="U33" s="10">
        <f t="shared" si="12"/>
        <v>0</v>
      </c>
      <c r="V33" s="10">
        <f t="shared" si="6"/>
        <v>28000</v>
      </c>
      <c r="W33" s="10">
        <f t="shared" si="7"/>
        <v>0</v>
      </c>
      <c r="X33" s="10">
        <f t="shared" si="8"/>
        <v>0</v>
      </c>
    </row>
    <row r="34" spans="1:24" s="9" customFormat="1" ht="13.5" customHeight="1" x14ac:dyDescent="0.2">
      <c r="A34" s="573">
        <f t="shared" si="9"/>
        <v>30</v>
      </c>
      <c r="B34" s="109" t="s">
        <v>1855</v>
      </c>
      <c r="C34" s="163">
        <v>37856</v>
      </c>
      <c r="D34" s="175">
        <v>150000</v>
      </c>
      <c r="E34" s="175"/>
      <c r="F34" s="67">
        <f t="shared" si="0"/>
        <v>150000</v>
      </c>
      <c r="G34" s="67">
        <v>149000</v>
      </c>
      <c r="H34" s="67">
        <f t="shared" si="1"/>
        <v>1000</v>
      </c>
      <c r="I34" s="68">
        <v>5</v>
      </c>
      <c r="J34" s="68">
        <v>0.2</v>
      </c>
      <c r="K34" s="68">
        <v>0</v>
      </c>
      <c r="L34" s="110"/>
      <c r="M34" s="67">
        <f t="shared" si="2"/>
        <v>149000</v>
      </c>
      <c r="N34" s="462">
        <f t="shared" si="3"/>
        <v>1000</v>
      </c>
      <c r="O34" s="111" t="s">
        <v>1932</v>
      </c>
      <c r="P34" s="111">
        <v>3</v>
      </c>
      <c r="Q34" s="327"/>
      <c r="R34" s="23">
        <f t="shared" si="11"/>
        <v>200</v>
      </c>
      <c r="S34" s="10">
        <f t="shared" si="4"/>
        <v>7500</v>
      </c>
      <c r="T34" s="10">
        <f t="shared" si="5"/>
        <v>-6500</v>
      </c>
      <c r="U34" s="10">
        <f t="shared" si="12"/>
        <v>0</v>
      </c>
      <c r="V34" s="10">
        <f t="shared" si="6"/>
        <v>30000</v>
      </c>
      <c r="W34" s="10">
        <f t="shared" si="7"/>
        <v>0</v>
      </c>
      <c r="X34" s="10">
        <f t="shared" si="8"/>
        <v>0</v>
      </c>
    </row>
    <row r="35" spans="1:24" s="9" customFormat="1" ht="13.5" customHeight="1" x14ac:dyDescent="0.2">
      <c r="A35" s="573">
        <f t="shared" si="9"/>
        <v>31</v>
      </c>
      <c r="B35" s="109" t="s">
        <v>1873</v>
      </c>
      <c r="C35" s="163">
        <v>37856</v>
      </c>
      <c r="D35" s="175">
        <v>135000</v>
      </c>
      <c r="E35" s="175"/>
      <c r="F35" s="67">
        <f t="shared" si="0"/>
        <v>135000</v>
      </c>
      <c r="G35" s="67">
        <v>134000</v>
      </c>
      <c r="H35" s="67">
        <f t="shared" si="1"/>
        <v>1000</v>
      </c>
      <c r="I35" s="68">
        <v>5</v>
      </c>
      <c r="J35" s="68">
        <v>0.2</v>
      </c>
      <c r="K35" s="68">
        <v>0</v>
      </c>
      <c r="L35" s="110"/>
      <c r="M35" s="67">
        <f t="shared" si="2"/>
        <v>134000</v>
      </c>
      <c r="N35" s="462">
        <f t="shared" si="3"/>
        <v>1000</v>
      </c>
      <c r="O35" s="111" t="s">
        <v>2410</v>
      </c>
      <c r="P35" s="111">
        <v>3</v>
      </c>
      <c r="Q35" s="327"/>
      <c r="R35" s="23">
        <f t="shared" si="11"/>
        <v>200</v>
      </c>
      <c r="S35" s="10">
        <f t="shared" si="4"/>
        <v>6750</v>
      </c>
      <c r="T35" s="10">
        <f t="shared" si="5"/>
        <v>-5750</v>
      </c>
      <c r="U35" s="10">
        <f t="shared" si="12"/>
        <v>0</v>
      </c>
      <c r="V35" s="10">
        <f t="shared" si="6"/>
        <v>27000</v>
      </c>
      <c r="W35" s="10">
        <f t="shared" si="7"/>
        <v>0</v>
      </c>
      <c r="X35" s="10">
        <f t="shared" si="8"/>
        <v>0</v>
      </c>
    </row>
    <row r="36" spans="1:24" s="9" customFormat="1" ht="13.5" customHeight="1" x14ac:dyDescent="0.2">
      <c r="A36" s="573">
        <f t="shared" si="9"/>
        <v>32</v>
      </c>
      <c r="B36" s="109" t="s">
        <v>2411</v>
      </c>
      <c r="C36" s="163">
        <v>37856</v>
      </c>
      <c r="D36" s="175">
        <v>75000</v>
      </c>
      <c r="E36" s="175"/>
      <c r="F36" s="67">
        <f t="shared" si="0"/>
        <v>75000</v>
      </c>
      <c r="G36" s="67">
        <v>74000</v>
      </c>
      <c r="H36" s="67">
        <f t="shared" si="1"/>
        <v>1000</v>
      </c>
      <c r="I36" s="68">
        <v>5</v>
      </c>
      <c r="J36" s="68">
        <v>0.2</v>
      </c>
      <c r="K36" s="68">
        <v>0</v>
      </c>
      <c r="L36" s="110"/>
      <c r="M36" s="67">
        <f t="shared" si="2"/>
        <v>74000</v>
      </c>
      <c r="N36" s="462">
        <f t="shared" si="3"/>
        <v>1000</v>
      </c>
      <c r="O36" s="111" t="s">
        <v>1932</v>
      </c>
      <c r="P36" s="111">
        <v>1</v>
      </c>
      <c r="Q36" s="327"/>
      <c r="R36" s="23">
        <f t="shared" si="11"/>
        <v>200</v>
      </c>
      <c r="S36" s="10">
        <f t="shared" si="4"/>
        <v>3750</v>
      </c>
      <c r="T36" s="10">
        <f t="shared" si="5"/>
        <v>-2750</v>
      </c>
      <c r="U36" s="10">
        <f t="shared" si="12"/>
        <v>0</v>
      </c>
      <c r="V36" s="10">
        <f t="shared" si="6"/>
        <v>15000</v>
      </c>
      <c r="W36" s="10">
        <f t="shared" si="7"/>
        <v>0</v>
      </c>
      <c r="X36" s="10">
        <f t="shared" si="8"/>
        <v>0</v>
      </c>
    </row>
    <row r="37" spans="1:24" s="9" customFormat="1" ht="13.5" customHeight="1" x14ac:dyDescent="0.2">
      <c r="A37" s="573">
        <f t="shared" si="9"/>
        <v>33</v>
      </c>
      <c r="B37" s="109" t="s">
        <v>2017</v>
      </c>
      <c r="C37" s="163">
        <v>37856</v>
      </c>
      <c r="D37" s="175">
        <v>100000</v>
      </c>
      <c r="E37" s="175"/>
      <c r="F37" s="67">
        <f t="shared" si="0"/>
        <v>100000</v>
      </c>
      <c r="G37" s="67">
        <v>99000</v>
      </c>
      <c r="H37" s="67">
        <f t="shared" si="1"/>
        <v>1000</v>
      </c>
      <c r="I37" s="68">
        <v>5</v>
      </c>
      <c r="J37" s="68">
        <v>0.2</v>
      </c>
      <c r="K37" s="68">
        <v>0</v>
      </c>
      <c r="L37" s="110"/>
      <c r="M37" s="67">
        <f t="shared" si="2"/>
        <v>99000</v>
      </c>
      <c r="N37" s="462">
        <f t="shared" si="3"/>
        <v>1000</v>
      </c>
      <c r="O37" s="111" t="s">
        <v>1932</v>
      </c>
      <c r="P37" s="111">
        <v>1</v>
      </c>
      <c r="Q37" s="327"/>
      <c r="R37" s="23">
        <f t="shared" si="11"/>
        <v>200</v>
      </c>
      <c r="S37" s="10">
        <f t="shared" si="4"/>
        <v>5000</v>
      </c>
      <c r="T37" s="10">
        <f t="shared" si="5"/>
        <v>-4000</v>
      </c>
      <c r="U37" s="10">
        <f t="shared" si="12"/>
        <v>0</v>
      </c>
      <c r="V37" s="10">
        <f t="shared" si="6"/>
        <v>20000</v>
      </c>
      <c r="W37" s="10">
        <f t="shared" si="7"/>
        <v>0</v>
      </c>
      <c r="X37" s="10">
        <f t="shared" si="8"/>
        <v>0</v>
      </c>
    </row>
    <row r="38" spans="1:24" s="9" customFormat="1" ht="13.5" customHeight="1" x14ac:dyDescent="0.2">
      <c r="A38" s="573">
        <f t="shared" si="9"/>
        <v>34</v>
      </c>
      <c r="B38" s="109" t="s">
        <v>2412</v>
      </c>
      <c r="C38" s="163">
        <v>37856</v>
      </c>
      <c r="D38" s="175">
        <v>160000</v>
      </c>
      <c r="E38" s="175"/>
      <c r="F38" s="67">
        <f t="shared" si="0"/>
        <v>160000</v>
      </c>
      <c r="G38" s="67">
        <v>159000</v>
      </c>
      <c r="H38" s="67">
        <f t="shared" si="1"/>
        <v>1000</v>
      </c>
      <c r="I38" s="68">
        <v>5</v>
      </c>
      <c r="J38" s="68">
        <v>0.2</v>
      </c>
      <c r="K38" s="68">
        <v>0</v>
      </c>
      <c r="L38" s="110"/>
      <c r="M38" s="67">
        <f t="shared" si="2"/>
        <v>159000</v>
      </c>
      <c r="N38" s="462">
        <f t="shared" si="3"/>
        <v>1000</v>
      </c>
      <c r="O38" s="111" t="s">
        <v>1932</v>
      </c>
      <c r="P38" s="111">
        <v>2</v>
      </c>
      <c r="Q38" s="327"/>
      <c r="R38" s="23">
        <f t="shared" si="11"/>
        <v>200</v>
      </c>
      <c r="S38" s="10">
        <f t="shared" si="4"/>
        <v>8000</v>
      </c>
      <c r="T38" s="10">
        <f t="shared" si="5"/>
        <v>-7000</v>
      </c>
      <c r="U38" s="10">
        <f t="shared" si="12"/>
        <v>0</v>
      </c>
      <c r="V38" s="10">
        <f t="shared" si="6"/>
        <v>32000</v>
      </c>
      <c r="W38" s="10">
        <f t="shared" si="7"/>
        <v>0</v>
      </c>
      <c r="X38" s="10">
        <f t="shared" si="8"/>
        <v>0</v>
      </c>
    </row>
    <row r="39" spans="1:24" s="9" customFormat="1" ht="13.5" customHeight="1" x14ac:dyDescent="0.2">
      <c r="A39" s="636">
        <f t="shared" si="9"/>
        <v>35</v>
      </c>
      <c r="B39" s="558" t="s">
        <v>1976</v>
      </c>
      <c r="C39" s="294">
        <v>37859</v>
      </c>
      <c r="D39" s="310">
        <v>0</v>
      </c>
      <c r="E39" s="310"/>
      <c r="F39" s="295">
        <f t="shared" si="0"/>
        <v>0</v>
      </c>
      <c r="G39" s="295">
        <v>0</v>
      </c>
      <c r="H39" s="295">
        <f t="shared" si="1"/>
        <v>0</v>
      </c>
      <c r="I39" s="296">
        <v>5</v>
      </c>
      <c r="J39" s="296">
        <v>0.2</v>
      </c>
      <c r="K39" s="296">
        <v>0</v>
      </c>
      <c r="L39" s="287"/>
      <c r="M39" s="295">
        <f t="shared" si="2"/>
        <v>0</v>
      </c>
      <c r="N39" s="468">
        <f t="shared" si="3"/>
        <v>0</v>
      </c>
      <c r="O39" s="297" t="s">
        <v>1947</v>
      </c>
      <c r="P39" s="297"/>
      <c r="Q39" s="637"/>
      <c r="R39" s="23">
        <f t="shared" si="11"/>
        <v>0</v>
      </c>
      <c r="S39" s="10">
        <f t="shared" si="4"/>
        <v>0</v>
      </c>
      <c r="T39" s="10">
        <f t="shared" si="5"/>
        <v>0</v>
      </c>
      <c r="U39" s="10"/>
      <c r="V39" s="10">
        <f t="shared" si="6"/>
        <v>0</v>
      </c>
      <c r="W39" s="10">
        <f t="shared" si="7"/>
        <v>0</v>
      </c>
      <c r="X39" s="10">
        <f t="shared" si="8"/>
        <v>0</v>
      </c>
    </row>
    <row r="40" spans="1:24" s="9" customFormat="1" ht="13.5" customHeight="1" x14ac:dyDescent="0.2">
      <c r="A40" s="573">
        <f t="shared" si="9"/>
        <v>36</v>
      </c>
      <c r="B40" s="109" t="s">
        <v>2024</v>
      </c>
      <c r="C40" s="163">
        <v>37870</v>
      </c>
      <c r="D40" s="175">
        <v>100000</v>
      </c>
      <c r="E40" s="175"/>
      <c r="F40" s="67">
        <f t="shared" si="0"/>
        <v>100000</v>
      </c>
      <c r="G40" s="67">
        <v>99000</v>
      </c>
      <c r="H40" s="67">
        <f t="shared" si="1"/>
        <v>1000</v>
      </c>
      <c r="I40" s="68">
        <v>5</v>
      </c>
      <c r="J40" s="68">
        <v>0.2</v>
      </c>
      <c r="K40" s="68">
        <v>0</v>
      </c>
      <c r="L40" s="110"/>
      <c r="M40" s="67">
        <f t="shared" si="2"/>
        <v>99000</v>
      </c>
      <c r="N40" s="462">
        <f t="shared" si="3"/>
        <v>1000</v>
      </c>
      <c r="O40" s="111" t="s">
        <v>2413</v>
      </c>
      <c r="P40" s="111">
        <v>1</v>
      </c>
      <c r="Q40" s="327"/>
      <c r="R40" s="23">
        <f t="shared" si="11"/>
        <v>200</v>
      </c>
      <c r="S40" s="10">
        <f t="shared" si="4"/>
        <v>5000</v>
      </c>
      <c r="T40" s="10">
        <f t="shared" si="5"/>
        <v>-4000</v>
      </c>
      <c r="U40" s="10">
        <f>N40-1000</f>
        <v>0</v>
      </c>
      <c r="V40" s="10">
        <f t="shared" si="6"/>
        <v>20000</v>
      </c>
      <c r="W40" s="10">
        <f t="shared" si="7"/>
        <v>0</v>
      </c>
      <c r="X40" s="10">
        <f t="shared" si="8"/>
        <v>0</v>
      </c>
    </row>
    <row r="41" spans="1:24" s="9" customFormat="1" ht="13.5" customHeight="1" x14ac:dyDescent="0.2">
      <c r="A41" s="573">
        <f t="shared" si="9"/>
        <v>37</v>
      </c>
      <c r="B41" s="109" t="s">
        <v>1888</v>
      </c>
      <c r="C41" s="163">
        <v>37895</v>
      </c>
      <c r="D41" s="175">
        <v>2327276</v>
      </c>
      <c r="E41" s="175"/>
      <c r="F41" s="67">
        <f t="shared" si="0"/>
        <v>2327276</v>
      </c>
      <c r="G41" s="67">
        <v>2326276</v>
      </c>
      <c r="H41" s="67">
        <f t="shared" si="1"/>
        <v>1000</v>
      </c>
      <c r="I41" s="68">
        <v>5</v>
      </c>
      <c r="J41" s="68">
        <v>0.2</v>
      </c>
      <c r="K41" s="68">
        <v>0</v>
      </c>
      <c r="L41" s="110"/>
      <c r="M41" s="67">
        <f t="shared" si="2"/>
        <v>2326276</v>
      </c>
      <c r="N41" s="462">
        <f t="shared" si="3"/>
        <v>1000</v>
      </c>
      <c r="O41" s="111" t="s">
        <v>2414</v>
      </c>
      <c r="P41" s="111">
        <v>2</v>
      </c>
      <c r="Q41" s="327"/>
      <c r="R41" s="23">
        <f t="shared" si="11"/>
        <v>200</v>
      </c>
      <c r="S41" s="10">
        <f t="shared" si="4"/>
        <v>116363.8</v>
      </c>
      <c r="T41" s="10">
        <f t="shared" si="5"/>
        <v>-115363.8</v>
      </c>
      <c r="U41" s="10">
        <f>N41-1000</f>
        <v>0</v>
      </c>
      <c r="V41" s="10">
        <f t="shared" si="6"/>
        <v>465455.2</v>
      </c>
      <c r="W41" s="10">
        <f t="shared" si="7"/>
        <v>0</v>
      </c>
      <c r="X41" s="10">
        <f t="shared" si="8"/>
        <v>0</v>
      </c>
    </row>
    <row r="42" spans="1:24" s="9" customFormat="1" ht="13.5" customHeight="1" x14ac:dyDescent="0.2">
      <c r="A42" s="573">
        <f t="shared" si="9"/>
        <v>38</v>
      </c>
      <c r="B42" s="109" t="s">
        <v>2415</v>
      </c>
      <c r="C42" s="163">
        <v>37972</v>
      </c>
      <c r="D42" s="175">
        <v>350000</v>
      </c>
      <c r="E42" s="175"/>
      <c r="F42" s="67">
        <f t="shared" si="0"/>
        <v>350000</v>
      </c>
      <c r="G42" s="67">
        <v>349000</v>
      </c>
      <c r="H42" s="67">
        <f t="shared" si="1"/>
        <v>1000</v>
      </c>
      <c r="I42" s="68">
        <v>5</v>
      </c>
      <c r="J42" s="68">
        <v>0.2</v>
      </c>
      <c r="K42" s="68">
        <v>0</v>
      </c>
      <c r="L42" s="110"/>
      <c r="M42" s="67">
        <f t="shared" si="2"/>
        <v>349000</v>
      </c>
      <c r="N42" s="462">
        <f t="shared" si="3"/>
        <v>1000</v>
      </c>
      <c r="O42" s="111" t="s">
        <v>1932</v>
      </c>
      <c r="P42" s="111">
        <v>6</v>
      </c>
      <c r="Q42" s="327"/>
      <c r="R42" s="23">
        <f t="shared" si="11"/>
        <v>200</v>
      </c>
      <c r="S42" s="10">
        <f t="shared" si="4"/>
        <v>17500</v>
      </c>
      <c r="T42" s="10">
        <f t="shared" si="5"/>
        <v>-16500</v>
      </c>
      <c r="U42" s="10">
        <f>N42-1000</f>
        <v>0</v>
      </c>
      <c r="V42" s="10">
        <f t="shared" si="6"/>
        <v>70000</v>
      </c>
      <c r="W42" s="10">
        <f t="shared" si="7"/>
        <v>0</v>
      </c>
      <c r="X42" s="10">
        <f t="shared" si="8"/>
        <v>0</v>
      </c>
    </row>
    <row r="43" spans="1:24" s="9" customFormat="1" ht="13.5" customHeight="1" x14ac:dyDescent="0.2">
      <c r="A43" s="573">
        <f t="shared" si="9"/>
        <v>39</v>
      </c>
      <c r="B43" s="109" t="s">
        <v>1538</v>
      </c>
      <c r="C43" s="163">
        <v>37964</v>
      </c>
      <c r="D43" s="175">
        <v>110000</v>
      </c>
      <c r="E43" s="175"/>
      <c r="F43" s="67">
        <f t="shared" si="0"/>
        <v>110000</v>
      </c>
      <c r="G43" s="67">
        <v>109000</v>
      </c>
      <c r="H43" s="67">
        <f t="shared" si="1"/>
        <v>1000</v>
      </c>
      <c r="I43" s="68">
        <v>5</v>
      </c>
      <c r="J43" s="68">
        <v>0.2</v>
      </c>
      <c r="K43" s="68">
        <v>0</v>
      </c>
      <c r="L43" s="110"/>
      <c r="M43" s="67">
        <f t="shared" si="2"/>
        <v>109000</v>
      </c>
      <c r="N43" s="462">
        <f t="shared" si="3"/>
        <v>1000</v>
      </c>
      <c r="O43" s="111" t="s">
        <v>2416</v>
      </c>
      <c r="P43" s="111">
        <v>1</v>
      </c>
      <c r="Q43" s="327"/>
      <c r="R43" s="23">
        <f t="shared" si="11"/>
        <v>200</v>
      </c>
      <c r="S43" s="10">
        <f t="shared" si="4"/>
        <v>5500</v>
      </c>
      <c r="T43" s="10">
        <f t="shared" si="5"/>
        <v>-4500</v>
      </c>
      <c r="U43" s="10">
        <f>N43-1000</f>
        <v>0</v>
      </c>
      <c r="V43" s="10">
        <f t="shared" si="6"/>
        <v>22000</v>
      </c>
      <c r="W43" s="10">
        <f t="shared" si="7"/>
        <v>0</v>
      </c>
      <c r="X43" s="10">
        <f t="shared" si="8"/>
        <v>0</v>
      </c>
    </row>
    <row r="44" spans="1:24" s="9" customFormat="1" ht="13.5" customHeight="1" x14ac:dyDescent="0.2">
      <c r="A44" s="636">
        <f t="shared" si="9"/>
        <v>40</v>
      </c>
      <c r="B44" s="558" t="s">
        <v>2417</v>
      </c>
      <c r="C44" s="294">
        <v>37971</v>
      </c>
      <c r="D44" s="310">
        <v>0</v>
      </c>
      <c r="E44" s="310"/>
      <c r="F44" s="295">
        <f t="shared" si="0"/>
        <v>0</v>
      </c>
      <c r="G44" s="295">
        <v>0</v>
      </c>
      <c r="H44" s="295">
        <f t="shared" si="1"/>
        <v>0</v>
      </c>
      <c r="I44" s="296">
        <v>5</v>
      </c>
      <c r="J44" s="296">
        <v>0.2</v>
      </c>
      <c r="K44" s="296">
        <v>0</v>
      </c>
      <c r="L44" s="287"/>
      <c r="M44" s="295">
        <f t="shared" si="2"/>
        <v>0</v>
      </c>
      <c r="N44" s="468">
        <f t="shared" si="3"/>
        <v>0</v>
      </c>
      <c r="O44" s="297" t="s">
        <v>260</v>
      </c>
      <c r="P44" s="297">
        <v>1</v>
      </c>
      <c r="Q44" s="637"/>
      <c r="R44" s="23">
        <f t="shared" si="11"/>
        <v>0</v>
      </c>
      <c r="S44" s="10">
        <f t="shared" si="4"/>
        <v>0</v>
      </c>
      <c r="T44" s="10">
        <f t="shared" si="5"/>
        <v>0</v>
      </c>
      <c r="U44" s="10"/>
      <c r="V44" s="10">
        <f t="shared" si="6"/>
        <v>0</v>
      </c>
      <c r="W44" s="10">
        <f t="shared" si="7"/>
        <v>0</v>
      </c>
      <c r="X44" s="10">
        <f t="shared" si="8"/>
        <v>0</v>
      </c>
    </row>
    <row r="45" spans="1:24" s="9" customFormat="1" ht="13.5" customHeight="1" x14ac:dyDescent="0.2">
      <c r="A45" s="573">
        <f t="shared" si="9"/>
        <v>41</v>
      </c>
      <c r="B45" s="109" t="s">
        <v>2418</v>
      </c>
      <c r="C45" s="163">
        <v>37979</v>
      </c>
      <c r="D45" s="175">
        <v>145000</v>
      </c>
      <c r="E45" s="175"/>
      <c r="F45" s="67">
        <f t="shared" si="0"/>
        <v>145000</v>
      </c>
      <c r="G45" s="67">
        <v>144000</v>
      </c>
      <c r="H45" s="67">
        <f t="shared" si="1"/>
        <v>1000</v>
      </c>
      <c r="I45" s="68">
        <v>5</v>
      </c>
      <c r="J45" s="68">
        <v>0.2</v>
      </c>
      <c r="K45" s="68">
        <v>0</v>
      </c>
      <c r="L45" s="110"/>
      <c r="M45" s="67">
        <f t="shared" si="2"/>
        <v>144000</v>
      </c>
      <c r="N45" s="462">
        <f t="shared" si="3"/>
        <v>1000</v>
      </c>
      <c r="O45" s="111" t="s">
        <v>2419</v>
      </c>
      <c r="P45" s="111">
        <v>1</v>
      </c>
      <c r="Q45" s="327"/>
      <c r="R45" s="23">
        <f t="shared" si="11"/>
        <v>200</v>
      </c>
      <c r="S45" s="10">
        <f t="shared" si="4"/>
        <v>7250</v>
      </c>
      <c r="T45" s="10">
        <f t="shared" si="5"/>
        <v>-6250</v>
      </c>
      <c r="U45" s="10">
        <f t="shared" ref="U45:U55" si="13">N45-1000</f>
        <v>0</v>
      </c>
      <c r="V45" s="10">
        <f t="shared" si="6"/>
        <v>29000</v>
      </c>
      <c r="W45" s="10">
        <f t="shared" si="7"/>
        <v>0</v>
      </c>
      <c r="X45" s="10">
        <f t="shared" si="8"/>
        <v>0</v>
      </c>
    </row>
    <row r="46" spans="1:24" s="9" customFormat="1" ht="13.5" customHeight="1" x14ac:dyDescent="0.2">
      <c r="A46" s="64">
        <f t="shared" si="9"/>
        <v>42</v>
      </c>
      <c r="B46" s="109" t="s">
        <v>2420</v>
      </c>
      <c r="C46" s="66" t="s">
        <v>1247</v>
      </c>
      <c r="D46" s="175">
        <v>2727273</v>
      </c>
      <c r="E46" s="175"/>
      <c r="F46" s="67">
        <f t="shared" si="0"/>
        <v>2727273</v>
      </c>
      <c r="G46" s="67">
        <v>2726273</v>
      </c>
      <c r="H46" s="67">
        <f t="shared" si="1"/>
        <v>1000</v>
      </c>
      <c r="I46" s="68">
        <v>5</v>
      </c>
      <c r="J46" s="68">
        <v>0.2</v>
      </c>
      <c r="K46" s="68">
        <v>0</v>
      </c>
      <c r="L46" s="110"/>
      <c r="M46" s="67">
        <f t="shared" si="2"/>
        <v>2726273</v>
      </c>
      <c r="N46" s="462">
        <f t="shared" si="3"/>
        <v>1000</v>
      </c>
      <c r="O46" s="111" t="s">
        <v>2421</v>
      </c>
      <c r="P46" s="111">
        <v>2</v>
      </c>
      <c r="Q46" s="70"/>
      <c r="R46" s="23">
        <f t="shared" si="11"/>
        <v>200</v>
      </c>
      <c r="S46" s="10">
        <f t="shared" si="4"/>
        <v>136363.65</v>
      </c>
      <c r="T46" s="10">
        <f t="shared" si="5"/>
        <v>-135363.65</v>
      </c>
      <c r="U46" s="10">
        <f t="shared" si="13"/>
        <v>0</v>
      </c>
      <c r="V46" s="10">
        <f t="shared" si="6"/>
        <v>545454.6</v>
      </c>
      <c r="W46" s="10">
        <f t="shared" si="7"/>
        <v>0</v>
      </c>
      <c r="X46" s="10">
        <f t="shared" si="8"/>
        <v>0</v>
      </c>
    </row>
    <row r="47" spans="1:24" s="9" customFormat="1" ht="13.5" customHeight="1" x14ac:dyDescent="0.2">
      <c r="A47" s="64">
        <f t="shared" si="9"/>
        <v>43</v>
      </c>
      <c r="B47" s="109" t="s">
        <v>1957</v>
      </c>
      <c r="C47" s="66" t="s">
        <v>1954</v>
      </c>
      <c r="D47" s="175">
        <v>2181818</v>
      </c>
      <c r="E47" s="175"/>
      <c r="F47" s="67">
        <f t="shared" si="0"/>
        <v>2181818</v>
      </c>
      <c r="G47" s="67">
        <v>2180818</v>
      </c>
      <c r="H47" s="67">
        <f t="shared" si="1"/>
        <v>1000</v>
      </c>
      <c r="I47" s="68">
        <v>5</v>
      </c>
      <c r="J47" s="68">
        <v>0.2</v>
      </c>
      <c r="K47" s="68">
        <v>0</v>
      </c>
      <c r="L47" s="110"/>
      <c r="M47" s="67">
        <f t="shared" si="2"/>
        <v>2180818</v>
      </c>
      <c r="N47" s="462">
        <f t="shared" si="3"/>
        <v>1000</v>
      </c>
      <c r="O47" s="111" t="s">
        <v>2422</v>
      </c>
      <c r="P47" s="111">
        <v>1</v>
      </c>
      <c r="Q47" s="70"/>
      <c r="R47" s="23">
        <f t="shared" si="11"/>
        <v>200</v>
      </c>
      <c r="S47" s="10">
        <f t="shared" si="4"/>
        <v>109090.90000000001</v>
      </c>
      <c r="T47" s="10">
        <f t="shared" si="5"/>
        <v>-108090.90000000001</v>
      </c>
      <c r="U47" s="10">
        <f t="shared" si="13"/>
        <v>0</v>
      </c>
      <c r="V47" s="10">
        <f t="shared" si="6"/>
        <v>436363.6</v>
      </c>
      <c r="W47" s="10">
        <f t="shared" si="7"/>
        <v>0</v>
      </c>
      <c r="X47" s="10">
        <f t="shared" si="8"/>
        <v>0</v>
      </c>
    </row>
    <row r="48" spans="1:24" s="9" customFormat="1" ht="13.5" customHeight="1" x14ac:dyDescent="0.2">
      <c r="A48" s="64">
        <f t="shared" si="9"/>
        <v>44</v>
      </c>
      <c r="B48" s="109" t="s">
        <v>2423</v>
      </c>
      <c r="C48" s="66" t="s">
        <v>2424</v>
      </c>
      <c r="D48" s="175">
        <v>2000000</v>
      </c>
      <c r="E48" s="175"/>
      <c r="F48" s="67">
        <f t="shared" si="0"/>
        <v>2000000</v>
      </c>
      <c r="G48" s="67">
        <v>1999000</v>
      </c>
      <c r="H48" s="67">
        <f t="shared" si="1"/>
        <v>1000</v>
      </c>
      <c r="I48" s="68">
        <v>5</v>
      </c>
      <c r="J48" s="68">
        <v>0.2</v>
      </c>
      <c r="K48" s="68">
        <v>0</v>
      </c>
      <c r="L48" s="110"/>
      <c r="M48" s="67">
        <f t="shared" si="2"/>
        <v>1999000</v>
      </c>
      <c r="N48" s="462">
        <f t="shared" si="3"/>
        <v>1000</v>
      </c>
      <c r="O48" s="111" t="s">
        <v>2425</v>
      </c>
      <c r="P48" s="111">
        <v>2</v>
      </c>
      <c r="Q48" s="70"/>
      <c r="R48" s="23">
        <f t="shared" si="11"/>
        <v>200</v>
      </c>
      <c r="S48" s="10">
        <f t="shared" si="4"/>
        <v>100000</v>
      </c>
      <c r="T48" s="10">
        <f t="shared" si="5"/>
        <v>-99000</v>
      </c>
      <c r="U48" s="10">
        <f t="shared" si="13"/>
        <v>0</v>
      </c>
      <c r="V48" s="10">
        <f t="shared" si="6"/>
        <v>400000</v>
      </c>
      <c r="W48" s="10">
        <f t="shared" si="7"/>
        <v>0</v>
      </c>
      <c r="X48" s="10">
        <f t="shared" si="8"/>
        <v>0</v>
      </c>
    </row>
    <row r="49" spans="1:24" s="9" customFormat="1" ht="13.5" customHeight="1" x14ac:dyDescent="0.2">
      <c r="A49" s="64">
        <f t="shared" si="9"/>
        <v>45</v>
      </c>
      <c r="B49" s="109" t="s">
        <v>2426</v>
      </c>
      <c r="C49" s="66" t="s">
        <v>1735</v>
      </c>
      <c r="D49" s="175">
        <v>180000</v>
      </c>
      <c r="E49" s="175"/>
      <c r="F49" s="67">
        <f t="shared" si="0"/>
        <v>180000</v>
      </c>
      <c r="G49" s="67">
        <v>179000</v>
      </c>
      <c r="H49" s="67">
        <f t="shared" si="1"/>
        <v>1000</v>
      </c>
      <c r="I49" s="68">
        <v>5</v>
      </c>
      <c r="J49" s="68">
        <v>0.2</v>
      </c>
      <c r="K49" s="68">
        <v>0</v>
      </c>
      <c r="L49" s="110"/>
      <c r="M49" s="67">
        <f t="shared" si="2"/>
        <v>179000</v>
      </c>
      <c r="N49" s="462">
        <f t="shared" si="3"/>
        <v>1000</v>
      </c>
      <c r="O49" s="111" t="s">
        <v>1932</v>
      </c>
      <c r="P49" s="111">
        <v>2</v>
      </c>
      <c r="Q49" s="70"/>
      <c r="R49" s="23">
        <f t="shared" si="11"/>
        <v>200</v>
      </c>
      <c r="S49" s="10">
        <f t="shared" si="4"/>
        <v>9000</v>
      </c>
      <c r="T49" s="10">
        <f t="shared" si="5"/>
        <v>-8000</v>
      </c>
      <c r="U49" s="10">
        <f t="shared" si="13"/>
        <v>0</v>
      </c>
      <c r="V49" s="10">
        <f t="shared" si="6"/>
        <v>36000</v>
      </c>
      <c r="W49" s="10">
        <f t="shared" si="7"/>
        <v>0</v>
      </c>
      <c r="X49" s="10">
        <f t="shared" si="8"/>
        <v>0</v>
      </c>
    </row>
    <row r="50" spans="1:24" s="9" customFormat="1" ht="13.5" customHeight="1" x14ac:dyDescent="0.2">
      <c r="A50" s="64">
        <f t="shared" si="9"/>
        <v>46</v>
      </c>
      <c r="B50" s="109" t="s">
        <v>1873</v>
      </c>
      <c r="C50" s="66" t="s">
        <v>1735</v>
      </c>
      <c r="D50" s="175">
        <v>90000</v>
      </c>
      <c r="E50" s="175"/>
      <c r="F50" s="67">
        <f t="shared" si="0"/>
        <v>90000</v>
      </c>
      <c r="G50" s="67">
        <v>89000</v>
      </c>
      <c r="H50" s="67">
        <f t="shared" si="1"/>
        <v>1000</v>
      </c>
      <c r="I50" s="68">
        <v>5</v>
      </c>
      <c r="J50" s="68">
        <v>0.2</v>
      </c>
      <c r="K50" s="68">
        <v>0</v>
      </c>
      <c r="L50" s="110"/>
      <c r="M50" s="67">
        <f t="shared" si="2"/>
        <v>89000</v>
      </c>
      <c r="N50" s="462">
        <f t="shared" si="3"/>
        <v>1000</v>
      </c>
      <c r="O50" s="111" t="s">
        <v>2410</v>
      </c>
      <c r="P50" s="111">
        <v>2</v>
      </c>
      <c r="Q50" s="70"/>
      <c r="R50" s="23">
        <f t="shared" si="11"/>
        <v>200</v>
      </c>
      <c r="S50" s="10">
        <f t="shared" si="4"/>
        <v>4500</v>
      </c>
      <c r="T50" s="10">
        <f t="shared" si="5"/>
        <v>-3500</v>
      </c>
      <c r="U50" s="10">
        <f t="shared" si="13"/>
        <v>0</v>
      </c>
      <c r="V50" s="10">
        <f t="shared" si="6"/>
        <v>18000</v>
      </c>
      <c r="W50" s="10">
        <f t="shared" si="7"/>
        <v>0</v>
      </c>
      <c r="X50" s="10">
        <f t="shared" si="8"/>
        <v>0</v>
      </c>
    </row>
    <row r="51" spans="1:24" s="9" customFormat="1" ht="13.5" customHeight="1" x14ac:dyDescent="0.2">
      <c r="A51" s="64">
        <f t="shared" si="9"/>
        <v>47</v>
      </c>
      <c r="B51" s="109" t="s">
        <v>1855</v>
      </c>
      <c r="C51" s="66" t="s">
        <v>1735</v>
      </c>
      <c r="D51" s="175">
        <v>100000</v>
      </c>
      <c r="E51" s="175"/>
      <c r="F51" s="67">
        <f t="shared" si="0"/>
        <v>100000</v>
      </c>
      <c r="G51" s="67">
        <v>99000</v>
      </c>
      <c r="H51" s="67">
        <f t="shared" si="1"/>
        <v>1000</v>
      </c>
      <c r="I51" s="68">
        <v>5</v>
      </c>
      <c r="J51" s="68">
        <v>0.2</v>
      </c>
      <c r="K51" s="68">
        <v>0</v>
      </c>
      <c r="L51" s="110"/>
      <c r="M51" s="67">
        <f t="shared" si="2"/>
        <v>99000</v>
      </c>
      <c r="N51" s="462">
        <f t="shared" si="3"/>
        <v>1000</v>
      </c>
      <c r="O51" s="111" t="s">
        <v>2427</v>
      </c>
      <c r="P51" s="111">
        <v>2</v>
      </c>
      <c r="Q51" s="70"/>
      <c r="R51" s="23">
        <f t="shared" si="11"/>
        <v>200</v>
      </c>
      <c r="S51" s="10">
        <f t="shared" si="4"/>
        <v>5000</v>
      </c>
      <c r="T51" s="10">
        <f t="shared" si="5"/>
        <v>-4000</v>
      </c>
      <c r="U51" s="10">
        <f t="shared" si="13"/>
        <v>0</v>
      </c>
      <c r="V51" s="10">
        <f t="shared" si="6"/>
        <v>20000</v>
      </c>
      <c r="W51" s="10">
        <f t="shared" si="7"/>
        <v>0</v>
      </c>
      <c r="X51" s="10">
        <f t="shared" si="8"/>
        <v>0</v>
      </c>
    </row>
    <row r="52" spans="1:24" s="9" customFormat="1" ht="13.5" customHeight="1" x14ac:dyDescent="0.2">
      <c r="A52" s="64">
        <f t="shared" si="9"/>
        <v>48</v>
      </c>
      <c r="B52" s="109" t="s">
        <v>1888</v>
      </c>
      <c r="C52" s="66" t="s">
        <v>2428</v>
      </c>
      <c r="D52" s="175">
        <v>4090909</v>
      </c>
      <c r="E52" s="175"/>
      <c r="F52" s="67">
        <f t="shared" si="0"/>
        <v>4090909</v>
      </c>
      <c r="G52" s="67">
        <v>4089909</v>
      </c>
      <c r="H52" s="67">
        <f t="shared" si="1"/>
        <v>1000</v>
      </c>
      <c r="I52" s="68">
        <v>5</v>
      </c>
      <c r="J52" s="68">
        <v>0.2</v>
      </c>
      <c r="K52" s="68">
        <v>0</v>
      </c>
      <c r="L52" s="110"/>
      <c r="M52" s="67">
        <f t="shared" si="2"/>
        <v>4089909</v>
      </c>
      <c r="N52" s="462">
        <f t="shared" si="3"/>
        <v>1000</v>
      </c>
      <c r="O52" s="111" t="s">
        <v>2429</v>
      </c>
      <c r="P52" s="111">
        <v>3</v>
      </c>
      <c r="Q52" s="70"/>
      <c r="R52" s="23">
        <f t="shared" si="11"/>
        <v>200</v>
      </c>
      <c r="S52" s="10">
        <f t="shared" si="4"/>
        <v>204545.45</v>
      </c>
      <c r="T52" s="10">
        <f t="shared" si="5"/>
        <v>-203545.45</v>
      </c>
      <c r="U52" s="10">
        <f t="shared" si="13"/>
        <v>0</v>
      </c>
      <c r="V52" s="10">
        <f t="shared" si="6"/>
        <v>818181.8</v>
      </c>
      <c r="W52" s="10">
        <f t="shared" si="7"/>
        <v>0</v>
      </c>
      <c r="X52" s="10">
        <f t="shared" si="8"/>
        <v>0</v>
      </c>
    </row>
    <row r="53" spans="1:24" s="9" customFormat="1" ht="13.5" customHeight="1" x14ac:dyDescent="0.2">
      <c r="A53" s="64">
        <f t="shared" si="9"/>
        <v>49</v>
      </c>
      <c r="B53" s="109" t="s">
        <v>2430</v>
      </c>
      <c r="C53" s="66" t="s">
        <v>1265</v>
      </c>
      <c r="D53" s="175">
        <v>60000</v>
      </c>
      <c r="E53" s="175"/>
      <c r="F53" s="67">
        <f t="shared" si="0"/>
        <v>60000</v>
      </c>
      <c r="G53" s="67">
        <v>59000</v>
      </c>
      <c r="H53" s="67">
        <f t="shared" si="1"/>
        <v>1000</v>
      </c>
      <c r="I53" s="68">
        <v>5</v>
      </c>
      <c r="J53" s="68">
        <v>0.2</v>
      </c>
      <c r="K53" s="68">
        <v>0</v>
      </c>
      <c r="L53" s="110"/>
      <c r="M53" s="67">
        <f t="shared" si="2"/>
        <v>59000</v>
      </c>
      <c r="N53" s="462">
        <f t="shared" si="3"/>
        <v>1000</v>
      </c>
      <c r="O53" s="111" t="s">
        <v>1882</v>
      </c>
      <c r="P53" s="111">
        <v>1</v>
      </c>
      <c r="Q53" s="70"/>
      <c r="R53" s="23">
        <f t="shared" si="11"/>
        <v>200</v>
      </c>
      <c r="S53" s="10">
        <f t="shared" si="4"/>
        <v>3000</v>
      </c>
      <c r="T53" s="10">
        <f t="shared" si="5"/>
        <v>-2000</v>
      </c>
      <c r="U53" s="10">
        <f t="shared" si="13"/>
        <v>0</v>
      </c>
      <c r="V53" s="10">
        <f t="shared" si="6"/>
        <v>12000</v>
      </c>
      <c r="W53" s="10">
        <f t="shared" si="7"/>
        <v>0</v>
      </c>
      <c r="X53" s="10">
        <f t="shared" si="8"/>
        <v>0</v>
      </c>
    </row>
    <row r="54" spans="1:24" s="9" customFormat="1" ht="13.5" customHeight="1" x14ac:dyDescent="0.2">
      <c r="A54" s="64">
        <f t="shared" si="9"/>
        <v>50</v>
      </c>
      <c r="B54" s="109" t="s">
        <v>2431</v>
      </c>
      <c r="C54" s="66" t="s">
        <v>1265</v>
      </c>
      <c r="D54" s="175">
        <v>80000</v>
      </c>
      <c r="E54" s="175"/>
      <c r="F54" s="67">
        <f t="shared" si="0"/>
        <v>80000</v>
      </c>
      <c r="G54" s="67">
        <v>79000</v>
      </c>
      <c r="H54" s="67">
        <f t="shared" si="1"/>
        <v>1000</v>
      </c>
      <c r="I54" s="68">
        <v>5</v>
      </c>
      <c r="J54" s="68">
        <v>0.2</v>
      </c>
      <c r="K54" s="68">
        <v>0</v>
      </c>
      <c r="L54" s="110"/>
      <c r="M54" s="67">
        <f t="shared" si="2"/>
        <v>79000</v>
      </c>
      <c r="N54" s="462">
        <f t="shared" si="3"/>
        <v>1000</v>
      </c>
      <c r="O54" s="111" t="s">
        <v>2432</v>
      </c>
      <c r="P54" s="111">
        <v>2</v>
      </c>
      <c r="Q54" s="70"/>
      <c r="R54" s="23">
        <f t="shared" si="11"/>
        <v>200</v>
      </c>
      <c r="S54" s="10">
        <f t="shared" si="4"/>
        <v>4000</v>
      </c>
      <c r="T54" s="10">
        <f t="shared" si="5"/>
        <v>-3000</v>
      </c>
      <c r="U54" s="10">
        <f t="shared" si="13"/>
        <v>0</v>
      </c>
      <c r="V54" s="10">
        <f t="shared" si="6"/>
        <v>16000</v>
      </c>
      <c r="W54" s="10">
        <f t="shared" si="7"/>
        <v>0</v>
      </c>
      <c r="X54" s="10">
        <f t="shared" si="8"/>
        <v>0</v>
      </c>
    </row>
    <row r="55" spans="1:24" s="9" customFormat="1" ht="13.5" customHeight="1" x14ac:dyDescent="0.2">
      <c r="A55" s="64">
        <f t="shared" si="9"/>
        <v>51</v>
      </c>
      <c r="B55" s="109" t="s">
        <v>1873</v>
      </c>
      <c r="C55" s="66" t="s">
        <v>1265</v>
      </c>
      <c r="D55" s="175">
        <v>192000</v>
      </c>
      <c r="E55" s="175"/>
      <c r="F55" s="67">
        <f t="shared" si="0"/>
        <v>192000</v>
      </c>
      <c r="G55" s="67">
        <v>191000</v>
      </c>
      <c r="H55" s="67">
        <f t="shared" si="1"/>
        <v>1000</v>
      </c>
      <c r="I55" s="68">
        <v>5</v>
      </c>
      <c r="J55" s="68">
        <v>0.2</v>
      </c>
      <c r="K55" s="68">
        <v>0</v>
      </c>
      <c r="L55" s="110"/>
      <c r="M55" s="67">
        <f t="shared" si="2"/>
        <v>191000</v>
      </c>
      <c r="N55" s="462">
        <f t="shared" si="3"/>
        <v>1000</v>
      </c>
      <c r="O55" s="111" t="s">
        <v>1882</v>
      </c>
      <c r="P55" s="111">
        <v>6</v>
      </c>
      <c r="Q55" s="70"/>
      <c r="R55" s="23">
        <f t="shared" si="11"/>
        <v>200</v>
      </c>
      <c r="S55" s="10">
        <f t="shared" si="4"/>
        <v>9600</v>
      </c>
      <c r="T55" s="10">
        <f t="shared" si="5"/>
        <v>-8600</v>
      </c>
      <c r="U55" s="10">
        <f t="shared" si="13"/>
        <v>0</v>
      </c>
      <c r="V55" s="10">
        <f t="shared" si="6"/>
        <v>38400</v>
      </c>
      <c r="W55" s="10">
        <f t="shared" si="7"/>
        <v>0</v>
      </c>
      <c r="X55" s="10">
        <f t="shared" si="8"/>
        <v>0</v>
      </c>
    </row>
    <row r="56" spans="1:24" s="9" customFormat="1" ht="13.5" customHeight="1" x14ac:dyDescent="0.2">
      <c r="A56" s="292">
        <f t="shared" si="9"/>
        <v>52</v>
      </c>
      <c r="B56" s="558" t="s">
        <v>1976</v>
      </c>
      <c r="C56" s="329" t="s">
        <v>729</v>
      </c>
      <c r="D56" s="310">
        <v>0</v>
      </c>
      <c r="E56" s="310"/>
      <c r="F56" s="295">
        <f t="shared" si="0"/>
        <v>0</v>
      </c>
      <c r="G56" s="295">
        <v>0</v>
      </c>
      <c r="H56" s="295">
        <f t="shared" si="1"/>
        <v>0</v>
      </c>
      <c r="I56" s="296">
        <v>5</v>
      </c>
      <c r="J56" s="296">
        <v>0.2</v>
      </c>
      <c r="K56" s="296">
        <v>0</v>
      </c>
      <c r="L56" s="287"/>
      <c r="M56" s="295">
        <f t="shared" si="2"/>
        <v>0</v>
      </c>
      <c r="N56" s="468">
        <f t="shared" si="3"/>
        <v>0</v>
      </c>
      <c r="O56" s="297" t="s">
        <v>2014</v>
      </c>
      <c r="P56" s="297"/>
      <c r="Q56" s="298"/>
      <c r="R56" s="23">
        <f t="shared" si="11"/>
        <v>0</v>
      </c>
      <c r="S56" s="10">
        <f t="shared" si="4"/>
        <v>0</v>
      </c>
      <c r="T56" s="10">
        <f t="shared" si="5"/>
        <v>0</v>
      </c>
      <c r="U56" s="10"/>
      <c r="V56" s="10">
        <f t="shared" si="6"/>
        <v>0</v>
      </c>
      <c r="W56" s="10">
        <f t="shared" si="7"/>
        <v>0</v>
      </c>
      <c r="X56" s="10">
        <f t="shared" si="8"/>
        <v>0</v>
      </c>
    </row>
    <row r="57" spans="1:24" s="9" customFormat="1" ht="13.5" customHeight="1" x14ac:dyDescent="0.2">
      <c r="A57" s="64">
        <f t="shared" si="9"/>
        <v>53</v>
      </c>
      <c r="B57" s="109" t="s">
        <v>2433</v>
      </c>
      <c r="C57" s="66" t="s">
        <v>2434</v>
      </c>
      <c r="D57" s="175">
        <v>5600000</v>
      </c>
      <c r="E57" s="175"/>
      <c r="F57" s="67">
        <f t="shared" si="0"/>
        <v>5600000</v>
      </c>
      <c r="G57" s="67">
        <v>5599000</v>
      </c>
      <c r="H57" s="67">
        <f t="shared" si="1"/>
        <v>1000</v>
      </c>
      <c r="I57" s="68">
        <v>5</v>
      </c>
      <c r="J57" s="68">
        <v>0.2</v>
      </c>
      <c r="K57" s="68">
        <v>0</v>
      </c>
      <c r="L57" s="110"/>
      <c r="M57" s="67">
        <f t="shared" si="2"/>
        <v>5599000</v>
      </c>
      <c r="N57" s="462">
        <f t="shared" si="3"/>
        <v>1000</v>
      </c>
      <c r="O57" s="111" t="s">
        <v>2435</v>
      </c>
      <c r="P57" s="111">
        <v>2</v>
      </c>
      <c r="Q57" s="70"/>
      <c r="R57" s="23">
        <f t="shared" si="11"/>
        <v>200</v>
      </c>
      <c r="S57" s="10">
        <f t="shared" si="4"/>
        <v>280000</v>
      </c>
      <c r="T57" s="10">
        <f t="shared" si="5"/>
        <v>-279000</v>
      </c>
      <c r="U57" s="10">
        <f t="shared" ref="U57:U102" si="14">N57-1000</f>
        <v>0</v>
      </c>
      <c r="V57" s="10">
        <f t="shared" si="6"/>
        <v>1120000</v>
      </c>
      <c r="W57" s="10">
        <f t="shared" si="7"/>
        <v>0</v>
      </c>
      <c r="X57" s="10">
        <f t="shared" si="8"/>
        <v>0</v>
      </c>
    </row>
    <row r="58" spans="1:24" s="9" customFormat="1" ht="13.5" customHeight="1" x14ac:dyDescent="0.2">
      <c r="A58" s="64">
        <f t="shared" si="9"/>
        <v>54</v>
      </c>
      <c r="B58" s="109" t="s">
        <v>2436</v>
      </c>
      <c r="C58" s="66" t="s">
        <v>2437</v>
      </c>
      <c r="D58" s="175">
        <v>330000</v>
      </c>
      <c r="E58" s="175"/>
      <c r="F58" s="67">
        <f t="shared" si="0"/>
        <v>330000</v>
      </c>
      <c r="G58" s="67">
        <v>329000</v>
      </c>
      <c r="H58" s="67">
        <f t="shared" si="1"/>
        <v>1000</v>
      </c>
      <c r="I58" s="68">
        <v>5</v>
      </c>
      <c r="J58" s="68">
        <v>0.2</v>
      </c>
      <c r="K58" s="68">
        <v>0</v>
      </c>
      <c r="L58" s="110"/>
      <c r="M58" s="67">
        <f t="shared" si="2"/>
        <v>329000</v>
      </c>
      <c r="N58" s="462">
        <f t="shared" si="3"/>
        <v>1000</v>
      </c>
      <c r="O58" s="111" t="s">
        <v>1989</v>
      </c>
      <c r="P58" s="111">
        <v>2</v>
      </c>
      <c r="Q58" s="70"/>
      <c r="R58" s="23">
        <f t="shared" si="11"/>
        <v>200</v>
      </c>
      <c r="S58" s="10">
        <f t="shared" si="4"/>
        <v>16500</v>
      </c>
      <c r="T58" s="10">
        <f t="shared" si="5"/>
        <v>-15500</v>
      </c>
      <c r="U58" s="10">
        <f t="shared" si="14"/>
        <v>0</v>
      </c>
      <c r="V58" s="10">
        <f t="shared" si="6"/>
        <v>66000</v>
      </c>
      <c r="W58" s="10">
        <f t="shared" si="7"/>
        <v>0</v>
      </c>
      <c r="X58" s="10">
        <f t="shared" si="8"/>
        <v>0</v>
      </c>
    </row>
    <row r="59" spans="1:24" s="9" customFormat="1" ht="13.5" customHeight="1" x14ac:dyDescent="0.2">
      <c r="A59" s="64">
        <f t="shared" si="9"/>
        <v>55</v>
      </c>
      <c r="B59" s="109" t="s">
        <v>2438</v>
      </c>
      <c r="C59" s="66" t="s">
        <v>739</v>
      </c>
      <c r="D59" s="175">
        <v>270000</v>
      </c>
      <c r="E59" s="175"/>
      <c r="F59" s="67">
        <f t="shared" si="0"/>
        <v>270000</v>
      </c>
      <c r="G59" s="67">
        <v>269000</v>
      </c>
      <c r="H59" s="67">
        <f t="shared" si="1"/>
        <v>1000</v>
      </c>
      <c r="I59" s="68">
        <v>5</v>
      </c>
      <c r="J59" s="68">
        <v>0.2</v>
      </c>
      <c r="K59" s="68">
        <v>0</v>
      </c>
      <c r="L59" s="110"/>
      <c r="M59" s="67">
        <f t="shared" si="2"/>
        <v>269000</v>
      </c>
      <c r="N59" s="462">
        <f t="shared" si="3"/>
        <v>1000</v>
      </c>
      <c r="O59" s="111" t="s">
        <v>2427</v>
      </c>
      <c r="P59" s="111">
        <v>3</v>
      </c>
      <c r="Q59" s="70"/>
      <c r="R59" s="23">
        <f t="shared" si="11"/>
        <v>200</v>
      </c>
      <c r="S59" s="10">
        <f t="shared" si="4"/>
        <v>13500</v>
      </c>
      <c r="T59" s="10">
        <f t="shared" si="5"/>
        <v>-12500</v>
      </c>
      <c r="U59" s="10">
        <f t="shared" si="14"/>
        <v>0</v>
      </c>
      <c r="V59" s="10">
        <f t="shared" si="6"/>
        <v>54000</v>
      </c>
      <c r="W59" s="10">
        <f t="shared" si="7"/>
        <v>0</v>
      </c>
      <c r="X59" s="10">
        <f t="shared" si="8"/>
        <v>0</v>
      </c>
    </row>
    <row r="60" spans="1:24" s="9" customFormat="1" ht="13.5" customHeight="1" x14ac:dyDescent="0.2">
      <c r="A60" s="64">
        <f t="shared" si="9"/>
        <v>56</v>
      </c>
      <c r="B60" s="109" t="s">
        <v>2439</v>
      </c>
      <c r="C60" s="66" t="s">
        <v>739</v>
      </c>
      <c r="D60" s="175">
        <v>80000</v>
      </c>
      <c r="E60" s="175"/>
      <c r="F60" s="67">
        <f t="shared" si="0"/>
        <v>80000</v>
      </c>
      <c r="G60" s="67">
        <v>79000</v>
      </c>
      <c r="H60" s="67">
        <f t="shared" si="1"/>
        <v>1000</v>
      </c>
      <c r="I60" s="68">
        <v>5</v>
      </c>
      <c r="J60" s="68">
        <v>0.2</v>
      </c>
      <c r="K60" s="68">
        <v>0</v>
      </c>
      <c r="L60" s="110"/>
      <c r="M60" s="67">
        <f t="shared" si="2"/>
        <v>79000</v>
      </c>
      <c r="N60" s="462">
        <f t="shared" si="3"/>
        <v>1000</v>
      </c>
      <c r="O60" s="111" t="s">
        <v>1932</v>
      </c>
      <c r="P60" s="111">
        <v>1</v>
      </c>
      <c r="Q60" s="70"/>
      <c r="R60" s="23">
        <f t="shared" si="11"/>
        <v>200</v>
      </c>
      <c r="S60" s="10">
        <f t="shared" si="4"/>
        <v>4000</v>
      </c>
      <c r="T60" s="10">
        <f t="shared" si="5"/>
        <v>-3000</v>
      </c>
      <c r="U60" s="10">
        <f t="shared" si="14"/>
        <v>0</v>
      </c>
      <c r="V60" s="10">
        <f t="shared" si="6"/>
        <v>16000</v>
      </c>
      <c r="W60" s="10">
        <f t="shared" si="7"/>
        <v>0</v>
      </c>
      <c r="X60" s="10">
        <f t="shared" si="8"/>
        <v>0</v>
      </c>
    </row>
    <row r="61" spans="1:24" s="9" customFormat="1" ht="13.5" customHeight="1" x14ac:dyDescent="0.2">
      <c r="A61" s="64">
        <f t="shared" si="9"/>
        <v>57</v>
      </c>
      <c r="B61" s="109" t="s">
        <v>1855</v>
      </c>
      <c r="C61" s="66" t="s">
        <v>739</v>
      </c>
      <c r="D61" s="175">
        <v>50000</v>
      </c>
      <c r="E61" s="175"/>
      <c r="F61" s="67">
        <f t="shared" si="0"/>
        <v>50000</v>
      </c>
      <c r="G61" s="67">
        <v>49000</v>
      </c>
      <c r="H61" s="67">
        <f t="shared" si="1"/>
        <v>1000</v>
      </c>
      <c r="I61" s="68">
        <v>5</v>
      </c>
      <c r="J61" s="68">
        <v>0.2</v>
      </c>
      <c r="K61" s="68">
        <v>0</v>
      </c>
      <c r="L61" s="110"/>
      <c r="M61" s="67">
        <f t="shared" si="2"/>
        <v>49000</v>
      </c>
      <c r="N61" s="462">
        <f t="shared" si="3"/>
        <v>1000</v>
      </c>
      <c r="O61" s="111" t="s">
        <v>2427</v>
      </c>
      <c r="P61" s="111">
        <v>1</v>
      </c>
      <c r="Q61" s="70"/>
      <c r="R61" s="23">
        <f t="shared" si="11"/>
        <v>200</v>
      </c>
      <c r="S61" s="10">
        <f t="shared" si="4"/>
        <v>2500</v>
      </c>
      <c r="T61" s="10">
        <f t="shared" si="5"/>
        <v>-1500</v>
      </c>
      <c r="U61" s="10">
        <f t="shared" si="14"/>
        <v>0</v>
      </c>
      <c r="V61" s="10">
        <f t="shared" si="6"/>
        <v>10000</v>
      </c>
      <c r="W61" s="10">
        <f t="shared" si="7"/>
        <v>0</v>
      </c>
      <c r="X61" s="10">
        <f t="shared" si="8"/>
        <v>0</v>
      </c>
    </row>
    <row r="62" spans="1:24" s="9" customFormat="1" ht="13.5" customHeight="1" x14ac:dyDescent="0.2">
      <c r="A62" s="64">
        <f t="shared" si="9"/>
        <v>58</v>
      </c>
      <c r="B62" s="109" t="s">
        <v>2440</v>
      </c>
      <c r="C62" s="66" t="s">
        <v>739</v>
      </c>
      <c r="D62" s="175">
        <v>230000</v>
      </c>
      <c r="E62" s="175"/>
      <c r="F62" s="67">
        <f t="shared" si="0"/>
        <v>230000</v>
      </c>
      <c r="G62" s="67">
        <v>229000</v>
      </c>
      <c r="H62" s="67">
        <f t="shared" si="1"/>
        <v>1000</v>
      </c>
      <c r="I62" s="68">
        <v>5</v>
      </c>
      <c r="J62" s="68">
        <v>0.2</v>
      </c>
      <c r="K62" s="68">
        <v>0</v>
      </c>
      <c r="L62" s="110"/>
      <c r="M62" s="67">
        <f t="shared" si="2"/>
        <v>229000</v>
      </c>
      <c r="N62" s="462">
        <f t="shared" si="3"/>
        <v>1000</v>
      </c>
      <c r="O62" s="111" t="s">
        <v>1932</v>
      </c>
      <c r="P62" s="111">
        <v>1</v>
      </c>
      <c r="Q62" s="70"/>
      <c r="R62" s="23">
        <f t="shared" si="11"/>
        <v>200</v>
      </c>
      <c r="S62" s="10">
        <f t="shared" si="4"/>
        <v>11500</v>
      </c>
      <c r="T62" s="10">
        <f t="shared" si="5"/>
        <v>-10500</v>
      </c>
      <c r="U62" s="10">
        <f t="shared" si="14"/>
        <v>0</v>
      </c>
      <c r="V62" s="10">
        <f t="shared" si="6"/>
        <v>46000</v>
      </c>
      <c r="W62" s="10">
        <f t="shared" si="7"/>
        <v>0</v>
      </c>
      <c r="X62" s="10">
        <f t="shared" si="8"/>
        <v>0</v>
      </c>
    </row>
    <row r="63" spans="1:24" s="9" customFormat="1" ht="13.5" customHeight="1" x14ac:dyDescent="0.2">
      <c r="A63" s="64">
        <f t="shared" si="9"/>
        <v>59</v>
      </c>
      <c r="B63" s="109" t="s">
        <v>2441</v>
      </c>
      <c r="C63" s="66" t="s">
        <v>739</v>
      </c>
      <c r="D63" s="175">
        <v>45000</v>
      </c>
      <c r="E63" s="175"/>
      <c r="F63" s="67">
        <f t="shared" si="0"/>
        <v>45000</v>
      </c>
      <c r="G63" s="67">
        <v>44000</v>
      </c>
      <c r="H63" s="67">
        <f t="shared" si="1"/>
        <v>1000</v>
      </c>
      <c r="I63" s="68">
        <v>5</v>
      </c>
      <c r="J63" s="68">
        <v>0.2</v>
      </c>
      <c r="K63" s="68">
        <v>0</v>
      </c>
      <c r="L63" s="110"/>
      <c r="M63" s="67">
        <f t="shared" si="2"/>
        <v>44000</v>
      </c>
      <c r="N63" s="462">
        <f t="shared" si="3"/>
        <v>1000</v>
      </c>
      <c r="O63" s="111" t="s">
        <v>1932</v>
      </c>
      <c r="P63" s="111">
        <v>1</v>
      </c>
      <c r="Q63" s="70"/>
      <c r="R63" s="23">
        <f t="shared" si="11"/>
        <v>200</v>
      </c>
      <c r="S63" s="10">
        <f t="shared" si="4"/>
        <v>2250</v>
      </c>
      <c r="T63" s="10">
        <f t="shared" si="5"/>
        <v>-1250</v>
      </c>
      <c r="U63" s="10">
        <f t="shared" si="14"/>
        <v>0</v>
      </c>
      <c r="V63" s="10">
        <f t="shared" si="6"/>
        <v>9000</v>
      </c>
      <c r="W63" s="10">
        <f t="shared" si="7"/>
        <v>0</v>
      </c>
      <c r="X63" s="10">
        <f t="shared" si="8"/>
        <v>0</v>
      </c>
    </row>
    <row r="64" spans="1:24" s="9" customFormat="1" ht="13.5" customHeight="1" x14ac:dyDescent="0.2">
      <c r="A64" s="64">
        <f t="shared" si="9"/>
        <v>60</v>
      </c>
      <c r="B64" s="109" t="s">
        <v>2442</v>
      </c>
      <c r="C64" s="66" t="s">
        <v>739</v>
      </c>
      <c r="D64" s="175">
        <v>150000</v>
      </c>
      <c r="E64" s="175"/>
      <c r="F64" s="67">
        <f t="shared" si="0"/>
        <v>150000</v>
      </c>
      <c r="G64" s="67">
        <v>149000</v>
      </c>
      <c r="H64" s="67">
        <f t="shared" si="1"/>
        <v>1000</v>
      </c>
      <c r="I64" s="68">
        <v>5</v>
      </c>
      <c r="J64" s="68">
        <v>0.2</v>
      </c>
      <c r="K64" s="68">
        <v>0</v>
      </c>
      <c r="L64" s="110"/>
      <c r="M64" s="67">
        <f t="shared" si="2"/>
        <v>149000</v>
      </c>
      <c r="N64" s="462">
        <f t="shared" si="3"/>
        <v>1000</v>
      </c>
      <c r="O64" s="111" t="s">
        <v>1932</v>
      </c>
      <c r="P64" s="111">
        <v>2</v>
      </c>
      <c r="Q64" s="70"/>
      <c r="R64" s="23">
        <f t="shared" si="11"/>
        <v>200</v>
      </c>
      <c r="S64" s="10">
        <f t="shared" si="4"/>
        <v>7500</v>
      </c>
      <c r="T64" s="10">
        <f t="shared" si="5"/>
        <v>-6500</v>
      </c>
      <c r="U64" s="10">
        <f t="shared" si="14"/>
        <v>0</v>
      </c>
      <c r="V64" s="10">
        <f t="shared" si="6"/>
        <v>30000</v>
      </c>
      <c r="W64" s="10">
        <f t="shared" si="7"/>
        <v>0</v>
      </c>
      <c r="X64" s="10">
        <f t="shared" si="8"/>
        <v>0</v>
      </c>
    </row>
    <row r="65" spans="1:24" s="9" customFormat="1" ht="13.5" customHeight="1" x14ac:dyDescent="0.2">
      <c r="A65" s="64">
        <f t="shared" si="9"/>
        <v>61</v>
      </c>
      <c r="B65" s="109" t="s">
        <v>1891</v>
      </c>
      <c r="C65" s="66" t="s">
        <v>739</v>
      </c>
      <c r="D65" s="175">
        <v>84000</v>
      </c>
      <c r="E65" s="175"/>
      <c r="F65" s="67">
        <f t="shared" si="0"/>
        <v>84000</v>
      </c>
      <c r="G65" s="67">
        <v>83000</v>
      </c>
      <c r="H65" s="67">
        <f t="shared" si="1"/>
        <v>1000</v>
      </c>
      <c r="I65" s="68">
        <v>5</v>
      </c>
      <c r="J65" s="68">
        <v>0.2</v>
      </c>
      <c r="K65" s="68">
        <v>0</v>
      </c>
      <c r="L65" s="110"/>
      <c r="M65" s="67">
        <f t="shared" si="2"/>
        <v>83000</v>
      </c>
      <c r="N65" s="462">
        <f t="shared" si="3"/>
        <v>1000</v>
      </c>
      <c r="O65" s="111" t="s">
        <v>1932</v>
      </c>
      <c r="P65" s="111">
        <v>3</v>
      </c>
      <c r="Q65" s="70"/>
      <c r="R65" s="23">
        <f t="shared" si="11"/>
        <v>200</v>
      </c>
      <c r="S65" s="10">
        <f t="shared" si="4"/>
        <v>4200</v>
      </c>
      <c r="T65" s="10">
        <f t="shared" si="5"/>
        <v>-3200</v>
      </c>
      <c r="U65" s="10">
        <f t="shared" si="14"/>
        <v>0</v>
      </c>
      <c r="V65" s="10">
        <f t="shared" si="6"/>
        <v>16800</v>
      </c>
      <c r="W65" s="10">
        <f t="shared" si="7"/>
        <v>0</v>
      </c>
      <c r="X65" s="10">
        <f t="shared" si="8"/>
        <v>0</v>
      </c>
    </row>
    <row r="66" spans="1:24" s="9" customFormat="1" ht="13.5" customHeight="1" x14ac:dyDescent="0.2">
      <c r="A66" s="64">
        <f t="shared" si="9"/>
        <v>62</v>
      </c>
      <c r="B66" s="109" t="s">
        <v>2443</v>
      </c>
      <c r="C66" s="66" t="s">
        <v>739</v>
      </c>
      <c r="D66" s="175">
        <v>60000</v>
      </c>
      <c r="E66" s="175"/>
      <c r="F66" s="67">
        <f t="shared" si="0"/>
        <v>60000</v>
      </c>
      <c r="G66" s="67">
        <v>59000</v>
      </c>
      <c r="H66" s="67">
        <f t="shared" si="1"/>
        <v>1000</v>
      </c>
      <c r="I66" s="68">
        <v>5</v>
      </c>
      <c r="J66" s="68">
        <v>0.2</v>
      </c>
      <c r="K66" s="68">
        <v>0</v>
      </c>
      <c r="L66" s="110"/>
      <c r="M66" s="67">
        <f t="shared" si="2"/>
        <v>59000</v>
      </c>
      <c r="N66" s="462">
        <f t="shared" si="3"/>
        <v>1000</v>
      </c>
      <c r="O66" s="111" t="s">
        <v>1932</v>
      </c>
      <c r="P66" s="111">
        <v>1</v>
      </c>
      <c r="Q66" s="70"/>
      <c r="R66" s="23">
        <f t="shared" si="11"/>
        <v>200</v>
      </c>
      <c r="S66" s="10">
        <f t="shared" si="4"/>
        <v>3000</v>
      </c>
      <c r="T66" s="10">
        <f t="shared" si="5"/>
        <v>-2000</v>
      </c>
      <c r="U66" s="10">
        <f t="shared" si="14"/>
        <v>0</v>
      </c>
      <c r="V66" s="10">
        <f t="shared" si="6"/>
        <v>12000</v>
      </c>
      <c r="W66" s="10">
        <f t="shared" si="7"/>
        <v>0</v>
      </c>
      <c r="X66" s="10">
        <f t="shared" si="8"/>
        <v>0</v>
      </c>
    </row>
    <row r="67" spans="1:24" s="9" customFormat="1" ht="13.5" customHeight="1" x14ac:dyDescent="0.2">
      <c r="A67" s="64">
        <f t="shared" si="9"/>
        <v>63</v>
      </c>
      <c r="B67" s="109" t="s">
        <v>2444</v>
      </c>
      <c r="C67" s="66" t="s">
        <v>739</v>
      </c>
      <c r="D67" s="175">
        <v>120000</v>
      </c>
      <c r="E67" s="175"/>
      <c r="F67" s="67">
        <f t="shared" si="0"/>
        <v>120000</v>
      </c>
      <c r="G67" s="67">
        <v>119000</v>
      </c>
      <c r="H67" s="67">
        <f t="shared" si="1"/>
        <v>1000</v>
      </c>
      <c r="I67" s="68">
        <v>5</v>
      </c>
      <c r="J67" s="68">
        <v>0.2</v>
      </c>
      <c r="K67" s="68">
        <v>0</v>
      </c>
      <c r="L67" s="110"/>
      <c r="M67" s="67">
        <f t="shared" si="2"/>
        <v>119000</v>
      </c>
      <c r="N67" s="462">
        <f t="shared" si="3"/>
        <v>1000</v>
      </c>
      <c r="O67" s="111" t="s">
        <v>2427</v>
      </c>
      <c r="P67" s="111">
        <v>1</v>
      </c>
      <c r="Q67" s="70"/>
      <c r="R67" s="23">
        <f t="shared" si="11"/>
        <v>200</v>
      </c>
      <c r="S67" s="10">
        <f t="shared" si="4"/>
        <v>6000</v>
      </c>
      <c r="T67" s="10">
        <f t="shared" si="5"/>
        <v>-5000</v>
      </c>
      <c r="U67" s="10">
        <f t="shared" si="14"/>
        <v>0</v>
      </c>
      <c r="V67" s="10">
        <f t="shared" si="6"/>
        <v>24000</v>
      </c>
      <c r="W67" s="10">
        <f t="shared" si="7"/>
        <v>0</v>
      </c>
      <c r="X67" s="10">
        <f t="shared" si="8"/>
        <v>0</v>
      </c>
    </row>
    <row r="68" spans="1:24" s="9" customFormat="1" ht="13.5" customHeight="1" x14ac:dyDescent="0.2">
      <c r="A68" s="64">
        <f t="shared" si="9"/>
        <v>64</v>
      </c>
      <c r="B68" s="109" t="s">
        <v>2445</v>
      </c>
      <c r="C68" s="66" t="s">
        <v>739</v>
      </c>
      <c r="D68" s="175">
        <v>480000</v>
      </c>
      <c r="E68" s="175"/>
      <c r="F68" s="67">
        <f t="shared" si="0"/>
        <v>480000</v>
      </c>
      <c r="G68" s="67">
        <v>479000</v>
      </c>
      <c r="H68" s="67">
        <f t="shared" si="1"/>
        <v>1000</v>
      </c>
      <c r="I68" s="68">
        <v>5</v>
      </c>
      <c r="J68" s="68">
        <v>0.2</v>
      </c>
      <c r="K68" s="68">
        <v>0</v>
      </c>
      <c r="L68" s="110"/>
      <c r="M68" s="67">
        <f t="shared" si="2"/>
        <v>479000</v>
      </c>
      <c r="N68" s="462">
        <f t="shared" si="3"/>
        <v>1000</v>
      </c>
      <c r="O68" s="111" t="s">
        <v>2427</v>
      </c>
      <c r="P68" s="111">
        <v>4</v>
      </c>
      <c r="Q68" s="70"/>
      <c r="R68" s="23">
        <f t="shared" si="11"/>
        <v>200</v>
      </c>
      <c r="S68" s="10">
        <f t="shared" si="4"/>
        <v>24000</v>
      </c>
      <c r="T68" s="10">
        <f t="shared" si="5"/>
        <v>-23000</v>
      </c>
      <c r="U68" s="10">
        <f t="shared" si="14"/>
        <v>0</v>
      </c>
      <c r="V68" s="10">
        <f t="shared" si="6"/>
        <v>96000</v>
      </c>
      <c r="W68" s="10">
        <f t="shared" si="7"/>
        <v>0</v>
      </c>
      <c r="X68" s="10">
        <f t="shared" si="8"/>
        <v>0</v>
      </c>
    </row>
    <row r="69" spans="1:24" s="9" customFormat="1" ht="13.5" customHeight="1" x14ac:dyDescent="0.2">
      <c r="A69" s="64">
        <f t="shared" si="9"/>
        <v>65</v>
      </c>
      <c r="B69" s="109" t="s">
        <v>2446</v>
      </c>
      <c r="C69" s="66" t="s">
        <v>739</v>
      </c>
      <c r="D69" s="175">
        <v>200000</v>
      </c>
      <c r="E69" s="175"/>
      <c r="F69" s="67">
        <f t="shared" ref="F69:F132" si="15">+D69+E69</f>
        <v>200000</v>
      </c>
      <c r="G69" s="67">
        <v>199000</v>
      </c>
      <c r="H69" s="67">
        <f t="shared" ref="H69:H132" si="16">+F69-G69</f>
        <v>1000</v>
      </c>
      <c r="I69" s="68">
        <v>5</v>
      </c>
      <c r="J69" s="68">
        <v>0.2</v>
      </c>
      <c r="K69" s="68">
        <v>0</v>
      </c>
      <c r="L69" s="110"/>
      <c r="M69" s="67">
        <f t="shared" ref="M69:M132" si="17">+G69+L69</f>
        <v>199000</v>
      </c>
      <c r="N69" s="462">
        <f t="shared" ref="N69:N132" si="18">+F69-M69</f>
        <v>1000</v>
      </c>
      <c r="O69" s="111" t="s">
        <v>2427</v>
      </c>
      <c r="P69" s="111">
        <v>1</v>
      </c>
      <c r="Q69" s="70"/>
      <c r="R69" s="23">
        <f t="shared" si="11"/>
        <v>200</v>
      </c>
      <c r="S69" s="10">
        <f t="shared" ref="S69:S132" si="19">D69*0.05</f>
        <v>10000</v>
      </c>
      <c r="T69" s="10">
        <f t="shared" ref="T69:T132" si="20">N69-S69</f>
        <v>-9000</v>
      </c>
      <c r="U69" s="10">
        <f t="shared" si="14"/>
        <v>0</v>
      </c>
      <c r="V69" s="10">
        <f t="shared" ref="V69:V132" si="21">F69/I69</f>
        <v>40000</v>
      </c>
      <c r="W69" s="10">
        <f t="shared" ref="W69:W132" si="22">ROUND(IF(H69&lt;=1000,0,V69/12*3),0)</f>
        <v>0</v>
      </c>
      <c r="X69" s="10">
        <f t="shared" ref="X69:X132" si="23">L69-W69</f>
        <v>0</v>
      </c>
    </row>
    <row r="70" spans="1:24" s="9" customFormat="1" ht="13.5" customHeight="1" x14ac:dyDescent="0.2">
      <c r="A70" s="64">
        <f t="shared" ref="A70:A133" si="24">+A69+1</f>
        <v>66</v>
      </c>
      <c r="B70" s="109" t="s">
        <v>1956</v>
      </c>
      <c r="C70" s="66" t="s">
        <v>739</v>
      </c>
      <c r="D70" s="175">
        <v>405000</v>
      </c>
      <c r="E70" s="175"/>
      <c r="F70" s="67">
        <f t="shared" si="15"/>
        <v>405000</v>
      </c>
      <c r="G70" s="67">
        <v>404000</v>
      </c>
      <c r="H70" s="67">
        <f t="shared" si="16"/>
        <v>1000</v>
      </c>
      <c r="I70" s="68">
        <v>5</v>
      </c>
      <c r="J70" s="68">
        <v>0.2</v>
      </c>
      <c r="K70" s="68">
        <v>0</v>
      </c>
      <c r="L70" s="110"/>
      <c r="M70" s="67">
        <f t="shared" si="17"/>
        <v>404000</v>
      </c>
      <c r="N70" s="462">
        <f t="shared" si="18"/>
        <v>1000</v>
      </c>
      <c r="O70" s="111" t="s">
        <v>1932</v>
      </c>
      <c r="P70" s="111">
        <v>9</v>
      </c>
      <c r="Q70" s="70"/>
      <c r="R70" s="23">
        <f t="shared" si="11"/>
        <v>200</v>
      </c>
      <c r="S70" s="10">
        <f t="shared" si="19"/>
        <v>20250</v>
      </c>
      <c r="T70" s="10">
        <f t="shared" si="20"/>
        <v>-19250</v>
      </c>
      <c r="U70" s="10">
        <f t="shared" si="14"/>
        <v>0</v>
      </c>
      <c r="V70" s="10">
        <f t="shared" si="21"/>
        <v>81000</v>
      </c>
      <c r="W70" s="10">
        <f t="shared" si="22"/>
        <v>0</v>
      </c>
      <c r="X70" s="10">
        <f t="shared" si="23"/>
        <v>0</v>
      </c>
    </row>
    <row r="71" spans="1:24" s="9" customFormat="1" ht="13.5" customHeight="1" x14ac:dyDescent="0.2">
      <c r="A71" s="64">
        <f t="shared" si="24"/>
        <v>67</v>
      </c>
      <c r="B71" s="109" t="s">
        <v>2447</v>
      </c>
      <c r="C71" s="66" t="s">
        <v>739</v>
      </c>
      <c r="D71" s="175">
        <v>706000</v>
      </c>
      <c r="E71" s="175"/>
      <c r="F71" s="67">
        <f t="shared" si="15"/>
        <v>706000</v>
      </c>
      <c r="G71" s="67">
        <v>705000</v>
      </c>
      <c r="H71" s="67">
        <f t="shared" si="16"/>
        <v>1000</v>
      </c>
      <c r="I71" s="68">
        <v>5</v>
      </c>
      <c r="J71" s="68">
        <v>0.2</v>
      </c>
      <c r="K71" s="68">
        <v>0</v>
      </c>
      <c r="L71" s="110"/>
      <c r="M71" s="67">
        <f t="shared" si="17"/>
        <v>705000</v>
      </c>
      <c r="N71" s="462">
        <f t="shared" si="18"/>
        <v>1000</v>
      </c>
      <c r="O71" s="111" t="s">
        <v>1932</v>
      </c>
      <c r="P71" s="111"/>
      <c r="Q71" s="70"/>
      <c r="R71" s="23">
        <f t="shared" si="11"/>
        <v>200</v>
      </c>
      <c r="S71" s="10">
        <f t="shared" si="19"/>
        <v>35300</v>
      </c>
      <c r="T71" s="10">
        <f t="shared" si="20"/>
        <v>-34300</v>
      </c>
      <c r="U71" s="10">
        <f t="shared" si="14"/>
        <v>0</v>
      </c>
      <c r="V71" s="10">
        <f t="shared" si="21"/>
        <v>141200</v>
      </c>
      <c r="W71" s="10">
        <f t="shared" si="22"/>
        <v>0</v>
      </c>
      <c r="X71" s="10">
        <f t="shared" si="23"/>
        <v>0</v>
      </c>
    </row>
    <row r="72" spans="1:24" s="9" customFormat="1" ht="13.5" customHeight="1" x14ac:dyDescent="0.2">
      <c r="A72" s="64">
        <f t="shared" si="24"/>
        <v>68</v>
      </c>
      <c r="B72" s="109" t="s">
        <v>2448</v>
      </c>
      <c r="C72" s="66" t="s">
        <v>739</v>
      </c>
      <c r="D72" s="175">
        <v>40000</v>
      </c>
      <c r="E72" s="175"/>
      <c r="F72" s="67">
        <f t="shared" si="15"/>
        <v>40000</v>
      </c>
      <c r="G72" s="67">
        <v>39000</v>
      </c>
      <c r="H72" s="67">
        <f t="shared" si="16"/>
        <v>1000</v>
      </c>
      <c r="I72" s="68">
        <v>5</v>
      </c>
      <c r="J72" s="68">
        <v>0.2</v>
      </c>
      <c r="K72" s="68">
        <v>0</v>
      </c>
      <c r="L72" s="110"/>
      <c r="M72" s="67">
        <f t="shared" si="17"/>
        <v>39000</v>
      </c>
      <c r="N72" s="462">
        <f t="shared" si="18"/>
        <v>1000</v>
      </c>
      <c r="O72" s="111" t="s">
        <v>1932</v>
      </c>
      <c r="P72" s="111">
        <v>2</v>
      </c>
      <c r="Q72" s="70"/>
      <c r="R72" s="23">
        <f t="shared" ref="R72:R135" si="25">+N72*J72</f>
        <v>200</v>
      </c>
      <c r="S72" s="10">
        <f t="shared" si="19"/>
        <v>2000</v>
      </c>
      <c r="T72" s="10">
        <f t="shared" si="20"/>
        <v>-1000</v>
      </c>
      <c r="U72" s="10">
        <f t="shared" si="14"/>
        <v>0</v>
      </c>
      <c r="V72" s="10">
        <f t="shared" si="21"/>
        <v>8000</v>
      </c>
      <c r="W72" s="10">
        <f t="shared" si="22"/>
        <v>0</v>
      </c>
      <c r="X72" s="10">
        <f t="shared" si="23"/>
        <v>0</v>
      </c>
    </row>
    <row r="73" spans="1:24" s="9" customFormat="1" ht="13.5" customHeight="1" x14ac:dyDescent="0.2">
      <c r="A73" s="64">
        <f t="shared" si="24"/>
        <v>69</v>
      </c>
      <c r="B73" s="109" t="s">
        <v>2449</v>
      </c>
      <c r="C73" s="66" t="s">
        <v>739</v>
      </c>
      <c r="D73" s="175">
        <v>180000</v>
      </c>
      <c r="E73" s="175"/>
      <c r="F73" s="67">
        <f t="shared" si="15"/>
        <v>180000</v>
      </c>
      <c r="G73" s="67">
        <v>179000</v>
      </c>
      <c r="H73" s="67">
        <f t="shared" si="16"/>
        <v>1000</v>
      </c>
      <c r="I73" s="68">
        <v>5</v>
      </c>
      <c r="J73" s="68">
        <v>0.2</v>
      </c>
      <c r="K73" s="68">
        <v>0</v>
      </c>
      <c r="L73" s="110"/>
      <c r="M73" s="67">
        <f t="shared" si="17"/>
        <v>179000</v>
      </c>
      <c r="N73" s="462">
        <f t="shared" si="18"/>
        <v>1000</v>
      </c>
      <c r="O73" s="111" t="s">
        <v>1932</v>
      </c>
      <c r="P73" s="111">
        <v>1</v>
      </c>
      <c r="Q73" s="70"/>
      <c r="R73" s="23">
        <f t="shared" si="25"/>
        <v>200</v>
      </c>
      <c r="S73" s="10">
        <f t="shared" si="19"/>
        <v>9000</v>
      </c>
      <c r="T73" s="10">
        <f t="shared" si="20"/>
        <v>-8000</v>
      </c>
      <c r="U73" s="10">
        <f t="shared" si="14"/>
        <v>0</v>
      </c>
      <c r="V73" s="10">
        <f t="shared" si="21"/>
        <v>36000</v>
      </c>
      <c r="W73" s="10">
        <f t="shared" si="22"/>
        <v>0</v>
      </c>
      <c r="X73" s="10">
        <f t="shared" si="23"/>
        <v>0</v>
      </c>
    </row>
    <row r="74" spans="1:24" s="9" customFormat="1" ht="13.5" customHeight="1" x14ac:dyDescent="0.2">
      <c r="A74" s="64">
        <f t="shared" si="24"/>
        <v>70</v>
      </c>
      <c r="B74" s="109" t="s">
        <v>2051</v>
      </c>
      <c r="C74" s="66" t="s">
        <v>2450</v>
      </c>
      <c r="D74" s="175">
        <v>636364</v>
      </c>
      <c r="E74" s="175"/>
      <c r="F74" s="67">
        <f t="shared" si="15"/>
        <v>636364</v>
      </c>
      <c r="G74" s="67">
        <v>635364</v>
      </c>
      <c r="H74" s="67">
        <f t="shared" si="16"/>
        <v>1000</v>
      </c>
      <c r="I74" s="68">
        <v>5</v>
      </c>
      <c r="J74" s="68">
        <v>0.2</v>
      </c>
      <c r="K74" s="68">
        <v>0</v>
      </c>
      <c r="L74" s="110"/>
      <c r="M74" s="67">
        <f t="shared" si="17"/>
        <v>635364</v>
      </c>
      <c r="N74" s="462">
        <f t="shared" si="18"/>
        <v>1000</v>
      </c>
      <c r="O74" s="111" t="s">
        <v>1989</v>
      </c>
      <c r="P74" s="111">
        <v>2</v>
      </c>
      <c r="Q74" s="70"/>
      <c r="R74" s="23">
        <f t="shared" si="25"/>
        <v>200</v>
      </c>
      <c r="S74" s="10">
        <f t="shared" si="19"/>
        <v>31818.2</v>
      </c>
      <c r="T74" s="10">
        <f t="shared" si="20"/>
        <v>-30818.2</v>
      </c>
      <c r="U74" s="10">
        <f t="shared" si="14"/>
        <v>0</v>
      </c>
      <c r="V74" s="10">
        <f t="shared" si="21"/>
        <v>127272.8</v>
      </c>
      <c r="W74" s="10">
        <f t="shared" si="22"/>
        <v>0</v>
      </c>
      <c r="X74" s="10">
        <f t="shared" si="23"/>
        <v>0</v>
      </c>
    </row>
    <row r="75" spans="1:24" s="9" customFormat="1" ht="13.5" customHeight="1" x14ac:dyDescent="0.2">
      <c r="A75" s="64">
        <f t="shared" si="24"/>
        <v>71</v>
      </c>
      <c r="B75" s="109" t="s">
        <v>2451</v>
      </c>
      <c r="C75" s="66" t="s">
        <v>2452</v>
      </c>
      <c r="D75" s="175">
        <v>499600</v>
      </c>
      <c r="E75" s="175"/>
      <c r="F75" s="67">
        <f t="shared" si="15"/>
        <v>499600</v>
      </c>
      <c r="G75" s="67">
        <v>498600</v>
      </c>
      <c r="H75" s="67">
        <f t="shared" si="16"/>
        <v>1000</v>
      </c>
      <c r="I75" s="68">
        <v>5</v>
      </c>
      <c r="J75" s="68">
        <v>0.2</v>
      </c>
      <c r="K75" s="68">
        <v>0</v>
      </c>
      <c r="L75" s="110"/>
      <c r="M75" s="67">
        <f t="shared" si="17"/>
        <v>498600</v>
      </c>
      <c r="N75" s="462">
        <f t="shared" si="18"/>
        <v>1000</v>
      </c>
      <c r="O75" s="111" t="s">
        <v>2029</v>
      </c>
      <c r="P75" s="111">
        <v>4</v>
      </c>
      <c r="Q75" s="70"/>
      <c r="R75" s="23">
        <f t="shared" si="25"/>
        <v>200</v>
      </c>
      <c r="S75" s="10">
        <f t="shared" si="19"/>
        <v>24980</v>
      </c>
      <c r="T75" s="10">
        <f t="shared" si="20"/>
        <v>-23980</v>
      </c>
      <c r="U75" s="10">
        <f t="shared" si="14"/>
        <v>0</v>
      </c>
      <c r="V75" s="10">
        <f t="shared" si="21"/>
        <v>99920</v>
      </c>
      <c r="W75" s="10">
        <f t="shared" si="22"/>
        <v>0</v>
      </c>
      <c r="X75" s="10">
        <f t="shared" si="23"/>
        <v>0</v>
      </c>
    </row>
    <row r="76" spans="1:24" s="9" customFormat="1" ht="13.5" customHeight="1" x14ac:dyDescent="0.2">
      <c r="A76" s="64">
        <f t="shared" si="24"/>
        <v>72</v>
      </c>
      <c r="B76" s="109" t="s">
        <v>2453</v>
      </c>
      <c r="C76" s="66" t="s">
        <v>2452</v>
      </c>
      <c r="D76" s="175">
        <v>130900</v>
      </c>
      <c r="E76" s="175"/>
      <c r="F76" s="67">
        <f t="shared" si="15"/>
        <v>130900</v>
      </c>
      <c r="G76" s="67">
        <v>129900</v>
      </c>
      <c r="H76" s="67">
        <f t="shared" si="16"/>
        <v>1000</v>
      </c>
      <c r="I76" s="68">
        <v>5</v>
      </c>
      <c r="J76" s="68">
        <v>0.2</v>
      </c>
      <c r="K76" s="68">
        <v>0</v>
      </c>
      <c r="L76" s="110"/>
      <c r="M76" s="67">
        <f t="shared" si="17"/>
        <v>129900</v>
      </c>
      <c r="N76" s="462">
        <f t="shared" si="18"/>
        <v>1000</v>
      </c>
      <c r="O76" s="111" t="s">
        <v>2454</v>
      </c>
      <c r="P76" s="111">
        <v>1</v>
      </c>
      <c r="Q76" s="70"/>
      <c r="R76" s="23">
        <f t="shared" si="25"/>
        <v>200</v>
      </c>
      <c r="S76" s="10">
        <f t="shared" si="19"/>
        <v>6545</v>
      </c>
      <c r="T76" s="10">
        <f t="shared" si="20"/>
        <v>-5545</v>
      </c>
      <c r="U76" s="10">
        <f t="shared" si="14"/>
        <v>0</v>
      </c>
      <c r="V76" s="10">
        <f t="shared" si="21"/>
        <v>26180</v>
      </c>
      <c r="W76" s="10">
        <f t="shared" si="22"/>
        <v>0</v>
      </c>
      <c r="X76" s="10">
        <f t="shared" si="23"/>
        <v>0</v>
      </c>
    </row>
    <row r="77" spans="1:24" s="9" customFormat="1" ht="13.5" customHeight="1" x14ac:dyDescent="0.2">
      <c r="A77" s="64">
        <f t="shared" si="24"/>
        <v>73</v>
      </c>
      <c r="B77" s="109" t="s">
        <v>1888</v>
      </c>
      <c r="C77" s="66" t="s">
        <v>2455</v>
      </c>
      <c r="D77" s="175">
        <v>2964000</v>
      </c>
      <c r="E77" s="175"/>
      <c r="F77" s="67">
        <f t="shared" si="15"/>
        <v>2964000</v>
      </c>
      <c r="G77" s="67">
        <v>2963000</v>
      </c>
      <c r="H77" s="67">
        <f t="shared" si="16"/>
        <v>1000</v>
      </c>
      <c r="I77" s="68">
        <v>5</v>
      </c>
      <c r="J77" s="68">
        <v>0.2</v>
      </c>
      <c r="K77" s="68">
        <v>0</v>
      </c>
      <c r="L77" s="110"/>
      <c r="M77" s="67">
        <f t="shared" si="17"/>
        <v>2963000</v>
      </c>
      <c r="N77" s="462">
        <f t="shared" si="18"/>
        <v>1000</v>
      </c>
      <c r="O77" s="111" t="s">
        <v>2456</v>
      </c>
      <c r="P77" s="111">
        <v>2</v>
      </c>
      <c r="Q77" s="70"/>
      <c r="R77" s="23">
        <f t="shared" si="25"/>
        <v>200</v>
      </c>
      <c r="S77" s="10">
        <f t="shared" si="19"/>
        <v>148200</v>
      </c>
      <c r="T77" s="10">
        <f t="shared" si="20"/>
        <v>-147200</v>
      </c>
      <c r="U77" s="10">
        <f t="shared" si="14"/>
        <v>0</v>
      </c>
      <c r="V77" s="10">
        <f t="shared" si="21"/>
        <v>592800</v>
      </c>
      <c r="W77" s="10">
        <f t="shared" si="22"/>
        <v>0</v>
      </c>
      <c r="X77" s="10">
        <f t="shared" si="23"/>
        <v>0</v>
      </c>
    </row>
    <row r="78" spans="1:24" s="9" customFormat="1" ht="13.5" customHeight="1" x14ac:dyDescent="0.2">
      <c r="A78" s="64">
        <f t="shared" si="24"/>
        <v>74</v>
      </c>
      <c r="B78" s="109" t="s">
        <v>2457</v>
      </c>
      <c r="C78" s="66" t="s">
        <v>261</v>
      </c>
      <c r="D78" s="175">
        <v>350000</v>
      </c>
      <c r="E78" s="175"/>
      <c r="F78" s="67">
        <f t="shared" si="15"/>
        <v>350000</v>
      </c>
      <c r="G78" s="67">
        <v>349000</v>
      </c>
      <c r="H78" s="67">
        <f t="shared" si="16"/>
        <v>1000</v>
      </c>
      <c r="I78" s="68">
        <v>5</v>
      </c>
      <c r="J78" s="68">
        <v>0.2</v>
      </c>
      <c r="K78" s="68">
        <v>0</v>
      </c>
      <c r="L78" s="110"/>
      <c r="M78" s="67">
        <f t="shared" si="17"/>
        <v>349000</v>
      </c>
      <c r="N78" s="462">
        <f t="shared" si="18"/>
        <v>1000</v>
      </c>
      <c r="O78" s="111" t="s">
        <v>2458</v>
      </c>
      <c r="P78" s="111">
        <v>2</v>
      </c>
      <c r="Q78" s="70"/>
      <c r="R78" s="23">
        <f t="shared" si="25"/>
        <v>200</v>
      </c>
      <c r="S78" s="10">
        <f t="shared" si="19"/>
        <v>17500</v>
      </c>
      <c r="T78" s="10">
        <f t="shared" si="20"/>
        <v>-16500</v>
      </c>
      <c r="U78" s="10">
        <f t="shared" si="14"/>
        <v>0</v>
      </c>
      <c r="V78" s="10">
        <f t="shared" si="21"/>
        <v>70000</v>
      </c>
      <c r="W78" s="10">
        <f t="shared" si="22"/>
        <v>0</v>
      </c>
      <c r="X78" s="10">
        <f t="shared" si="23"/>
        <v>0</v>
      </c>
    </row>
    <row r="79" spans="1:24" s="9" customFormat="1" ht="13.5" customHeight="1" x14ac:dyDescent="0.2">
      <c r="A79" s="64">
        <f t="shared" si="24"/>
        <v>75</v>
      </c>
      <c r="B79" s="109" t="s">
        <v>2459</v>
      </c>
      <c r="C79" s="66" t="s">
        <v>261</v>
      </c>
      <c r="D79" s="175">
        <v>550000</v>
      </c>
      <c r="E79" s="175"/>
      <c r="F79" s="67">
        <f t="shared" si="15"/>
        <v>550000</v>
      </c>
      <c r="G79" s="67">
        <v>549000</v>
      </c>
      <c r="H79" s="67">
        <f t="shared" si="16"/>
        <v>1000</v>
      </c>
      <c r="I79" s="68">
        <v>5</v>
      </c>
      <c r="J79" s="68">
        <v>0.2</v>
      </c>
      <c r="K79" s="68">
        <v>0</v>
      </c>
      <c r="L79" s="110"/>
      <c r="M79" s="67">
        <f t="shared" si="17"/>
        <v>549000</v>
      </c>
      <c r="N79" s="462">
        <f t="shared" si="18"/>
        <v>1000</v>
      </c>
      <c r="O79" s="111" t="s">
        <v>2460</v>
      </c>
      <c r="P79" s="111">
        <v>5</v>
      </c>
      <c r="Q79" s="70"/>
      <c r="R79" s="23">
        <f t="shared" si="25"/>
        <v>200</v>
      </c>
      <c r="S79" s="10">
        <f t="shared" si="19"/>
        <v>27500</v>
      </c>
      <c r="T79" s="10">
        <f t="shared" si="20"/>
        <v>-26500</v>
      </c>
      <c r="U79" s="10">
        <f t="shared" si="14"/>
        <v>0</v>
      </c>
      <c r="V79" s="10">
        <f t="shared" si="21"/>
        <v>110000</v>
      </c>
      <c r="W79" s="10">
        <f t="shared" si="22"/>
        <v>0</v>
      </c>
      <c r="X79" s="10">
        <f t="shared" si="23"/>
        <v>0</v>
      </c>
    </row>
    <row r="80" spans="1:24" s="9" customFormat="1" ht="13.5" customHeight="1" x14ac:dyDescent="0.2">
      <c r="A80" s="64">
        <f t="shared" si="24"/>
        <v>76</v>
      </c>
      <c r="B80" s="109" t="s">
        <v>2461</v>
      </c>
      <c r="C80" s="66" t="s">
        <v>261</v>
      </c>
      <c r="D80" s="175">
        <v>600000</v>
      </c>
      <c r="E80" s="175"/>
      <c r="F80" s="67">
        <f t="shared" si="15"/>
        <v>600000</v>
      </c>
      <c r="G80" s="67">
        <v>599000</v>
      </c>
      <c r="H80" s="67">
        <f t="shared" si="16"/>
        <v>1000</v>
      </c>
      <c r="I80" s="68">
        <v>5</v>
      </c>
      <c r="J80" s="68">
        <v>0.2</v>
      </c>
      <c r="K80" s="68">
        <v>0</v>
      </c>
      <c r="L80" s="110"/>
      <c r="M80" s="67">
        <f t="shared" si="17"/>
        <v>599000</v>
      </c>
      <c r="N80" s="462">
        <f t="shared" si="18"/>
        <v>1000</v>
      </c>
      <c r="O80" s="111" t="s">
        <v>2458</v>
      </c>
      <c r="P80" s="111">
        <v>1</v>
      </c>
      <c r="Q80" s="70"/>
      <c r="R80" s="23">
        <f t="shared" si="25"/>
        <v>200</v>
      </c>
      <c r="S80" s="10">
        <f t="shared" si="19"/>
        <v>30000</v>
      </c>
      <c r="T80" s="10">
        <f t="shared" si="20"/>
        <v>-29000</v>
      </c>
      <c r="U80" s="10">
        <f t="shared" si="14"/>
        <v>0</v>
      </c>
      <c r="V80" s="10">
        <f t="shared" si="21"/>
        <v>120000</v>
      </c>
      <c r="W80" s="10">
        <f t="shared" si="22"/>
        <v>0</v>
      </c>
      <c r="X80" s="10">
        <f t="shared" si="23"/>
        <v>0</v>
      </c>
    </row>
    <row r="81" spans="1:24" s="9" customFormat="1" ht="13.5" customHeight="1" x14ac:dyDescent="0.2">
      <c r="A81" s="64">
        <f t="shared" si="24"/>
        <v>77</v>
      </c>
      <c r="B81" s="109" t="s">
        <v>2462</v>
      </c>
      <c r="C81" s="66" t="s">
        <v>261</v>
      </c>
      <c r="D81" s="175">
        <v>180000</v>
      </c>
      <c r="E81" s="175"/>
      <c r="F81" s="67">
        <f t="shared" si="15"/>
        <v>180000</v>
      </c>
      <c r="G81" s="67">
        <v>179000</v>
      </c>
      <c r="H81" s="67">
        <f t="shared" si="16"/>
        <v>1000</v>
      </c>
      <c r="I81" s="68">
        <v>5</v>
      </c>
      <c r="J81" s="68">
        <v>0.2</v>
      </c>
      <c r="K81" s="68">
        <v>0</v>
      </c>
      <c r="L81" s="110"/>
      <c r="M81" s="67">
        <f t="shared" si="17"/>
        <v>179000</v>
      </c>
      <c r="N81" s="462">
        <f t="shared" si="18"/>
        <v>1000</v>
      </c>
      <c r="O81" s="111" t="s">
        <v>1932</v>
      </c>
      <c r="P81" s="111">
        <v>1</v>
      </c>
      <c r="Q81" s="70"/>
      <c r="R81" s="23">
        <f t="shared" si="25"/>
        <v>200</v>
      </c>
      <c r="S81" s="10">
        <f t="shared" si="19"/>
        <v>9000</v>
      </c>
      <c r="T81" s="10">
        <f t="shared" si="20"/>
        <v>-8000</v>
      </c>
      <c r="U81" s="10">
        <f t="shared" si="14"/>
        <v>0</v>
      </c>
      <c r="V81" s="10">
        <f t="shared" si="21"/>
        <v>36000</v>
      </c>
      <c r="W81" s="10">
        <f t="shared" si="22"/>
        <v>0</v>
      </c>
      <c r="X81" s="10">
        <f t="shared" si="23"/>
        <v>0</v>
      </c>
    </row>
    <row r="82" spans="1:24" s="9" customFormat="1" ht="13.5" customHeight="1" x14ac:dyDescent="0.2">
      <c r="A82" s="64">
        <f t="shared" si="24"/>
        <v>78</v>
      </c>
      <c r="B82" s="109" t="s">
        <v>1876</v>
      </c>
      <c r="C82" s="66" t="s">
        <v>748</v>
      </c>
      <c r="D82" s="175">
        <v>350000</v>
      </c>
      <c r="E82" s="175"/>
      <c r="F82" s="67">
        <f t="shared" si="15"/>
        <v>350000</v>
      </c>
      <c r="G82" s="67">
        <v>349000</v>
      </c>
      <c r="H82" s="67">
        <f t="shared" si="16"/>
        <v>1000</v>
      </c>
      <c r="I82" s="68">
        <v>5</v>
      </c>
      <c r="J82" s="68">
        <v>0.2</v>
      </c>
      <c r="K82" s="68">
        <v>0</v>
      </c>
      <c r="L82" s="110"/>
      <c r="M82" s="67">
        <f t="shared" si="17"/>
        <v>349000</v>
      </c>
      <c r="N82" s="462">
        <f t="shared" si="18"/>
        <v>1000</v>
      </c>
      <c r="O82" s="111" t="s">
        <v>2463</v>
      </c>
      <c r="P82" s="111">
        <v>1</v>
      </c>
      <c r="Q82" s="70"/>
      <c r="R82" s="23">
        <f t="shared" si="25"/>
        <v>200</v>
      </c>
      <c r="S82" s="10">
        <f t="shared" si="19"/>
        <v>17500</v>
      </c>
      <c r="T82" s="10">
        <f t="shared" si="20"/>
        <v>-16500</v>
      </c>
      <c r="U82" s="10">
        <f t="shared" si="14"/>
        <v>0</v>
      </c>
      <c r="V82" s="10">
        <f t="shared" si="21"/>
        <v>70000</v>
      </c>
      <c r="W82" s="10">
        <f t="shared" si="22"/>
        <v>0</v>
      </c>
      <c r="X82" s="10">
        <f t="shared" si="23"/>
        <v>0</v>
      </c>
    </row>
    <row r="83" spans="1:24" s="9" customFormat="1" ht="13.5" customHeight="1" x14ac:dyDescent="0.2">
      <c r="A83" s="64">
        <f t="shared" si="24"/>
        <v>79</v>
      </c>
      <c r="B83" s="109" t="s">
        <v>2049</v>
      </c>
      <c r="C83" s="66" t="s">
        <v>2464</v>
      </c>
      <c r="D83" s="175">
        <v>281818</v>
      </c>
      <c r="E83" s="175"/>
      <c r="F83" s="67">
        <f t="shared" si="15"/>
        <v>281818</v>
      </c>
      <c r="G83" s="67">
        <v>280818</v>
      </c>
      <c r="H83" s="67">
        <f t="shared" si="16"/>
        <v>1000</v>
      </c>
      <c r="I83" s="68">
        <v>5</v>
      </c>
      <c r="J83" s="68">
        <v>0.2</v>
      </c>
      <c r="K83" s="68">
        <v>0</v>
      </c>
      <c r="L83" s="110"/>
      <c r="M83" s="67">
        <f t="shared" si="17"/>
        <v>280818</v>
      </c>
      <c r="N83" s="462">
        <f t="shared" si="18"/>
        <v>1000</v>
      </c>
      <c r="O83" s="111" t="s">
        <v>2421</v>
      </c>
      <c r="P83" s="111">
        <v>1</v>
      </c>
      <c r="Q83" s="70"/>
      <c r="R83" s="23">
        <f t="shared" si="25"/>
        <v>200</v>
      </c>
      <c r="S83" s="10">
        <f t="shared" si="19"/>
        <v>14090.900000000001</v>
      </c>
      <c r="T83" s="10">
        <f t="shared" si="20"/>
        <v>-13090.900000000001</v>
      </c>
      <c r="U83" s="10">
        <f t="shared" si="14"/>
        <v>0</v>
      </c>
      <c r="V83" s="10">
        <f t="shared" si="21"/>
        <v>56363.6</v>
      </c>
      <c r="W83" s="10">
        <f t="shared" si="22"/>
        <v>0</v>
      </c>
      <c r="X83" s="10">
        <f t="shared" si="23"/>
        <v>0</v>
      </c>
    </row>
    <row r="84" spans="1:24" s="9" customFormat="1" ht="13.5" customHeight="1" x14ac:dyDescent="0.2">
      <c r="A84" s="64">
        <f t="shared" si="24"/>
        <v>80</v>
      </c>
      <c r="B84" s="109" t="s">
        <v>2465</v>
      </c>
      <c r="C84" s="66" t="s">
        <v>2466</v>
      </c>
      <c r="D84" s="175">
        <v>70000</v>
      </c>
      <c r="E84" s="175"/>
      <c r="F84" s="67">
        <f t="shared" si="15"/>
        <v>70000</v>
      </c>
      <c r="G84" s="67">
        <v>69000</v>
      </c>
      <c r="H84" s="67">
        <f t="shared" si="16"/>
        <v>1000</v>
      </c>
      <c r="I84" s="68">
        <v>5</v>
      </c>
      <c r="J84" s="68">
        <v>0.2</v>
      </c>
      <c r="K84" s="68">
        <v>0</v>
      </c>
      <c r="L84" s="110"/>
      <c r="M84" s="67">
        <f t="shared" si="17"/>
        <v>69000</v>
      </c>
      <c r="N84" s="462">
        <f t="shared" si="18"/>
        <v>1000</v>
      </c>
      <c r="O84" s="111" t="s">
        <v>2458</v>
      </c>
      <c r="P84" s="111">
        <v>1</v>
      </c>
      <c r="Q84" s="70"/>
      <c r="R84" s="23">
        <f t="shared" si="25"/>
        <v>200</v>
      </c>
      <c r="S84" s="10">
        <f t="shared" si="19"/>
        <v>3500</v>
      </c>
      <c r="T84" s="10">
        <f t="shared" si="20"/>
        <v>-2500</v>
      </c>
      <c r="U84" s="10">
        <f t="shared" si="14"/>
        <v>0</v>
      </c>
      <c r="V84" s="10">
        <f t="shared" si="21"/>
        <v>14000</v>
      </c>
      <c r="W84" s="10">
        <f t="shared" si="22"/>
        <v>0</v>
      </c>
      <c r="X84" s="10">
        <f t="shared" si="23"/>
        <v>0</v>
      </c>
    </row>
    <row r="85" spans="1:24" s="9" customFormat="1" ht="13.5" customHeight="1" x14ac:dyDescent="0.2">
      <c r="A85" s="64">
        <f t="shared" si="24"/>
        <v>81</v>
      </c>
      <c r="B85" s="109" t="s">
        <v>2467</v>
      </c>
      <c r="C85" s="66" t="s">
        <v>2468</v>
      </c>
      <c r="D85" s="175">
        <v>240000</v>
      </c>
      <c r="E85" s="175"/>
      <c r="F85" s="67">
        <f t="shared" si="15"/>
        <v>240000</v>
      </c>
      <c r="G85" s="67">
        <v>239000</v>
      </c>
      <c r="H85" s="67">
        <f t="shared" si="16"/>
        <v>1000</v>
      </c>
      <c r="I85" s="68">
        <v>5</v>
      </c>
      <c r="J85" s="68">
        <v>0.2</v>
      </c>
      <c r="K85" s="68">
        <v>0</v>
      </c>
      <c r="L85" s="110"/>
      <c r="M85" s="67">
        <f t="shared" si="17"/>
        <v>239000</v>
      </c>
      <c r="N85" s="462">
        <f t="shared" si="18"/>
        <v>1000</v>
      </c>
      <c r="O85" s="111" t="s">
        <v>2454</v>
      </c>
      <c r="P85" s="111">
        <v>5</v>
      </c>
      <c r="Q85" s="70"/>
      <c r="R85" s="23">
        <f t="shared" si="25"/>
        <v>200</v>
      </c>
      <c r="S85" s="10">
        <f t="shared" si="19"/>
        <v>12000</v>
      </c>
      <c r="T85" s="10">
        <f t="shared" si="20"/>
        <v>-11000</v>
      </c>
      <c r="U85" s="10">
        <f t="shared" si="14"/>
        <v>0</v>
      </c>
      <c r="V85" s="10">
        <f t="shared" si="21"/>
        <v>48000</v>
      </c>
      <c r="W85" s="10">
        <f t="shared" si="22"/>
        <v>0</v>
      </c>
      <c r="X85" s="10">
        <f t="shared" si="23"/>
        <v>0</v>
      </c>
    </row>
    <row r="86" spans="1:24" s="9" customFormat="1" ht="13.5" customHeight="1" x14ac:dyDescent="0.2">
      <c r="A86" s="64">
        <f t="shared" si="24"/>
        <v>82</v>
      </c>
      <c r="B86" s="109" t="s">
        <v>2469</v>
      </c>
      <c r="C86" s="66" t="s">
        <v>2470</v>
      </c>
      <c r="D86" s="175">
        <v>1200000</v>
      </c>
      <c r="E86" s="175"/>
      <c r="F86" s="67">
        <f t="shared" si="15"/>
        <v>1200000</v>
      </c>
      <c r="G86" s="67">
        <v>1199000</v>
      </c>
      <c r="H86" s="67">
        <f t="shared" si="16"/>
        <v>1000</v>
      </c>
      <c r="I86" s="68">
        <v>5</v>
      </c>
      <c r="J86" s="68">
        <v>0.2</v>
      </c>
      <c r="K86" s="68">
        <v>0</v>
      </c>
      <c r="L86" s="110"/>
      <c r="M86" s="67">
        <f t="shared" si="17"/>
        <v>1199000</v>
      </c>
      <c r="N86" s="462">
        <f t="shared" si="18"/>
        <v>1000</v>
      </c>
      <c r="O86" s="111" t="s">
        <v>2471</v>
      </c>
      <c r="P86" s="111">
        <v>2</v>
      </c>
      <c r="Q86" s="70"/>
      <c r="R86" s="23">
        <f t="shared" si="25"/>
        <v>200</v>
      </c>
      <c r="S86" s="10">
        <f t="shared" si="19"/>
        <v>60000</v>
      </c>
      <c r="T86" s="10">
        <f t="shared" si="20"/>
        <v>-59000</v>
      </c>
      <c r="U86" s="10">
        <f t="shared" si="14"/>
        <v>0</v>
      </c>
      <c r="V86" s="10">
        <f t="shared" si="21"/>
        <v>240000</v>
      </c>
      <c r="W86" s="10">
        <f t="shared" si="22"/>
        <v>0</v>
      </c>
      <c r="X86" s="10">
        <f t="shared" si="23"/>
        <v>0</v>
      </c>
    </row>
    <row r="87" spans="1:24" s="9" customFormat="1" ht="13.5" customHeight="1" x14ac:dyDescent="0.2">
      <c r="A87" s="64">
        <f t="shared" si="24"/>
        <v>83</v>
      </c>
      <c r="B87" s="109" t="s">
        <v>2472</v>
      </c>
      <c r="C87" s="66" t="s">
        <v>1289</v>
      </c>
      <c r="D87" s="175">
        <v>240000</v>
      </c>
      <c r="E87" s="175"/>
      <c r="F87" s="67">
        <f t="shared" si="15"/>
        <v>240000</v>
      </c>
      <c r="G87" s="67">
        <v>239000</v>
      </c>
      <c r="H87" s="67">
        <f t="shared" si="16"/>
        <v>1000</v>
      </c>
      <c r="I87" s="68">
        <v>5</v>
      </c>
      <c r="J87" s="68">
        <v>0.2</v>
      </c>
      <c r="K87" s="68">
        <v>0</v>
      </c>
      <c r="L87" s="110"/>
      <c r="M87" s="67">
        <f t="shared" si="17"/>
        <v>239000</v>
      </c>
      <c r="N87" s="462">
        <f t="shared" si="18"/>
        <v>1000</v>
      </c>
      <c r="O87" s="111" t="s">
        <v>2458</v>
      </c>
      <c r="P87" s="111">
        <v>2</v>
      </c>
      <c r="Q87" s="70"/>
      <c r="R87" s="23">
        <f t="shared" si="25"/>
        <v>200</v>
      </c>
      <c r="S87" s="10">
        <f t="shared" si="19"/>
        <v>12000</v>
      </c>
      <c r="T87" s="10">
        <f t="shared" si="20"/>
        <v>-11000</v>
      </c>
      <c r="U87" s="10">
        <f t="shared" si="14"/>
        <v>0</v>
      </c>
      <c r="V87" s="10">
        <f t="shared" si="21"/>
        <v>48000</v>
      </c>
      <c r="W87" s="10">
        <f t="shared" si="22"/>
        <v>0</v>
      </c>
      <c r="X87" s="10">
        <f t="shared" si="23"/>
        <v>0</v>
      </c>
    </row>
    <row r="88" spans="1:24" s="9" customFormat="1" ht="13.5" customHeight="1" x14ac:dyDescent="0.2">
      <c r="A88" s="64">
        <f t="shared" si="24"/>
        <v>84</v>
      </c>
      <c r="B88" s="109" t="s">
        <v>2473</v>
      </c>
      <c r="C88" s="66" t="s">
        <v>1289</v>
      </c>
      <c r="D88" s="175">
        <v>85000</v>
      </c>
      <c r="E88" s="175"/>
      <c r="F88" s="67">
        <f t="shared" si="15"/>
        <v>85000</v>
      </c>
      <c r="G88" s="67">
        <v>84000</v>
      </c>
      <c r="H88" s="67">
        <f t="shared" si="16"/>
        <v>1000</v>
      </c>
      <c r="I88" s="68">
        <v>5</v>
      </c>
      <c r="J88" s="68">
        <v>0.2</v>
      </c>
      <c r="K88" s="68">
        <v>0</v>
      </c>
      <c r="L88" s="110"/>
      <c r="M88" s="67">
        <f t="shared" si="17"/>
        <v>84000</v>
      </c>
      <c r="N88" s="462">
        <f t="shared" si="18"/>
        <v>1000</v>
      </c>
      <c r="O88" s="111" t="s">
        <v>2458</v>
      </c>
      <c r="P88" s="111">
        <v>2</v>
      </c>
      <c r="Q88" s="70"/>
      <c r="R88" s="23">
        <f t="shared" si="25"/>
        <v>200</v>
      </c>
      <c r="S88" s="10">
        <f t="shared" si="19"/>
        <v>4250</v>
      </c>
      <c r="T88" s="10">
        <f t="shared" si="20"/>
        <v>-3250</v>
      </c>
      <c r="U88" s="10">
        <f t="shared" si="14"/>
        <v>0</v>
      </c>
      <c r="V88" s="10">
        <f t="shared" si="21"/>
        <v>17000</v>
      </c>
      <c r="W88" s="10">
        <f t="shared" si="22"/>
        <v>0</v>
      </c>
      <c r="X88" s="10">
        <f t="shared" si="23"/>
        <v>0</v>
      </c>
    </row>
    <row r="89" spans="1:24" s="9" customFormat="1" ht="13.5" customHeight="1" x14ac:dyDescent="0.2">
      <c r="A89" s="64">
        <f t="shared" si="24"/>
        <v>85</v>
      </c>
      <c r="B89" s="109" t="s">
        <v>2474</v>
      </c>
      <c r="C89" s="66" t="s">
        <v>2475</v>
      </c>
      <c r="D89" s="175">
        <v>70000</v>
      </c>
      <c r="E89" s="175"/>
      <c r="F89" s="67">
        <f t="shared" si="15"/>
        <v>70000</v>
      </c>
      <c r="G89" s="67">
        <v>69000</v>
      </c>
      <c r="H89" s="67">
        <f t="shared" si="16"/>
        <v>1000</v>
      </c>
      <c r="I89" s="68">
        <v>5</v>
      </c>
      <c r="J89" s="68">
        <v>0.2</v>
      </c>
      <c r="K89" s="68">
        <v>0</v>
      </c>
      <c r="L89" s="110"/>
      <c r="M89" s="67">
        <f t="shared" si="17"/>
        <v>69000</v>
      </c>
      <c r="N89" s="462">
        <f t="shared" si="18"/>
        <v>1000</v>
      </c>
      <c r="O89" s="111" t="s">
        <v>1932</v>
      </c>
      <c r="P89" s="111">
        <v>1</v>
      </c>
      <c r="Q89" s="70"/>
      <c r="R89" s="23">
        <f t="shared" si="25"/>
        <v>200</v>
      </c>
      <c r="S89" s="10">
        <f t="shared" si="19"/>
        <v>3500</v>
      </c>
      <c r="T89" s="10">
        <f t="shared" si="20"/>
        <v>-2500</v>
      </c>
      <c r="U89" s="10">
        <f t="shared" si="14"/>
        <v>0</v>
      </c>
      <c r="V89" s="10">
        <f t="shared" si="21"/>
        <v>14000</v>
      </c>
      <c r="W89" s="10">
        <f t="shared" si="22"/>
        <v>0</v>
      </c>
      <c r="X89" s="10">
        <f t="shared" si="23"/>
        <v>0</v>
      </c>
    </row>
    <row r="90" spans="1:24" s="9" customFormat="1" ht="13.5" customHeight="1" x14ac:dyDescent="0.2">
      <c r="A90" s="64">
        <f t="shared" si="24"/>
        <v>86</v>
      </c>
      <c r="B90" s="109" t="s">
        <v>2205</v>
      </c>
      <c r="C90" s="66" t="s">
        <v>2475</v>
      </c>
      <c r="D90" s="175">
        <v>220000</v>
      </c>
      <c r="E90" s="175"/>
      <c r="F90" s="67">
        <f t="shared" si="15"/>
        <v>220000</v>
      </c>
      <c r="G90" s="67">
        <v>219000</v>
      </c>
      <c r="H90" s="67">
        <f t="shared" si="16"/>
        <v>1000</v>
      </c>
      <c r="I90" s="68">
        <v>5</v>
      </c>
      <c r="J90" s="68">
        <v>0.2</v>
      </c>
      <c r="K90" s="68">
        <v>0</v>
      </c>
      <c r="L90" s="110"/>
      <c r="M90" s="67">
        <f t="shared" si="17"/>
        <v>219000</v>
      </c>
      <c r="N90" s="462">
        <f t="shared" si="18"/>
        <v>1000</v>
      </c>
      <c r="O90" s="111" t="s">
        <v>1932</v>
      </c>
      <c r="P90" s="111">
        <v>2</v>
      </c>
      <c r="Q90" s="70"/>
      <c r="R90" s="23">
        <f t="shared" si="25"/>
        <v>200</v>
      </c>
      <c r="S90" s="10">
        <f t="shared" si="19"/>
        <v>11000</v>
      </c>
      <c r="T90" s="10">
        <f t="shared" si="20"/>
        <v>-10000</v>
      </c>
      <c r="U90" s="10">
        <f t="shared" si="14"/>
        <v>0</v>
      </c>
      <c r="V90" s="10">
        <f t="shared" si="21"/>
        <v>44000</v>
      </c>
      <c r="W90" s="10">
        <f t="shared" si="22"/>
        <v>0</v>
      </c>
      <c r="X90" s="10">
        <f t="shared" si="23"/>
        <v>0</v>
      </c>
    </row>
    <row r="91" spans="1:24" s="9" customFormat="1" ht="13.5" customHeight="1" x14ac:dyDescent="0.2">
      <c r="A91" s="64">
        <f t="shared" si="24"/>
        <v>87</v>
      </c>
      <c r="B91" s="109" t="s">
        <v>2017</v>
      </c>
      <c r="C91" s="66" t="s">
        <v>2475</v>
      </c>
      <c r="D91" s="175">
        <v>100000</v>
      </c>
      <c r="E91" s="175"/>
      <c r="F91" s="67">
        <f t="shared" si="15"/>
        <v>100000</v>
      </c>
      <c r="G91" s="67">
        <v>99000</v>
      </c>
      <c r="H91" s="67">
        <f t="shared" si="16"/>
        <v>1000</v>
      </c>
      <c r="I91" s="68">
        <v>5</v>
      </c>
      <c r="J91" s="68">
        <v>0.2</v>
      </c>
      <c r="K91" s="68">
        <v>0</v>
      </c>
      <c r="L91" s="110"/>
      <c r="M91" s="67">
        <f t="shared" si="17"/>
        <v>99000</v>
      </c>
      <c r="N91" s="462">
        <f t="shared" si="18"/>
        <v>1000</v>
      </c>
      <c r="O91" s="111" t="s">
        <v>1932</v>
      </c>
      <c r="P91" s="111">
        <v>1</v>
      </c>
      <c r="Q91" s="70"/>
      <c r="R91" s="23">
        <f t="shared" si="25"/>
        <v>200</v>
      </c>
      <c r="S91" s="10">
        <f t="shared" si="19"/>
        <v>5000</v>
      </c>
      <c r="T91" s="10">
        <f t="shared" si="20"/>
        <v>-4000</v>
      </c>
      <c r="U91" s="10">
        <f t="shared" si="14"/>
        <v>0</v>
      </c>
      <c r="V91" s="10">
        <f t="shared" si="21"/>
        <v>20000</v>
      </c>
      <c r="W91" s="10">
        <f t="shared" si="22"/>
        <v>0</v>
      </c>
      <c r="X91" s="10">
        <f t="shared" si="23"/>
        <v>0</v>
      </c>
    </row>
    <row r="92" spans="1:24" s="9" customFormat="1" ht="13.5" customHeight="1" x14ac:dyDescent="0.2">
      <c r="A92" s="64">
        <f t="shared" si="24"/>
        <v>88</v>
      </c>
      <c r="B92" s="109" t="s">
        <v>1855</v>
      </c>
      <c r="C92" s="66" t="s">
        <v>2475</v>
      </c>
      <c r="D92" s="175">
        <v>120000</v>
      </c>
      <c r="E92" s="175"/>
      <c r="F92" s="67">
        <f t="shared" si="15"/>
        <v>120000</v>
      </c>
      <c r="G92" s="67">
        <v>119000</v>
      </c>
      <c r="H92" s="67">
        <f t="shared" si="16"/>
        <v>1000</v>
      </c>
      <c r="I92" s="68">
        <v>5</v>
      </c>
      <c r="J92" s="68">
        <v>0.2</v>
      </c>
      <c r="K92" s="68">
        <v>0</v>
      </c>
      <c r="L92" s="110"/>
      <c r="M92" s="67">
        <f t="shared" si="17"/>
        <v>119000</v>
      </c>
      <c r="N92" s="462">
        <f t="shared" si="18"/>
        <v>1000</v>
      </c>
      <c r="O92" s="111" t="s">
        <v>1932</v>
      </c>
      <c r="P92" s="111">
        <v>3</v>
      </c>
      <c r="Q92" s="70"/>
      <c r="R92" s="23">
        <f t="shared" si="25"/>
        <v>200</v>
      </c>
      <c r="S92" s="10">
        <f t="shared" si="19"/>
        <v>6000</v>
      </c>
      <c r="T92" s="10">
        <f t="shared" si="20"/>
        <v>-5000</v>
      </c>
      <c r="U92" s="10">
        <f t="shared" si="14"/>
        <v>0</v>
      </c>
      <c r="V92" s="10">
        <f t="shared" si="21"/>
        <v>24000</v>
      </c>
      <c r="W92" s="10">
        <f t="shared" si="22"/>
        <v>0</v>
      </c>
      <c r="X92" s="10">
        <f t="shared" si="23"/>
        <v>0</v>
      </c>
    </row>
    <row r="93" spans="1:24" s="9" customFormat="1" ht="13.5" customHeight="1" x14ac:dyDescent="0.2">
      <c r="A93" s="64">
        <f t="shared" si="24"/>
        <v>89</v>
      </c>
      <c r="B93" s="109" t="s">
        <v>2476</v>
      </c>
      <c r="C93" s="66" t="s">
        <v>2475</v>
      </c>
      <c r="D93" s="175">
        <v>65000</v>
      </c>
      <c r="E93" s="175"/>
      <c r="F93" s="67">
        <f t="shared" si="15"/>
        <v>65000</v>
      </c>
      <c r="G93" s="67">
        <v>64000</v>
      </c>
      <c r="H93" s="67">
        <f t="shared" si="16"/>
        <v>1000</v>
      </c>
      <c r="I93" s="68">
        <v>5</v>
      </c>
      <c r="J93" s="68">
        <v>0.2</v>
      </c>
      <c r="K93" s="68">
        <v>0</v>
      </c>
      <c r="L93" s="110"/>
      <c r="M93" s="67">
        <f t="shared" si="17"/>
        <v>64000</v>
      </c>
      <c r="N93" s="462">
        <f t="shared" si="18"/>
        <v>1000</v>
      </c>
      <c r="O93" s="111" t="s">
        <v>1932</v>
      </c>
      <c r="P93" s="111">
        <v>1</v>
      </c>
      <c r="Q93" s="70"/>
      <c r="R93" s="23">
        <f t="shared" si="25"/>
        <v>200</v>
      </c>
      <c r="S93" s="10">
        <f t="shared" si="19"/>
        <v>3250</v>
      </c>
      <c r="T93" s="10">
        <f t="shared" si="20"/>
        <v>-2250</v>
      </c>
      <c r="U93" s="10">
        <f t="shared" si="14"/>
        <v>0</v>
      </c>
      <c r="V93" s="10">
        <f t="shared" si="21"/>
        <v>13000</v>
      </c>
      <c r="W93" s="10">
        <f t="shared" si="22"/>
        <v>0</v>
      </c>
      <c r="X93" s="10">
        <f t="shared" si="23"/>
        <v>0</v>
      </c>
    </row>
    <row r="94" spans="1:24" s="9" customFormat="1" ht="13.5" customHeight="1" x14ac:dyDescent="0.2">
      <c r="A94" s="64">
        <f t="shared" si="24"/>
        <v>90</v>
      </c>
      <c r="B94" s="109" t="s">
        <v>2477</v>
      </c>
      <c r="C94" s="66" t="s">
        <v>2475</v>
      </c>
      <c r="D94" s="175">
        <v>190000</v>
      </c>
      <c r="E94" s="175"/>
      <c r="F94" s="67">
        <f t="shared" si="15"/>
        <v>190000</v>
      </c>
      <c r="G94" s="67">
        <v>189000</v>
      </c>
      <c r="H94" s="67">
        <f t="shared" si="16"/>
        <v>1000</v>
      </c>
      <c r="I94" s="68">
        <v>5</v>
      </c>
      <c r="J94" s="68">
        <v>0.2</v>
      </c>
      <c r="K94" s="68">
        <v>0</v>
      </c>
      <c r="L94" s="110"/>
      <c r="M94" s="67">
        <f t="shared" si="17"/>
        <v>189000</v>
      </c>
      <c r="N94" s="462">
        <f t="shared" si="18"/>
        <v>1000</v>
      </c>
      <c r="O94" s="111" t="s">
        <v>1932</v>
      </c>
      <c r="P94" s="111">
        <v>2</v>
      </c>
      <c r="Q94" s="70"/>
      <c r="R94" s="23">
        <f t="shared" si="25"/>
        <v>200</v>
      </c>
      <c r="S94" s="10">
        <f t="shared" si="19"/>
        <v>9500</v>
      </c>
      <c r="T94" s="10">
        <f t="shared" si="20"/>
        <v>-8500</v>
      </c>
      <c r="U94" s="10">
        <f t="shared" si="14"/>
        <v>0</v>
      </c>
      <c r="V94" s="10">
        <f t="shared" si="21"/>
        <v>38000</v>
      </c>
      <c r="W94" s="10">
        <f t="shared" si="22"/>
        <v>0</v>
      </c>
      <c r="X94" s="10">
        <f t="shared" si="23"/>
        <v>0</v>
      </c>
    </row>
    <row r="95" spans="1:24" s="9" customFormat="1" ht="13.5" customHeight="1" x14ac:dyDescent="0.2">
      <c r="A95" s="64">
        <f t="shared" si="24"/>
        <v>91</v>
      </c>
      <c r="B95" s="109" t="s">
        <v>2478</v>
      </c>
      <c r="C95" s="66" t="s">
        <v>2475</v>
      </c>
      <c r="D95" s="175">
        <v>450000</v>
      </c>
      <c r="E95" s="175"/>
      <c r="F95" s="67">
        <f t="shared" si="15"/>
        <v>450000</v>
      </c>
      <c r="G95" s="67">
        <v>449000</v>
      </c>
      <c r="H95" s="67">
        <f t="shared" si="16"/>
        <v>1000</v>
      </c>
      <c r="I95" s="68">
        <v>5</v>
      </c>
      <c r="J95" s="68">
        <v>0.2</v>
      </c>
      <c r="K95" s="68">
        <v>0</v>
      </c>
      <c r="L95" s="110"/>
      <c r="M95" s="67">
        <f t="shared" si="17"/>
        <v>449000</v>
      </c>
      <c r="N95" s="462">
        <f t="shared" si="18"/>
        <v>1000</v>
      </c>
      <c r="O95" s="111" t="s">
        <v>1932</v>
      </c>
      <c r="P95" s="111">
        <v>3</v>
      </c>
      <c r="Q95" s="70"/>
      <c r="R95" s="23">
        <f t="shared" si="25"/>
        <v>200</v>
      </c>
      <c r="S95" s="10">
        <f t="shared" si="19"/>
        <v>22500</v>
      </c>
      <c r="T95" s="10">
        <f t="shared" si="20"/>
        <v>-21500</v>
      </c>
      <c r="U95" s="10">
        <f t="shared" si="14"/>
        <v>0</v>
      </c>
      <c r="V95" s="10">
        <f t="shared" si="21"/>
        <v>90000</v>
      </c>
      <c r="W95" s="10">
        <f t="shared" si="22"/>
        <v>0</v>
      </c>
      <c r="X95" s="10">
        <f t="shared" si="23"/>
        <v>0</v>
      </c>
    </row>
    <row r="96" spans="1:24" s="9" customFormat="1" ht="13.5" customHeight="1" x14ac:dyDescent="0.2">
      <c r="A96" s="64">
        <f t="shared" si="24"/>
        <v>92</v>
      </c>
      <c r="B96" s="109" t="s">
        <v>2479</v>
      </c>
      <c r="C96" s="66" t="s">
        <v>2480</v>
      </c>
      <c r="D96" s="175">
        <v>2300000</v>
      </c>
      <c r="E96" s="175"/>
      <c r="F96" s="67">
        <f t="shared" si="15"/>
        <v>2300000</v>
      </c>
      <c r="G96" s="67">
        <v>2299000</v>
      </c>
      <c r="H96" s="67">
        <f t="shared" si="16"/>
        <v>1000</v>
      </c>
      <c r="I96" s="68">
        <v>5</v>
      </c>
      <c r="J96" s="68">
        <v>0.2</v>
      </c>
      <c r="K96" s="68">
        <v>0</v>
      </c>
      <c r="L96" s="110"/>
      <c r="M96" s="67">
        <f t="shared" si="17"/>
        <v>2299000</v>
      </c>
      <c r="N96" s="462">
        <f t="shared" si="18"/>
        <v>1000</v>
      </c>
      <c r="O96" s="180" t="s">
        <v>2481</v>
      </c>
      <c r="P96" s="111">
        <v>1</v>
      </c>
      <c r="Q96" s="70"/>
      <c r="R96" s="23">
        <f t="shared" si="25"/>
        <v>200</v>
      </c>
      <c r="S96" s="10">
        <f t="shared" si="19"/>
        <v>115000</v>
      </c>
      <c r="T96" s="10">
        <f t="shared" si="20"/>
        <v>-114000</v>
      </c>
      <c r="U96" s="10">
        <f t="shared" si="14"/>
        <v>0</v>
      </c>
      <c r="V96" s="10">
        <f t="shared" si="21"/>
        <v>460000</v>
      </c>
      <c r="W96" s="10">
        <f t="shared" si="22"/>
        <v>0</v>
      </c>
      <c r="X96" s="10">
        <f t="shared" si="23"/>
        <v>0</v>
      </c>
    </row>
    <row r="97" spans="1:24" s="9" customFormat="1" ht="13.5" customHeight="1" x14ac:dyDescent="0.2">
      <c r="A97" s="64">
        <f t="shared" si="24"/>
        <v>93</v>
      </c>
      <c r="B97" s="109" t="s">
        <v>1873</v>
      </c>
      <c r="C97" s="66" t="s">
        <v>271</v>
      </c>
      <c r="D97" s="175">
        <v>270000</v>
      </c>
      <c r="E97" s="175"/>
      <c r="F97" s="67">
        <f t="shared" si="15"/>
        <v>270000</v>
      </c>
      <c r="G97" s="67">
        <v>269000</v>
      </c>
      <c r="H97" s="67">
        <f t="shared" si="16"/>
        <v>1000</v>
      </c>
      <c r="I97" s="68">
        <v>5</v>
      </c>
      <c r="J97" s="68">
        <v>0.2</v>
      </c>
      <c r="K97" s="68">
        <v>0</v>
      </c>
      <c r="L97" s="110"/>
      <c r="M97" s="67">
        <f t="shared" si="17"/>
        <v>269000</v>
      </c>
      <c r="N97" s="462">
        <f t="shared" si="18"/>
        <v>1000</v>
      </c>
      <c r="O97" s="111" t="s">
        <v>2427</v>
      </c>
      <c r="P97" s="111">
        <v>6</v>
      </c>
      <c r="Q97" s="327"/>
      <c r="R97" s="23">
        <f t="shared" si="25"/>
        <v>200</v>
      </c>
      <c r="S97" s="10">
        <f t="shared" si="19"/>
        <v>13500</v>
      </c>
      <c r="T97" s="10">
        <f t="shared" si="20"/>
        <v>-12500</v>
      </c>
      <c r="U97" s="10">
        <f t="shared" si="14"/>
        <v>0</v>
      </c>
      <c r="V97" s="10">
        <f t="shared" si="21"/>
        <v>54000</v>
      </c>
      <c r="W97" s="10">
        <f t="shared" si="22"/>
        <v>0</v>
      </c>
      <c r="X97" s="10">
        <f t="shared" si="23"/>
        <v>0</v>
      </c>
    </row>
    <row r="98" spans="1:24" s="9" customFormat="1" ht="13.5" customHeight="1" x14ac:dyDescent="0.2">
      <c r="A98" s="64">
        <f t="shared" si="24"/>
        <v>94</v>
      </c>
      <c r="B98" s="109" t="s">
        <v>1855</v>
      </c>
      <c r="C98" s="66" t="s">
        <v>271</v>
      </c>
      <c r="D98" s="175">
        <v>240000</v>
      </c>
      <c r="E98" s="175"/>
      <c r="F98" s="67">
        <f t="shared" si="15"/>
        <v>240000</v>
      </c>
      <c r="G98" s="67">
        <v>239000</v>
      </c>
      <c r="H98" s="67">
        <f t="shared" si="16"/>
        <v>1000</v>
      </c>
      <c r="I98" s="68">
        <v>5</v>
      </c>
      <c r="J98" s="68">
        <v>0.2</v>
      </c>
      <c r="K98" s="68">
        <v>0</v>
      </c>
      <c r="L98" s="110"/>
      <c r="M98" s="67">
        <f t="shared" si="17"/>
        <v>239000</v>
      </c>
      <c r="N98" s="462">
        <f t="shared" si="18"/>
        <v>1000</v>
      </c>
      <c r="O98" s="111" t="s">
        <v>1932</v>
      </c>
      <c r="P98" s="111">
        <v>6</v>
      </c>
      <c r="Q98" s="327"/>
      <c r="R98" s="23">
        <f t="shared" si="25"/>
        <v>200</v>
      </c>
      <c r="S98" s="10">
        <f t="shared" si="19"/>
        <v>12000</v>
      </c>
      <c r="T98" s="10">
        <f t="shared" si="20"/>
        <v>-11000</v>
      </c>
      <c r="U98" s="10">
        <f t="shared" si="14"/>
        <v>0</v>
      </c>
      <c r="V98" s="10">
        <f t="shared" si="21"/>
        <v>48000</v>
      </c>
      <c r="W98" s="10">
        <f t="shared" si="22"/>
        <v>0</v>
      </c>
      <c r="X98" s="10">
        <f t="shared" si="23"/>
        <v>0</v>
      </c>
    </row>
    <row r="99" spans="1:24" s="9" customFormat="1" ht="13.5" customHeight="1" x14ac:dyDescent="0.2">
      <c r="A99" s="64">
        <f t="shared" si="24"/>
        <v>95</v>
      </c>
      <c r="B99" s="109" t="s">
        <v>2412</v>
      </c>
      <c r="C99" s="66" t="s">
        <v>271</v>
      </c>
      <c r="D99" s="175">
        <v>400000</v>
      </c>
      <c r="E99" s="175"/>
      <c r="F99" s="67">
        <f t="shared" si="15"/>
        <v>400000</v>
      </c>
      <c r="G99" s="67">
        <v>399000</v>
      </c>
      <c r="H99" s="67">
        <f t="shared" si="16"/>
        <v>1000</v>
      </c>
      <c r="I99" s="68">
        <v>5</v>
      </c>
      <c r="J99" s="68">
        <v>0.2</v>
      </c>
      <c r="K99" s="68">
        <v>0</v>
      </c>
      <c r="L99" s="110"/>
      <c r="M99" s="67">
        <f t="shared" si="17"/>
        <v>399000</v>
      </c>
      <c r="N99" s="462">
        <f t="shared" si="18"/>
        <v>1000</v>
      </c>
      <c r="O99" s="111" t="s">
        <v>2427</v>
      </c>
      <c r="P99" s="111">
        <v>5</v>
      </c>
      <c r="Q99" s="327"/>
      <c r="R99" s="23">
        <f t="shared" si="25"/>
        <v>200</v>
      </c>
      <c r="S99" s="10">
        <f t="shared" si="19"/>
        <v>20000</v>
      </c>
      <c r="T99" s="10">
        <f t="shared" si="20"/>
        <v>-19000</v>
      </c>
      <c r="U99" s="10">
        <f t="shared" si="14"/>
        <v>0</v>
      </c>
      <c r="V99" s="10">
        <f t="shared" si="21"/>
        <v>80000</v>
      </c>
      <c r="W99" s="10">
        <f t="shared" si="22"/>
        <v>0</v>
      </c>
      <c r="X99" s="10">
        <f t="shared" si="23"/>
        <v>0</v>
      </c>
    </row>
    <row r="100" spans="1:24" s="9" customFormat="1" ht="13.5" customHeight="1" x14ac:dyDescent="0.2">
      <c r="A100" s="64">
        <f t="shared" si="24"/>
        <v>96</v>
      </c>
      <c r="B100" s="109" t="s">
        <v>2251</v>
      </c>
      <c r="C100" s="66" t="s">
        <v>271</v>
      </c>
      <c r="D100" s="175">
        <v>50000</v>
      </c>
      <c r="E100" s="175"/>
      <c r="F100" s="67">
        <f t="shared" si="15"/>
        <v>50000</v>
      </c>
      <c r="G100" s="67">
        <v>49000</v>
      </c>
      <c r="H100" s="67">
        <f t="shared" si="16"/>
        <v>1000</v>
      </c>
      <c r="I100" s="68">
        <v>5</v>
      </c>
      <c r="J100" s="68">
        <v>0.2</v>
      </c>
      <c r="K100" s="68">
        <v>0</v>
      </c>
      <c r="L100" s="110"/>
      <c r="M100" s="67">
        <f t="shared" si="17"/>
        <v>49000</v>
      </c>
      <c r="N100" s="462">
        <f t="shared" si="18"/>
        <v>1000</v>
      </c>
      <c r="O100" s="111" t="s">
        <v>1932</v>
      </c>
      <c r="P100" s="111">
        <v>1</v>
      </c>
      <c r="Q100" s="327"/>
      <c r="R100" s="23">
        <f t="shared" si="25"/>
        <v>200</v>
      </c>
      <c r="S100" s="10">
        <f t="shared" si="19"/>
        <v>2500</v>
      </c>
      <c r="T100" s="10">
        <f t="shared" si="20"/>
        <v>-1500</v>
      </c>
      <c r="U100" s="10">
        <f t="shared" si="14"/>
        <v>0</v>
      </c>
      <c r="V100" s="10">
        <f t="shared" si="21"/>
        <v>10000</v>
      </c>
      <c r="W100" s="10">
        <f t="shared" si="22"/>
        <v>0</v>
      </c>
      <c r="X100" s="10">
        <f t="shared" si="23"/>
        <v>0</v>
      </c>
    </row>
    <row r="101" spans="1:24" s="9" customFormat="1" ht="13.5" customHeight="1" x14ac:dyDescent="0.2">
      <c r="A101" s="64">
        <f t="shared" si="24"/>
        <v>97</v>
      </c>
      <c r="B101" s="109" t="s">
        <v>2482</v>
      </c>
      <c r="C101" s="66" t="s">
        <v>2483</v>
      </c>
      <c r="D101" s="175">
        <v>106000</v>
      </c>
      <c r="E101" s="175"/>
      <c r="F101" s="67">
        <f t="shared" si="15"/>
        <v>106000</v>
      </c>
      <c r="G101" s="67">
        <v>105000</v>
      </c>
      <c r="H101" s="67">
        <f t="shared" si="16"/>
        <v>1000</v>
      </c>
      <c r="I101" s="68">
        <v>5</v>
      </c>
      <c r="J101" s="68">
        <v>0.2</v>
      </c>
      <c r="K101" s="68">
        <v>0</v>
      </c>
      <c r="L101" s="110"/>
      <c r="M101" s="67">
        <f t="shared" si="17"/>
        <v>105000</v>
      </c>
      <c r="N101" s="462">
        <f t="shared" si="18"/>
        <v>1000</v>
      </c>
      <c r="O101" s="111" t="s">
        <v>2029</v>
      </c>
      <c r="P101" s="111">
        <v>2</v>
      </c>
      <c r="Q101" s="327"/>
      <c r="R101" s="23">
        <f t="shared" si="25"/>
        <v>200</v>
      </c>
      <c r="S101" s="10">
        <f t="shared" si="19"/>
        <v>5300</v>
      </c>
      <c r="T101" s="10">
        <f t="shared" si="20"/>
        <v>-4300</v>
      </c>
      <c r="U101" s="10">
        <f t="shared" si="14"/>
        <v>0</v>
      </c>
      <c r="V101" s="10">
        <f t="shared" si="21"/>
        <v>21200</v>
      </c>
      <c r="W101" s="10">
        <f t="shared" si="22"/>
        <v>0</v>
      </c>
      <c r="X101" s="10">
        <f t="shared" si="23"/>
        <v>0</v>
      </c>
    </row>
    <row r="102" spans="1:24" s="9" customFormat="1" ht="13.5" customHeight="1" x14ac:dyDescent="0.2">
      <c r="A102" s="64">
        <f t="shared" si="24"/>
        <v>98</v>
      </c>
      <c r="B102" s="109" t="s">
        <v>2484</v>
      </c>
      <c r="C102" s="66" t="s">
        <v>2483</v>
      </c>
      <c r="D102" s="175">
        <v>88000</v>
      </c>
      <c r="E102" s="175"/>
      <c r="F102" s="67">
        <f t="shared" si="15"/>
        <v>88000</v>
      </c>
      <c r="G102" s="67">
        <v>87000</v>
      </c>
      <c r="H102" s="67">
        <f t="shared" si="16"/>
        <v>1000</v>
      </c>
      <c r="I102" s="68">
        <v>5</v>
      </c>
      <c r="J102" s="68">
        <v>0.2</v>
      </c>
      <c r="K102" s="68">
        <v>0</v>
      </c>
      <c r="L102" s="110"/>
      <c r="M102" s="67">
        <f t="shared" si="17"/>
        <v>87000</v>
      </c>
      <c r="N102" s="462">
        <f t="shared" si="18"/>
        <v>1000</v>
      </c>
      <c r="O102" s="111" t="s">
        <v>2029</v>
      </c>
      <c r="P102" s="111">
        <v>1</v>
      </c>
      <c r="Q102" s="327"/>
      <c r="R102" s="23">
        <f t="shared" si="25"/>
        <v>200</v>
      </c>
      <c r="S102" s="10">
        <f t="shared" si="19"/>
        <v>4400</v>
      </c>
      <c r="T102" s="10">
        <f t="shared" si="20"/>
        <v>-3400</v>
      </c>
      <c r="U102" s="10">
        <f t="shared" si="14"/>
        <v>0</v>
      </c>
      <c r="V102" s="10">
        <f t="shared" si="21"/>
        <v>17600</v>
      </c>
      <c r="W102" s="10">
        <f t="shared" si="22"/>
        <v>0</v>
      </c>
      <c r="X102" s="10">
        <f t="shared" si="23"/>
        <v>0</v>
      </c>
    </row>
    <row r="103" spans="1:24" s="9" customFormat="1" ht="13.5" customHeight="1" x14ac:dyDescent="0.2">
      <c r="A103" s="292">
        <f t="shared" si="24"/>
        <v>99</v>
      </c>
      <c r="B103" s="558" t="s">
        <v>2485</v>
      </c>
      <c r="C103" s="329" t="s">
        <v>2486</v>
      </c>
      <c r="D103" s="310">
        <v>0</v>
      </c>
      <c r="E103" s="310"/>
      <c r="F103" s="295">
        <f t="shared" si="15"/>
        <v>0</v>
      </c>
      <c r="G103" s="295">
        <v>0</v>
      </c>
      <c r="H103" s="295">
        <f t="shared" si="16"/>
        <v>0</v>
      </c>
      <c r="I103" s="296">
        <v>5</v>
      </c>
      <c r="J103" s="296">
        <v>0.2</v>
      </c>
      <c r="K103" s="296">
        <v>0</v>
      </c>
      <c r="L103" s="287"/>
      <c r="M103" s="295">
        <f t="shared" si="17"/>
        <v>0</v>
      </c>
      <c r="N103" s="468">
        <f t="shared" si="18"/>
        <v>0</v>
      </c>
      <c r="O103" s="297" t="s">
        <v>2487</v>
      </c>
      <c r="P103" s="297">
        <v>1</v>
      </c>
      <c r="Q103" s="637"/>
      <c r="R103" s="23">
        <f t="shared" si="25"/>
        <v>0</v>
      </c>
      <c r="S103" s="10">
        <f t="shared" si="19"/>
        <v>0</v>
      </c>
      <c r="T103" s="10">
        <f t="shared" si="20"/>
        <v>0</v>
      </c>
      <c r="U103" s="10"/>
      <c r="V103" s="10">
        <f t="shared" si="21"/>
        <v>0</v>
      </c>
      <c r="W103" s="10">
        <f t="shared" si="22"/>
        <v>0</v>
      </c>
      <c r="X103" s="10">
        <f t="shared" si="23"/>
        <v>0</v>
      </c>
    </row>
    <row r="104" spans="1:24" s="9" customFormat="1" ht="13.5" customHeight="1" x14ac:dyDescent="0.2">
      <c r="A104" s="64">
        <f t="shared" si="24"/>
        <v>100</v>
      </c>
      <c r="B104" s="109" t="s">
        <v>1888</v>
      </c>
      <c r="C104" s="66" t="s">
        <v>773</v>
      </c>
      <c r="D104" s="175">
        <v>4160000</v>
      </c>
      <c r="E104" s="175"/>
      <c r="F104" s="67">
        <f t="shared" si="15"/>
        <v>4160000</v>
      </c>
      <c r="G104" s="67">
        <v>4159000</v>
      </c>
      <c r="H104" s="67">
        <f t="shared" si="16"/>
        <v>1000</v>
      </c>
      <c r="I104" s="68">
        <v>5</v>
      </c>
      <c r="J104" s="68">
        <v>0.2</v>
      </c>
      <c r="K104" s="68">
        <v>0</v>
      </c>
      <c r="L104" s="110"/>
      <c r="M104" s="67">
        <f t="shared" si="17"/>
        <v>4159000</v>
      </c>
      <c r="N104" s="462">
        <f t="shared" si="18"/>
        <v>1000</v>
      </c>
      <c r="O104" s="111" t="s">
        <v>2488</v>
      </c>
      <c r="P104" s="111">
        <v>4</v>
      </c>
      <c r="Q104" s="327"/>
      <c r="R104" s="23">
        <f t="shared" si="25"/>
        <v>200</v>
      </c>
      <c r="S104" s="10">
        <f t="shared" si="19"/>
        <v>208000</v>
      </c>
      <c r="T104" s="10">
        <f t="shared" si="20"/>
        <v>-207000</v>
      </c>
      <c r="U104" s="10">
        <f t="shared" ref="U104:U114" si="26">N104-1000</f>
        <v>0</v>
      </c>
      <c r="V104" s="10">
        <f t="shared" si="21"/>
        <v>832000</v>
      </c>
      <c r="W104" s="10">
        <f t="shared" si="22"/>
        <v>0</v>
      </c>
      <c r="X104" s="10">
        <f t="shared" si="23"/>
        <v>0</v>
      </c>
    </row>
    <row r="105" spans="1:24" s="9" customFormat="1" ht="13.5" customHeight="1" x14ac:dyDescent="0.2">
      <c r="A105" s="64">
        <f t="shared" si="24"/>
        <v>101</v>
      </c>
      <c r="B105" s="109" t="s">
        <v>2051</v>
      </c>
      <c r="C105" s="66" t="s">
        <v>773</v>
      </c>
      <c r="D105" s="175">
        <v>400000</v>
      </c>
      <c r="E105" s="175"/>
      <c r="F105" s="67">
        <f t="shared" si="15"/>
        <v>400000</v>
      </c>
      <c r="G105" s="67">
        <v>399000</v>
      </c>
      <c r="H105" s="67">
        <f t="shared" si="16"/>
        <v>1000</v>
      </c>
      <c r="I105" s="68">
        <v>5</v>
      </c>
      <c r="J105" s="68">
        <v>0.2</v>
      </c>
      <c r="K105" s="68">
        <v>0</v>
      </c>
      <c r="L105" s="110"/>
      <c r="M105" s="67">
        <f t="shared" si="17"/>
        <v>399000</v>
      </c>
      <c r="N105" s="462">
        <f t="shared" si="18"/>
        <v>1000</v>
      </c>
      <c r="O105" s="111" t="s">
        <v>2023</v>
      </c>
      <c r="P105" s="111">
        <v>1</v>
      </c>
      <c r="Q105" s="327"/>
      <c r="R105" s="23">
        <f t="shared" si="25"/>
        <v>200</v>
      </c>
      <c r="S105" s="10">
        <f t="shared" si="19"/>
        <v>20000</v>
      </c>
      <c r="T105" s="10">
        <f t="shared" si="20"/>
        <v>-19000</v>
      </c>
      <c r="U105" s="10">
        <f t="shared" si="26"/>
        <v>0</v>
      </c>
      <c r="V105" s="10">
        <f t="shared" si="21"/>
        <v>80000</v>
      </c>
      <c r="W105" s="10">
        <f t="shared" si="22"/>
        <v>0</v>
      </c>
      <c r="X105" s="10">
        <f t="shared" si="23"/>
        <v>0</v>
      </c>
    </row>
    <row r="106" spans="1:24" s="9" customFormat="1" ht="13.5" customHeight="1" x14ac:dyDescent="0.2">
      <c r="A106" s="64">
        <f t="shared" si="24"/>
        <v>102</v>
      </c>
      <c r="B106" s="109" t="s">
        <v>2489</v>
      </c>
      <c r="C106" s="66" t="s">
        <v>773</v>
      </c>
      <c r="D106" s="175">
        <v>2300000</v>
      </c>
      <c r="E106" s="175"/>
      <c r="F106" s="67">
        <f t="shared" si="15"/>
        <v>2300000</v>
      </c>
      <c r="G106" s="67">
        <v>2299000</v>
      </c>
      <c r="H106" s="67">
        <f t="shared" si="16"/>
        <v>1000</v>
      </c>
      <c r="I106" s="68">
        <v>5</v>
      </c>
      <c r="J106" s="68">
        <v>0.2</v>
      </c>
      <c r="K106" s="68">
        <v>0</v>
      </c>
      <c r="L106" s="110"/>
      <c r="M106" s="67">
        <f t="shared" si="17"/>
        <v>2299000</v>
      </c>
      <c r="N106" s="462">
        <f t="shared" si="18"/>
        <v>1000</v>
      </c>
      <c r="O106" s="111" t="s">
        <v>1965</v>
      </c>
      <c r="P106" s="111">
        <v>1</v>
      </c>
      <c r="Q106" s="327"/>
      <c r="R106" s="23">
        <f t="shared" si="25"/>
        <v>200</v>
      </c>
      <c r="S106" s="10">
        <f t="shared" si="19"/>
        <v>115000</v>
      </c>
      <c r="T106" s="10">
        <f t="shared" si="20"/>
        <v>-114000</v>
      </c>
      <c r="U106" s="10">
        <f t="shared" si="26"/>
        <v>0</v>
      </c>
      <c r="V106" s="10">
        <f t="shared" si="21"/>
        <v>460000</v>
      </c>
      <c r="W106" s="10">
        <f t="shared" si="22"/>
        <v>0</v>
      </c>
      <c r="X106" s="10">
        <f t="shared" si="23"/>
        <v>0</v>
      </c>
    </row>
    <row r="107" spans="1:24" s="9" customFormat="1" ht="13.5" customHeight="1" x14ac:dyDescent="0.2">
      <c r="A107" s="64">
        <f t="shared" si="24"/>
        <v>103</v>
      </c>
      <c r="B107" s="109" t="s">
        <v>2490</v>
      </c>
      <c r="C107" s="66" t="s">
        <v>2491</v>
      </c>
      <c r="D107" s="175">
        <v>200000</v>
      </c>
      <c r="E107" s="175"/>
      <c r="F107" s="67">
        <f t="shared" si="15"/>
        <v>200000</v>
      </c>
      <c r="G107" s="67">
        <v>199000</v>
      </c>
      <c r="H107" s="67">
        <f t="shared" si="16"/>
        <v>1000</v>
      </c>
      <c r="I107" s="68">
        <v>5</v>
      </c>
      <c r="J107" s="68">
        <v>0.2</v>
      </c>
      <c r="K107" s="68">
        <v>0</v>
      </c>
      <c r="L107" s="110"/>
      <c r="M107" s="67">
        <f t="shared" si="17"/>
        <v>199000</v>
      </c>
      <c r="N107" s="462">
        <f t="shared" si="18"/>
        <v>1000</v>
      </c>
      <c r="O107" s="111" t="s">
        <v>2458</v>
      </c>
      <c r="P107" s="111">
        <v>2</v>
      </c>
      <c r="Q107" s="327"/>
      <c r="R107" s="23">
        <f t="shared" si="25"/>
        <v>200</v>
      </c>
      <c r="S107" s="10">
        <f t="shared" si="19"/>
        <v>10000</v>
      </c>
      <c r="T107" s="10">
        <f t="shared" si="20"/>
        <v>-9000</v>
      </c>
      <c r="U107" s="10">
        <f t="shared" si="26"/>
        <v>0</v>
      </c>
      <c r="V107" s="10">
        <f t="shared" si="21"/>
        <v>40000</v>
      </c>
      <c r="W107" s="10">
        <f t="shared" si="22"/>
        <v>0</v>
      </c>
      <c r="X107" s="10">
        <f t="shared" si="23"/>
        <v>0</v>
      </c>
    </row>
    <row r="108" spans="1:24" s="9" customFormat="1" ht="13.5" customHeight="1" x14ac:dyDescent="0.2">
      <c r="A108" s="64">
        <f t="shared" si="24"/>
        <v>104</v>
      </c>
      <c r="B108" s="109" t="s">
        <v>2492</v>
      </c>
      <c r="C108" s="66" t="s">
        <v>2491</v>
      </c>
      <c r="D108" s="175">
        <v>190000</v>
      </c>
      <c r="E108" s="175"/>
      <c r="F108" s="67">
        <f t="shared" si="15"/>
        <v>190000</v>
      </c>
      <c r="G108" s="67">
        <v>189000</v>
      </c>
      <c r="H108" s="67">
        <f t="shared" si="16"/>
        <v>1000</v>
      </c>
      <c r="I108" s="68">
        <v>5</v>
      </c>
      <c r="J108" s="68">
        <v>0.2</v>
      </c>
      <c r="K108" s="68">
        <v>0</v>
      </c>
      <c r="L108" s="110"/>
      <c r="M108" s="67">
        <f t="shared" si="17"/>
        <v>189000</v>
      </c>
      <c r="N108" s="462">
        <f t="shared" si="18"/>
        <v>1000</v>
      </c>
      <c r="O108" s="111" t="s">
        <v>2458</v>
      </c>
      <c r="P108" s="111">
        <v>1</v>
      </c>
      <c r="Q108" s="327"/>
      <c r="R108" s="23">
        <f t="shared" si="25"/>
        <v>200</v>
      </c>
      <c r="S108" s="10">
        <f t="shared" si="19"/>
        <v>9500</v>
      </c>
      <c r="T108" s="10">
        <f t="shared" si="20"/>
        <v>-8500</v>
      </c>
      <c r="U108" s="10">
        <f t="shared" si="26"/>
        <v>0</v>
      </c>
      <c r="V108" s="10">
        <f t="shared" si="21"/>
        <v>38000</v>
      </c>
      <c r="W108" s="10">
        <f t="shared" si="22"/>
        <v>0</v>
      </c>
      <c r="X108" s="10">
        <f t="shared" si="23"/>
        <v>0</v>
      </c>
    </row>
    <row r="109" spans="1:24" s="9" customFormat="1" ht="13.5" customHeight="1" x14ac:dyDescent="0.2">
      <c r="A109" s="64">
        <f t="shared" si="24"/>
        <v>105</v>
      </c>
      <c r="B109" s="109" t="s">
        <v>2457</v>
      </c>
      <c r="C109" s="66" t="s">
        <v>2491</v>
      </c>
      <c r="D109" s="175">
        <v>680000</v>
      </c>
      <c r="E109" s="175"/>
      <c r="F109" s="67">
        <f t="shared" si="15"/>
        <v>680000</v>
      </c>
      <c r="G109" s="67">
        <v>679000</v>
      </c>
      <c r="H109" s="67">
        <f t="shared" si="16"/>
        <v>1000</v>
      </c>
      <c r="I109" s="68">
        <v>5</v>
      </c>
      <c r="J109" s="68">
        <v>0.2</v>
      </c>
      <c r="K109" s="68">
        <v>0</v>
      </c>
      <c r="L109" s="110"/>
      <c r="M109" s="67">
        <f t="shared" si="17"/>
        <v>679000</v>
      </c>
      <c r="N109" s="462">
        <f t="shared" si="18"/>
        <v>1000</v>
      </c>
      <c r="O109" s="111" t="s">
        <v>2458</v>
      </c>
      <c r="P109" s="111">
        <v>4</v>
      </c>
      <c r="Q109" s="327"/>
      <c r="R109" s="23">
        <f t="shared" si="25"/>
        <v>200</v>
      </c>
      <c r="S109" s="10">
        <f t="shared" si="19"/>
        <v>34000</v>
      </c>
      <c r="T109" s="10">
        <f t="shared" si="20"/>
        <v>-33000</v>
      </c>
      <c r="U109" s="10">
        <f t="shared" si="26"/>
        <v>0</v>
      </c>
      <c r="V109" s="10">
        <f t="shared" si="21"/>
        <v>136000</v>
      </c>
      <c r="W109" s="10">
        <f t="shared" si="22"/>
        <v>0</v>
      </c>
      <c r="X109" s="10">
        <f t="shared" si="23"/>
        <v>0</v>
      </c>
    </row>
    <row r="110" spans="1:24" s="9" customFormat="1" ht="13.5" customHeight="1" x14ac:dyDescent="0.2">
      <c r="A110" s="64">
        <f t="shared" si="24"/>
        <v>106</v>
      </c>
      <c r="B110" s="109" t="s">
        <v>2493</v>
      </c>
      <c r="C110" s="66" t="s">
        <v>2016</v>
      </c>
      <c r="D110" s="175">
        <v>455000</v>
      </c>
      <c r="E110" s="175"/>
      <c r="F110" s="67">
        <f t="shared" si="15"/>
        <v>455000</v>
      </c>
      <c r="G110" s="67">
        <v>454000</v>
      </c>
      <c r="H110" s="67">
        <f t="shared" si="16"/>
        <v>1000</v>
      </c>
      <c r="I110" s="68">
        <v>5</v>
      </c>
      <c r="J110" s="68">
        <v>0.2</v>
      </c>
      <c r="K110" s="68">
        <v>0</v>
      </c>
      <c r="L110" s="110"/>
      <c r="M110" s="67">
        <f t="shared" si="17"/>
        <v>454000</v>
      </c>
      <c r="N110" s="462">
        <f t="shared" si="18"/>
        <v>1000</v>
      </c>
      <c r="O110" s="111" t="s">
        <v>1932</v>
      </c>
      <c r="P110" s="111">
        <v>13</v>
      </c>
      <c r="Q110" s="327"/>
      <c r="R110" s="23">
        <f t="shared" si="25"/>
        <v>200</v>
      </c>
      <c r="S110" s="10">
        <f t="shared" si="19"/>
        <v>22750</v>
      </c>
      <c r="T110" s="10">
        <f t="shared" si="20"/>
        <v>-21750</v>
      </c>
      <c r="U110" s="10">
        <f t="shared" si="26"/>
        <v>0</v>
      </c>
      <c r="V110" s="10">
        <f t="shared" si="21"/>
        <v>91000</v>
      </c>
      <c r="W110" s="10">
        <f t="shared" si="22"/>
        <v>0</v>
      </c>
      <c r="X110" s="10">
        <f t="shared" si="23"/>
        <v>0</v>
      </c>
    </row>
    <row r="111" spans="1:24" s="9" customFormat="1" ht="13.5" customHeight="1" x14ac:dyDescent="0.2">
      <c r="A111" s="64">
        <f t="shared" si="24"/>
        <v>107</v>
      </c>
      <c r="B111" s="109" t="s">
        <v>2494</v>
      </c>
      <c r="C111" s="66" t="s">
        <v>2016</v>
      </c>
      <c r="D111" s="175">
        <v>160000</v>
      </c>
      <c r="E111" s="175"/>
      <c r="F111" s="67">
        <f t="shared" si="15"/>
        <v>160000</v>
      </c>
      <c r="G111" s="67">
        <v>159000</v>
      </c>
      <c r="H111" s="67">
        <f t="shared" si="16"/>
        <v>1000</v>
      </c>
      <c r="I111" s="68">
        <v>5</v>
      </c>
      <c r="J111" s="68">
        <v>0.2</v>
      </c>
      <c r="K111" s="68">
        <v>0</v>
      </c>
      <c r="L111" s="110"/>
      <c r="M111" s="67">
        <f t="shared" si="17"/>
        <v>159000</v>
      </c>
      <c r="N111" s="462">
        <f t="shared" si="18"/>
        <v>1000</v>
      </c>
      <c r="O111" s="111" t="s">
        <v>1932</v>
      </c>
      <c r="P111" s="111">
        <v>5</v>
      </c>
      <c r="Q111" s="327"/>
      <c r="R111" s="23">
        <f t="shared" si="25"/>
        <v>200</v>
      </c>
      <c r="S111" s="10">
        <f t="shared" si="19"/>
        <v>8000</v>
      </c>
      <c r="T111" s="10">
        <f t="shared" si="20"/>
        <v>-7000</v>
      </c>
      <c r="U111" s="10">
        <f t="shared" si="26"/>
        <v>0</v>
      </c>
      <c r="V111" s="10">
        <f t="shared" si="21"/>
        <v>32000</v>
      </c>
      <c r="W111" s="10">
        <f t="shared" si="22"/>
        <v>0</v>
      </c>
      <c r="X111" s="10">
        <f t="shared" si="23"/>
        <v>0</v>
      </c>
    </row>
    <row r="112" spans="1:24" s="9" customFormat="1" ht="13.5" customHeight="1" x14ac:dyDescent="0.2">
      <c r="A112" s="64">
        <f t="shared" si="24"/>
        <v>108</v>
      </c>
      <c r="B112" s="109" t="s">
        <v>2495</v>
      </c>
      <c r="C112" s="66" t="s">
        <v>2016</v>
      </c>
      <c r="D112" s="175">
        <v>85000</v>
      </c>
      <c r="E112" s="175"/>
      <c r="F112" s="67">
        <f t="shared" si="15"/>
        <v>85000</v>
      </c>
      <c r="G112" s="67">
        <v>84000</v>
      </c>
      <c r="H112" s="67">
        <f t="shared" si="16"/>
        <v>1000</v>
      </c>
      <c r="I112" s="68">
        <v>5</v>
      </c>
      <c r="J112" s="68">
        <v>0.2</v>
      </c>
      <c r="K112" s="68">
        <v>0</v>
      </c>
      <c r="L112" s="110"/>
      <c r="M112" s="67">
        <f t="shared" si="17"/>
        <v>84000</v>
      </c>
      <c r="N112" s="462">
        <f t="shared" si="18"/>
        <v>1000</v>
      </c>
      <c r="O112" s="111" t="s">
        <v>1932</v>
      </c>
      <c r="P112" s="111">
        <v>10</v>
      </c>
      <c r="Q112" s="327"/>
      <c r="R112" s="23">
        <f t="shared" si="25"/>
        <v>200</v>
      </c>
      <c r="S112" s="10">
        <f t="shared" si="19"/>
        <v>4250</v>
      </c>
      <c r="T112" s="10">
        <f t="shared" si="20"/>
        <v>-3250</v>
      </c>
      <c r="U112" s="10">
        <f t="shared" si="26"/>
        <v>0</v>
      </c>
      <c r="V112" s="10">
        <f t="shared" si="21"/>
        <v>17000</v>
      </c>
      <c r="W112" s="10">
        <f t="shared" si="22"/>
        <v>0</v>
      </c>
      <c r="X112" s="10">
        <f t="shared" si="23"/>
        <v>0</v>
      </c>
    </row>
    <row r="113" spans="1:24" s="9" customFormat="1" ht="13.5" customHeight="1" x14ac:dyDescent="0.2">
      <c r="A113" s="64">
        <f t="shared" si="24"/>
        <v>109</v>
      </c>
      <c r="B113" s="109" t="s">
        <v>2496</v>
      </c>
      <c r="C113" s="66" t="s">
        <v>2016</v>
      </c>
      <c r="D113" s="175">
        <v>330000</v>
      </c>
      <c r="E113" s="175"/>
      <c r="F113" s="67">
        <f t="shared" si="15"/>
        <v>330000</v>
      </c>
      <c r="G113" s="67">
        <v>329000</v>
      </c>
      <c r="H113" s="67">
        <f t="shared" si="16"/>
        <v>1000</v>
      </c>
      <c r="I113" s="68">
        <v>5</v>
      </c>
      <c r="J113" s="68">
        <v>0.2</v>
      </c>
      <c r="K113" s="68">
        <v>0</v>
      </c>
      <c r="L113" s="110"/>
      <c r="M113" s="67">
        <f t="shared" si="17"/>
        <v>329000</v>
      </c>
      <c r="N113" s="462">
        <f t="shared" si="18"/>
        <v>1000</v>
      </c>
      <c r="O113" s="111" t="s">
        <v>1932</v>
      </c>
      <c r="P113" s="111">
        <v>2</v>
      </c>
      <c r="Q113" s="327"/>
      <c r="R113" s="23">
        <f t="shared" si="25"/>
        <v>200</v>
      </c>
      <c r="S113" s="10">
        <f t="shared" si="19"/>
        <v>16500</v>
      </c>
      <c r="T113" s="10">
        <f t="shared" si="20"/>
        <v>-15500</v>
      </c>
      <c r="U113" s="10">
        <f t="shared" si="26"/>
        <v>0</v>
      </c>
      <c r="V113" s="10">
        <f t="shared" si="21"/>
        <v>66000</v>
      </c>
      <c r="W113" s="10">
        <f t="shared" si="22"/>
        <v>0</v>
      </c>
      <c r="X113" s="10">
        <f t="shared" si="23"/>
        <v>0</v>
      </c>
    </row>
    <row r="114" spans="1:24" s="9" customFormat="1" ht="13.5" customHeight="1" x14ac:dyDescent="0.2">
      <c r="A114" s="64">
        <f t="shared" si="24"/>
        <v>110</v>
      </c>
      <c r="B114" s="109" t="s">
        <v>2497</v>
      </c>
      <c r="C114" s="66" t="s">
        <v>2498</v>
      </c>
      <c r="D114" s="175">
        <v>450000</v>
      </c>
      <c r="E114" s="175"/>
      <c r="F114" s="67">
        <f t="shared" si="15"/>
        <v>450000</v>
      </c>
      <c r="G114" s="67">
        <v>449000</v>
      </c>
      <c r="H114" s="67">
        <f t="shared" si="16"/>
        <v>1000</v>
      </c>
      <c r="I114" s="68">
        <v>5</v>
      </c>
      <c r="J114" s="68">
        <v>0.2</v>
      </c>
      <c r="K114" s="68">
        <v>0</v>
      </c>
      <c r="L114" s="110"/>
      <c r="M114" s="67">
        <f t="shared" si="17"/>
        <v>449000</v>
      </c>
      <c r="N114" s="462">
        <f t="shared" si="18"/>
        <v>1000</v>
      </c>
      <c r="O114" s="111" t="s">
        <v>2499</v>
      </c>
      <c r="P114" s="111">
        <v>1</v>
      </c>
      <c r="Q114" s="327"/>
      <c r="R114" s="23">
        <f t="shared" si="25"/>
        <v>200</v>
      </c>
      <c r="S114" s="10">
        <f t="shared" si="19"/>
        <v>22500</v>
      </c>
      <c r="T114" s="10">
        <f t="shared" si="20"/>
        <v>-21500</v>
      </c>
      <c r="U114" s="10">
        <f t="shared" si="26"/>
        <v>0</v>
      </c>
      <c r="V114" s="10">
        <f t="shared" si="21"/>
        <v>90000</v>
      </c>
      <c r="W114" s="10">
        <f t="shared" si="22"/>
        <v>0</v>
      </c>
      <c r="X114" s="10">
        <f t="shared" si="23"/>
        <v>0</v>
      </c>
    </row>
    <row r="115" spans="1:24" s="9" customFormat="1" ht="13.5" customHeight="1" x14ac:dyDescent="0.2">
      <c r="A115" s="292">
        <f t="shared" si="24"/>
        <v>111</v>
      </c>
      <c r="B115" s="558" t="s">
        <v>2500</v>
      </c>
      <c r="C115" s="329" t="s">
        <v>2501</v>
      </c>
      <c r="D115" s="310">
        <v>0</v>
      </c>
      <c r="E115" s="310"/>
      <c r="F115" s="295">
        <f t="shared" si="15"/>
        <v>0</v>
      </c>
      <c r="G115" s="295">
        <v>0</v>
      </c>
      <c r="H115" s="295">
        <f t="shared" si="16"/>
        <v>0</v>
      </c>
      <c r="I115" s="296">
        <v>5</v>
      </c>
      <c r="J115" s="296">
        <v>0.2</v>
      </c>
      <c r="K115" s="296">
        <v>0</v>
      </c>
      <c r="L115" s="287"/>
      <c r="M115" s="295">
        <f t="shared" si="17"/>
        <v>0</v>
      </c>
      <c r="N115" s="468">
        <f t="shared" si="18"/>
        <v>0</v>
      </c>
      <c r="O115" s="297" t="s">
        <v>2014</v>
      </c>
      <c r="P115" s="297">
        <v>1</v>
      </c>
      <c r="Q115" s="637"/>
      <c r="R115" s="23">
        <f t="shared" si="25"/>
        <v>0</v>
      </c>
      <c r="S115" s="10">
        <f t="shared" si="19"/>
        <v>0</v>
      </c>
      <c r="T115" s="10">
        <f t="shared" si="20"/>
        <v>0</v>
      </c>
      <c r="U115" s="10"/>
      <c r="V115" s="10">
        <f t="shared" si="21"/>
        <v>0</v>
      </c>
      <c r="W115" s="10">
        <f t="shared" si="22"/>
        <v>0</v>
      </c>
      <c r="X115" s="10">
        <f t="shared" si="23"/>
        <v>0</v>
      </c>
    </row>
    <row r="116" spans="1:24" s="9" customFormat="1" ht="13.5" customHeight="1" x14ac:dyDescent="0.2">
      <c r="A116" s="64">
        <f t="shared" si="24"/>
        <v>112</v>
      </c>
      <c r="B116" s="109" t="s">
        <v>1888</v>
      </c>
      <c r="C116" s="66" t="s">
        <v>779</v>
      </c>
      <c r="D116" s="175">
        <v>2400000</v>
      </c>
      <c r="E116" s="175"/>
      <c r="F116" s="67">
        <f t="shared" si="15"/>
        <v>2400000</v>
      </c>
      <c r="G116" s="67">
        <v>2399000</v>
      </c>
      <c r="H116" s="67">
        <f t="shared" si="16"/>
        <v>1000</v>
      </c>
      <c r="I116" s="68">
        <v>5</v>
      </c>
      <c r="J116" s="68">
        <v>0.2</v>
      </c>
      <c r="K116" s="68">
        <v>0</v>
      </c>
      <c r="L116" s="110"/>
      <c r="M116" s="67">
        <f t="shared" si="17"/>
        <v>2399000</v>
      </c>
      <c r="N116" s="462">
        <f t="shared" si="18"/>
        <v>1000</v>
      </c>
      <c r="O116" s="111" t="s">
        <v>2023</v>
      </c>
      <c r="P116" s="111">
        <v>2</v>
      </c>
      <c r="Q116" s="327"/>
      <c r="R116" s="23">
        <f t="shared" si="25"/>
        <v>200</v>
      </c>
      <c r="S116" s="10">
        <f t="shared" si="19"/>
        <v>120000</v>
      </c>
      <c r="T116" s="10">
        <f t="shared" si="20"/>
        <v>-119000</v>
      </c>
      <c r="U116" s="10">
        <f t="shared" ref="U116:U155" si="27">N116-1000</f>
        <v>0</v>
      </c>
      <c r="V116" s="10">
        <f t="shared" si="21"/>
        <v>480000</v>
      </c>
      <c r="W116" s="10">
        <f t="shared" si="22"/>
        <v>0</v>
      </c>
      <c r="X116" s="10">
        <f t="shared" si="23"/>
        <v>0</v>
      </c>
    </row>
    <row r="117" spans="1:24" s="9" customFormat="1" ht="13.5" customHeight="1" x14ac:dyDescent="0.2">
      <c r="A117" s="64">
        <f t="shared" si="24"/>
        <v>113</v>
      </c>
      <c r="B117" s="109" t="s">
        <v>1873</v>
      </c>
      <c r="C117" s="66" t="s">
        <v>1332</v>
      </c>
      <c r="D117" s="175">
        <v>45000</v>
      </c>
      <c r="E117" s="175"/>
      <c r="F117" s="67">
        <f t="shared" si="15"/>
        <v>45000</v>
      </c>
      <c r="G117" s="67">
        <v>44000</v>
      </c>
      <c r="H117" s="67">
        <f t="shared" si="16"/>
        <v>1000</v>
      </c>
      <c r="I117" s="68">
        <v>5</v>
      </c>
      <c r="J117" s="68">
        <v>0.2</v>
      </c>
      <c r="K117" s="68">
        <v>0</v>
      </c>
      <c r="L117" s="110"/>
      <c r="M117" s="67">
        <f t="shared" si="17"/>
        <v>44000</v>
      </c>
      <c r="N117" s="462">
        <f t="shared" si="18"/>
        <v>1000</v>
      </c>
      <c r="O117" s="111" t="s">
        <v>1932</v>
      </c>
      <c r="P117" s="111">
        <v>1</v>
      </c>
      <c r="Q117" s="327"/>
      <c r="R117" s="23">
        <f t="shared" si="25"/>
        <v>200</v>
      </c>
      <c r="S117" s="10">
        <f t="shared" si="19"/>
        <v>2250</v>
      </c>
      <c r="T117" s="10">
        <f t="shared" si="20"/>
        <v>-1250</v>
      </c>
      <c r="U117" s="10">
        <f t="shared" si="27"/>
        <v>0</v>
      </c>
      <c r="V117" s="10">
        <f t="shared" si="21"/>
        <v>9000</v>
      </c>
      <c r="W117" s="10">
        <f t="shared" si="22"/>
        <v>0</v>
      </c>
      <c r="X117" s="10">
        <f t="shared" si="23"/>
        <v>0</v>
      </c>
    </row>
    <row r="118" spans="1:24" s="9" customFormat="1" ht="13.5" customHeight="1" x14ac:dyDescent="0.2">
      <c r="A118" s="64">
        <f t="shared" si="24"/>
        <v>114</v>
      </c>
      <c r="B118" s="109" t="s">
        <v>1855</v>
      </c>
      <c r="C118" s="66" t="s">
        <v>1332</v>
      </c>
      <c r="D118" s="175">
        <v>40000</v>
      </c>
      <c r="E118" s="175"/>
      <c r="F118" s="67">
        <f t="shared" si="15"/>
        <v>40000</v>
      </c>
      <c r="G118" s="67">
        <v>39000</v>
      </c>
      <c r="H118" s="67">
        <f t="shared" si="16"/>
        <v>1000</v>
      </c>
      <c r="I118" s="68">
        <v>5</v>
      </c>
      <c r="J118" s="68">
        <v>0.2</v>
      </c>
      <c r="K118" s="68">
        <v>0</v>
      </c>
      <c r="L118" s="110"/>
      <c r="M118" s="67">
        <f t="shared" si="17"/>
        <v>39000</v>
      </c>
      <c r="N118" s="462">
        <f t="shared" si="18"/>
        <v>1000</v>
      </c>
      <c r="O118" s="111" t="s">
        <v>1932</v>
      </c>
      <c r="P118" s="111">
        <v>1</v>
      </c>
      <c r="Q118" s="327"/>
      <c r="R118" s="23">
        <f t="shared" si="25"/>
        <v>200</v>
      </c>
      <c r="S118" s="10">
        <f t="shared" si="19"/>
        <v>2000</v>
      </c>
      <c r="T118" s="10">
        <f t="shared" si="20"/>
        <v>-1000</v>
      </c>
      <c r="U118" s="10">
        <f t="shared" si="27"/>
        <v>0</v>
      </c>
      <c r="V118" s="10">
        <f t="shared" si="21"/>
        <v>8000</v>
      </c>
      <c r="W118" s="10">
        <f t="shared" si="22"/>
        <v>0</v>
      </c>
      <c r="X118" s="10">
        <f t="shared" si="23"/>
        <v>0</v>
      </c>
    </row>
    <row r="119" spans="1:24" s="9" customFormat="1" ht="13.5" customHeight="1" x14ac:dyDescent="0.2">
      <c r="A119" s="64">
        <f t="shared" si="24"/>
        <v>115</v>
      </c>
      <c r="B119" s="109" t="s">
        <v>1877</v>
      </c>
      <c r="C119" s="66" t="s">
        <v>1332</v>
      </c>
      <c r="D119" s="175">
        <v>80000</v>
      </c>
      <c r="E119" s="175"/>
      <c r="F119" s="67">
        <f t="shared" si="15"/>
        <v>80000</v>
      </c>
      <c r="G119" s="67">
        <v>79000</v>
      </c>
      <c r="H119" s="67">
        <f t="shared" si="16"/>
        <v>1000</v>
      </c>
      <c r="I119" s="68">
        <v>5</v>
      </c>
      <c r="J119" s="68">
        <v>0.2</v>
      </c>
      <c r="K119" s="68">
        <v>0</v>
      </c>
      <c r="L119" s="110"/>
      <c r="M119" s="67">
        <f t="shared" si="17"/>
        <v>79000</v>
      </c>
      <c r="N119" s="462">
        <f t="shared" si="18"/>
        <v>1000</v>
      </c>
      <c r="O119" s="111" t="s">
        <v>1932</v>
      </c>
      <c r="P119" s="111">
        <v>1</v>
      </c>
      <c r="Q119" s="327"/>
      <c r="R119" s="23">
        <f t="shared" si="25"/>
        <v>200</v>
      </c>
      <c r="S119" s="10">
        <f t="shared" si="19"/>
        <v>4000</v>
      </c>
      <c r="T119" s="10">
        <f t="shared" si="20"/>
        <v>-3000</v>
      </c>
      <c r="U119" s="10">
        <f t="shared" si="27"/>
        <v>0</v>
      </c>
      <c r="V119" s="10">
        <f t="shared" si="21"/>
        <v>16000</v>
      </c>
      <c r="W119" s="10">
        <f t="shared" si="22"/>
        <v>0</v>
      </c>
      <c r="X119" s="10">
        <f t="shared" si="23"/>
        <v>0</v>
      </c>
    </row>
    <row r="120" spans="1:24" s="9" customFormat="1" ht="13.5" customHeight="1" x14ac:dyDescent="0.2">
      <c r="A120" s="64">
        <f t="shared" si="24"/>
        <v>116</v>
      </c>
      <c r="B120" s="109" t="s">
        <v>2502</v>
      </c>
      <c r="C120" s="66" t="s">
        <v>2503</v>
      </c>
      <c r="D120" s="175">
        <v>500000</v>
      </c>
      <c r="E120" s="175"/>
      <c r="F120" s="67">
        <f t="shared" si="15"/>
        <v>500000</v>
      </c>
      <c r="G120" s="67">
        <v>499000</v>
      </c>
      <c r="H120" s="67">
        <f t="shared" si="16"/>
        <v>1000</v>
      </c>
      <c r="I120" s="68">
        <v>5</v>
      </c>
      <c r="J120" s="68">
        <v>0.2</v>
      </c>
      <c r="K120" s="68">
        <v>0</v>
      </c>
      <c r="L120" s="110"/>
      <c r="M120" s="67">
        <f t="shared" si="17"/>
        <v>499000</v>
      </c>
      <c r="N120" s="462">
        <f t="shared" si="18"/>
        <v>1000</v>
      </c>
      <c r="O120" s="111" t="s">
        <v>2504</v>
      </c>
      <c r="P120" s="111">
        <v>1</v>
      </c>
      <c r="Q120" s="327"/>
      <c r="R120" s="23">
        <f t="shared" si="25"/>
        <v>200</v>
      </c>
      <c r="S120" s="10">
        <f t="shared" si="19"/>
        <v>25000</v>
      </c>
      <c r="T120" s="10">
        <f t="shared" si="20"/>
        <v>-24000</v>
      </c>
      <c r="U120" s="10">
        <f t="shared" si="27"/>
        <v>0</v>
      </c>
      <c r="V120" s="10">
        <f t="shared" si="21"/>
        <v>100000</v>
      </c>
      <c r="W120" s="10">
        <f t="shared" si="22"/>
        <v>0</v>
      </c>
      <c r="X120" s="10">
        <f t="shared" si="23"/>
        <v>0</v>
      </c>
    </row>
    <row r="121" spans="1:24" s="9" customFormat="1" ht="13.5" customHeight="1" x14ac:dyDescent="0.2">
      <c r="A121" s="64">
        <f t="shared" si="24"/>
        <v>117</v>
      </c>
      <c r="B121" s="109" t="s">
        <v>2505</v>
      </c>
      <c r="C121" s="163">
        <v>38419</v>
      </c>
      <c r="D121" s="175">
        <v>380000</v>
      </c>
      <c r="E121" s="175"/>
      <c r="F121" s="67">
        <f t="shared" si="15"/>
        <v>380000</v>
      </c>
      <c r="G121" s="67">
        <v>379000</v>
      </c>
      <c r="H121" s="67">
        <f t="shared" si="16"/>
        <v>1000</v>
      </c>
      <c r="I121" s="68">
        <v>5</v>
      </c>
      <c r="J121" s="68">
        <v>0.2</v>
      </c>
      <c r="K121" s="68">
        <v>0</v>
      </c>
      <c r="L121" s="110"/>
      <c r="M121" s="67">
        <f t="shared" si="17"/>
        <v>379000</v>
      </c>
      <c r="N121" s="462">
        <f t="shared" si="18"/>
        <v>1000</v>
      </c>
      <c r="O121" s="111" t="s">
        <v>1965</v>
      </c>
      <c r="P121" s="111">
        <v>1</v>
      </c>
      <c r="Q121" s="327"/>
      <c r="R121" s="23">
        <f t="shared" si="25"/>
        <v>200</v>
      </c>
      <c r="S121" s="10">
        <f t="shared" si="19"/>
        <v>19000</v>
      </c>
      <c r="T121" s="10">
        <f t="shared" si="20"/>
        <v>-18000</v>
      </c>
      <c r="U121" s="10">
        <f t="shared" si="27"/>
        <v>0</v>
      </c>
      <c r="V121" s="10">
        <f t="shared" si="21"/>
        <v>76000</v>
      </c>
      <c r="W121" s="10">
        <f t="shared" si="22"/>
        <v>0</v>
      </c>
      <c r="X121" s="10">
        <f t="shared" si="23"/>
        <v>0</v>
      </c>
    </row>
    <row r="122" spans="1:24" s="9" customFormat="1" ht="13.5" customHeight="1" x14ac:dyDescent="0.2">
      <c r="A122" s="64">
        <f t="shared" si="24"/>
        <v>118</v>
      </c>
      <c r="B122" s="109" t="s">
        <v>2506</v>
      </c>
      <c r="C122" s="163">
        <v>38419</v>
      </c>
      <c r="D122" s="175">
        <v>120000</v>
      </c>
      <c r="E122" s="175"/>
      <c r="F122" s="67">
        <f t="shared" si="15"/>
        <v>120000</v>
      </c>
      <c r="G122" s="67">
        <v>119000</v>
      </c>
      <c r="H122" s="67">
        <f t="shared" si="16"/>
        <v>1000</v>
      </c>
      <c r="I122" s="68">
        <v>5</v>
      </c>
      <c r="J122" s="68">
        <v>0.2</v>
      </c>
      <c r="K122" s="68">
        <v>0</v>
      </c>
      <c r="L122" s="110"/>
      <c r="M122" s="67">
        <f t="shared" si="17"/>
        <v>119000</v>
      </c>
      <c r="N122" s="462">
        <f t="shared" si="18"/>
        <v>1000</v>
      </c>
      <c r="O122" s="111" t="s">
        <v>1965</v>
      </c>
      <c r="P122" s="111">
        <v>1</v>
      </c>
      <c r="Q122" s="327"/>
      <c r="R122" s="23">
        <f t="shared" si="25"/>
        <v>200</v>
      </c>
      <c r="S122" s="10">
        <f t="shared" si="19"/>
        <v>6000</v>
      </c>
      <c r="T122" s="10">
        <f t="shared" si="20"/>
        <v>-5000</v>
      </c>
      <c r="U122" s="10">
        <f t="shared" si="27"/>
        <v>0</v>
      </c>
      <c r="V122" s="10">
        <f t="shared" si="21"/>
        <v>24000</v>
      </c>
      <c r="W122" s="10">
        <f t="shared" si="22"/>
        <v>0</v>
      </c>
      <c r="X122" s="10">
        <f t="shared" si="23"/>
        <v>0</v>
      </c>
    </row>
    <row r="123" spans="1:24" s="9" customFormat="1" ht="13.5" customHeight="1" x14ac:dyDescent="0.2">
      <c r="A123" s="64">
        <f t="shared" si="24"/>
        <v>119</v>
      </c>
      <c r="B123" s="109" t="s">
        <v>2019</v>
      </c>
      <c r="C123" s="66" t="s">
        <v>2018</v>
      </c>
      <c r="D123" s="175">
        <v>920000</v>
      </c>
      <c r="E123" s="175"/>
      <c r="F123" s="67">
        <f t="shared" si="15"/>
        <v>920000</v>
      </c>
      <c r="G123" s="67">
        <v>919000</v>
      </c>
      <c r="H123" s="67">
        <f t="shared" si="16"/>
        <v>1000</v>
      </c>
      <c r="I123" s="68">
        <v>5</v>
      </c>
      <c r="J123" s="68">
        <v>0.2</v>
      </c>
      <c r="K123" s="68">
        <v>0</v>
      </c>
      <c r="L123" s="110"/>
      <c r="M123" s="67">
        <f t="shared" si="17"/>
        <v>919000</v>
      </c>
      <c r="N123" s="462">
        <f t="shared" si="18"/>
        <v>1000</v>
      </c>
      <c r="O123" s="111" t="s">
        <v>2020</v>
      </c>
      <c r="P123" s="111">
        <v>4</v>
      </c>
      <c r="Q123" s="327"/>
      <c r="R123" s="23">
        <f t="shared" si="25"/>
        <v>200</v>
      </c>
      <c r="S123" s="10">
        <f t="shared" si="19"/>
        <v>46000</v>
      </c>
      <c r="T123" s="10">
        <f t="shared" si="20"/>
        <v>-45000</v>
      </c>
      <c r="U123" s="10">
        <f t="shared" si="27"/>
        <v>0</v>
      </c>
      <c r="V123" s="10">
        <f t="shared" si="21"/>
        <v>184000</v>
      </c>
      <c r="W123" s="10">
        <f t="shared" si="22"/>
        <v>0</v>
      </c>
      <c r="X123" s="10">
        <f t="shared" si="23"/>
        <v>0</v>
      </c>
    </row>
    <row r="124" spans="1:24" s="9" customFormat="1" ht="13.5" customHeight="1" x14ac:dyDescent="0.2">
      <c r="A124" s="64">
        <f t="shared" si="24"/>
        <v>120</v>
      </c>
      <c r="B124" s="109" t="s">
        <v>2507</v>
      </c>
      <c r="C124" s="66" t="s">
        <v>2018</v>
      </c>
      <c r="D124" s="175">
        <v>70000</v>
      </c>
      <c r="E124" s="175"/>
      <c r="F124" s="67">
        <f t="shared" si="15"/>
        <v>70000</v>
      </c>
      <c r="G124" s="67">
        <v>69000</v>
      </c>
      <c r="H124" s="67">
        <f t="shared" si="16"/>
        <v>1000</v>
      </c>
      <c r="I124" s="68">
        <v>5</v>
      </c>
      <c r="J124" s="68">
        <v>0.2</v>
      </c>
      <c r="K124" s="68">
        <v>0</v>
      </c>
      <c r="L124" s="110"/>
      <c r="M124" s="67">
        <f t="shared" si="17"/>
        <v>69000</v>
      </c>
      <c r="N124" s="462">
        <f t="shared" si="18"/>
        <v>1000</v>
      </c>
      <c r="O124" s="111" t="s">
        <v>1932</v>
      </c>
      <c r="P124" s="111">
        <v>1</v>
      </c>
      <c r="Q124" s="327"/>
      <c r="R124" s="23">
        <f t="shared" si="25"/>
        <v>200</v>
      </c>
      <c r="S124" s="10">
        <f t="shared" si="19"/>
        <v>3500</v>
      </c>
      <c r="T124" s="10">
        <f t="shared" si="20"/>
        <v>-2500</v>
      </c>
      <c r="U124" s="10">
        <f t="shared" si="27"/>
        <v>0</v>
      </c>
      <c r="V124" s="10">
        <f t="shared" si="21"/>
        <v>14000</v>
      </c>
      <c r="W124" s="10">
        <f t="shared" si="22"/>
        <v>0</v>
      </c>
      <c r="X124" s="10">
        <f t="shared" si="23"/>
        <v>0</v>
      </c>
    </row>
    <row r="125" spans="1:24" s="9" customFormat="1" ht="13.5" customHeight="1" x14ac:dyDescent="0.2">
      <c r="A125" s="64">
        <f t="shared" si="24"/>
        <v>121</v>
      </c>
      <c r="B125" s="109" t="s">
        <v>2508</v>
      </c>
      <c r="C125" s="66" t="s">
        <v>2018</v>
      </c>
      <c r="D125" s="175">
        <v>110000</v>
      </c>
      <c r="E125" s="175"/>
      <c r="F125" s="67">
        <f t="shared" si="15"/>
        <v>110000</v>
      </c>
      <c r="G125" s="67">
        <v>109000</v>
      </c>
      <c r="H125" s="67">
        <f t="shared" si="16"/>
        <v>1000</v>
      </c>
      <c r="I125" s="68">
        <v>5</v>
      </c>
      <c r="J125" s="68">
        <v>0.2</v>
      </c>
      <c r="K125" s="68">
        <v>0</v>
      </c>
      <c r="L125" s="110"/>
      <c r="M125" s="67">
        <f t="shared" si="17"/>
        <v>109000</v>
      </c>
      <c r="N125" s="462">
        <f t="shared" si="18"/>
        <v>1000</v>
      </c>
      <c r="O125" s="111" t="s">
        <v>1932</v>
      </c>
      <c r="P125" s="111">
        <v>1</v>
      </c>
      <c r="Q125" s="327"/>
      <c r="R125" s="23">
        <f t="shared" si="25"/>
        <v>200</v>
      </c>
      <c r="S125" s="10">
        <f t="shared" si="19"/>
        <v>5500</v>
      </c>
      <c r="T125" s="10">
        <f t="shared" si="20"/>
        <v>-4500</v>
      </c>
      <c r="U125" s="10">
        <f t="shared" si="27"/>
        <v>0</v>
      </c>
      <c r="V125" s="10">
        <f t="shared" si="21"/>
        <v>22000</v>
      </c>
      <c r="W125" s="10">
        <f t="shared" si="22"/>
        <v>0</v>
      </c>
      <c r="X125" s="10">
        <f t="shared" si="23"/>
        <v>0</v>
      </c>
    </row>
    <row r="126" spans="1:24" s="9" customFormat="1" ht="13.5" customHeight="1" x14ac:dyDescent="0.2">
      <c r="A126" s="64">
        <f t="shared" si="24"/>
        <v>122</v>
      </c>
      <c r="B126" s="109" t="s">
        <v>2509</v>
      </c>
      <c r="C126" s="66" t="s">
        <v>2018</v>
      </c>
      <c r="D126" s="175">
        <v>150000</v>
      </c>
      <c r="E126" s="175"/>
      <c r="F126" s="67">
        <f t="shared" si="15"/>
        <v>150000</v>
      </c>
      <c r="G126" s="67">
        <v>149000</v>
      </c>
      <c r="H126" s="67">
        <f t="shared" si="16"/>
        <v>1000</v>
      </c>
      <c r="I126" s="68">
        <v>5</v>
      </c>
      <c r="J126" s="68">
        <v>0.2</v>
      </c>
      <c r="K126" s="68">
        <v>0</v>
      </c>
      <c r="L126" s="110"/>
      <c r="M126" s="67">
        <f t="shared" si="17"/>
        <v>149000</v>
      </c>
      <c r="N126" s="462">
        <f t="shared" si="18"/>
        <v>1000</v>
      </c>
      <c r="O126" s="111" t="s">
        <v>1932</v>
      </c>
      <c r="P126" s="111">
        <v>1</v>
      </c>
      <c r="Q126" s="327"/>
      <c r="R126" s="23">
        <f t="shared" si="25"/>
        <v>200</v>
      </c>
      <c r="S126" s="10">
        <f t="shared" si="19"/>
        <v>7500</v>
      </c>
      <c r="T126" s="10">
        <f t="shared" si="20"/>
        <v>-6500</v>
      </c>
      <c r="U126" s="10">
        <f t="shared" si="27"/>
        <v>0</v>
      </c>
      <c r="V126" s="10">
        <f t="shared" si="21"/>
        <v>30000</v>
      </c>
      <c r="W126" s="10">
        <f t="shared" si="22"/>
        <v>0</v>
      </c>
      <c r="X126" s="10">
        <f t="shared" si="23"/>
        <v>0</v>
      </c>
    </row>
    <row r="127" spans="1:24" s="9" customFormat="1" ht="13.5" customHeight="1" x14ac:dyDescent="0.2">
      <c r="A127" s="64">
        <f t="shared" si="24"/>
        <v>123</v>
      </c>
      <c r="B127" s="109" t="s">
        <v>2158</v>
      </c>
      <c r="C127" s="163">
        <v>38442</v>
      </c>
      <c r="D127" s="175">
        <v>300000</v>
      </c>
      <c r="E127" s="175"/>
      <c r="F127" s="67">
        <f t="shared" si="15"/>
        <v>300000</v>
      </c>
      <c r="G127" s="67">
        <v>299000</v>
      </c>
      <c r="H127" s="67">
        <f t="shared" si="16"/>
        <v>1000</v>
      </c>
      <c r="I127" s="68">
        <v>5</v>
      </c>
      <c r="J127" s="68">
        <v>0.2</v>
      </c>
      <c r="K127" s="68">
        <v>0</v>
      </c>
      <c r="L127" s="110"/>
      <c r="M127" s="67">
        <f t="shared" si="17"/>
        <v>299000</v>
      </c>
      <c r="N127" s="462">
        <f t="shared" si="18"/>
        <v>1000</v>
      </c>
      <c r="O127" s="111" t="s">
        <v>1965</v>
      </c>
      <c r="P127" s="111">
        <v>1</v>
      </c>
      <c r="Q127" s="327"/>
      <c r="R127" s="23">
        <f t="shared" si="25"/>
        <v>200</v>
      </c>
      <c r="S127" s="10">
        <f t="shared" si="19"/>
        <v>15000</v>
      </c>
      <c r="T127" s="10">
        <f t="shared" si="20"/>
        <v>-14000</v>
      </c>
      <c r="U127" s="10">
        <f t="shared" si="27"/>
        <v>0</v>
      </c>
      <c r="V127" s="10">
        <f t="shared" si="21"/>
        <v>60000</v>
      </c>
      <c r="W127" s="10">
        <f t="shared" si="22"/>
        <v>0</v>
      </c>
      <c r="X127" s="10">
        <f t="shared" si="23"/>
        <v>0</v>
      </c>
    </row>
    <row r="128" spans="1:24" s="9" customFormat="1" ht="13.5" customHeight="1" x14ac:dyDescent="0.2">
      <c r="A128" s="64">
        <f t="shared" si="24"/>
        <v>124</v>
      </c>
      <c r="B128" s="109" t="s">
        <v>2510</v>
      </c>
      <c r="C128" s="163">
        <v>38442</v>
      </c>
      <c r="D128" s="175">
        <v>380000</v>
      </c>
      <c r="E128" s="175"/>
      <c r="F128" s="67">
        <f t="shared" si="15"/>
        <v>380000</v>
      </c>
      <c r="G128" s="67">
        <v>379000</v>
      </c>
      <c r="H128" s="67">
        <f t="shared" si="16"/>
        <v>1000</v>
      </c>
      <c r="I128" s="68">
        <v>5</v>
      </c>
      <c r="J128" s="68">
        <v>0.2</v>
      </c>
      <c r="K128" s="68">
        <v>0</v>
      </c>
      <c r="L128" s="110"/>
      <c r="M128" s="67">
        <f t="shared" si="17"/>
        <v>379000</v>
      </c>
      <c r="N128" s="462">
        <f t="shared" si="18"/>
        <v>1000</v>
      </c>
      <c r="O128" s="111" t="s">
        <v>1965</v>
      </c>
      <c r="P128" s="111">
        <v>1</v>
      </c>
      <c r="Q128" s="327"/>
      <c r="R128" s="23">
        <f t="shared" si="25"/>
        <v>200</v>
      </c>
      <c r="S128" s="10">
        <f t="shared" si="19"/>
        <v>19000</v>
      </c>
      <c r="T128" s="10">
        <f t="shared" si="20"/>
        <v>-18000</v>
      </c>
      <c r="U128" s="10">
        <f t="shared" si="27"/>
        <v>0</v>
      </c>
      <c r="V128" s="10">
        <f t="shared" si="21"/>
        <v>76000</v>
      </c>
      <c r="W128" s="10">
        <f t="shared" si="22"/>
        <v>0</v>
      </c>
      <c r="X128" s="10">
        <f t="shared" si="23"/>
        <v>0</v>
      </c>
    </row>
    <row r="129" spans="1:24" s="9" customFormat="1" ht="13.5" customHeight="1" x14ac:dyDescent="0.2">
      <c r="A129" s="64">
        <f t="shared" si="24"/>
        <v>125</v>
      </c>
      <c r="B129" s="109" t="s">
        <v>2511</v>
      </c>
      <c r="C129" s="66" t="s">
        <v>2512</v>
      </c>
      <c r="D129" s="175">
        <v>418182</v>
      </c>
      <c r="E129" s="175"/>
      <c r="F129" s="67">
        <f t="shared" si="15"/>
        <v>418182</v>
      </c>
      <c r="G129" s="67">
        <v>417182</v>
      </c>
      <c r="H129" s="67">
        <f t="shared" si="16"/>
        <v>1000</v>
      </c>
      <c r="I129" s="68">
        <v>5</v>
      </c>
      <c r="J129" s="68">
        <v>0.2</v>
      </c>
      <c r="K129" s="68">
        <v>0</v>
      </c>
      <c r="L129" s="110"/>
      <c r="M129" s="67">
        <f t="shared" si="17"/>
        <v>417182</v>
      </c>
      <c r="N129" s="462">
        <f t="shared" si="18"/>
        <v>1000</v>
      </c>
      <c r="O129" s="111" t="s">
        <v>2458</v>
      </c>
      <c r="P129" s="111">
        <v>2</v>
      </c>
      <c r="Q129" s="327"/>
      <c r="R129" s="23">
        <f t="shared" si="25"/>
        <v>200</v>
      </c>
      <c r="S129" s="10">
        <f t="shared" si="19"/>
        <v>20909.100000000002</v>
      </c>
      <c r="T129" s="10">
        <f t="shared" si="20"/>
        <v>-19909.100000000002</v>
      </c>
      <c r="U129" s="10">
        <f t="shared" si="27"/>
        <v>0</v>
      </c>
      <c r="V129" s="10">
        <f t="shared" si="21"/>
        <v>83636.399999999994</v>
      </c>
      <c r="W129" s="10">
        <f t="shared" si="22"/>
        <v>0</v>
      </c>
      <c r="X129" s="10">
        <f t="shared" si="23"/>
        <v>0</v>
      </c>
    </row>
    <row r="130" spans="1:24" s="9" customFormat="1" ht="13.5" customHeight="1" x14ac:dyDescent="0.2">
      <c r="A130" s="64">
        <f t="shared" si="24"/>
        <v>126</v>
      </c>
      <c r="B130" s="109" t="s">
        <v>2513</v>
      </c>
      <c r="C130" s="66" t="s">
        <v>2512</v>
      </c>
      <c r="D130" s="175">
        <v>145455</v>
      </c>
      <c r="E130" s="175"/>
      <c r="F130" s="67">
        <f t="shared" si="15"/>
        <v>145455</v>
      </c>
      <c r="G130" s="67">
        <v>144455</v>
      </c>
      <c r="H130" s="67">
        <f t="shared" si="16"/>
        <v>1000</v>
      </c>
      <c r="I130" s="68">
        <v>5</v>
      </c>
      <c r="J130" s="68">
        <v>0.2</v>
      </c>
      <c r="K130" s="68">
        <v>0</v>
      </c>
      <c r="L130" s="110"/>
      <c r="M130" s="67">
        <f t="shared" si="17"/>
        <v>144455</v>
      </c>
      <c r="N130" s="462">
        <f t="shared" si="18"/>
        <v>1000</v>
      </c>
      <c r="O130" s="111" t="s">
        <v>2458</v>
      </c>
      <c r="P130" s="111">
        <v>2</v>
      </c>
      <c r="Q130" s="327"/>
      <c r="R130" s="23">
        <f t="shared" si="25"/>
        <v>200</v>
      </c>
      <c r="S130" s="10">
        <f t="shared" si="19"/>
        <v>7272.75</v>
      </c>
      <c r="T130" s="10">
        <f t="shared" si="20"/>
        <v>-6272.75</v>
      </c>
      <c r="U130" s="10">
        <f t="shared" si="27"/>
        <v>0</v>
      </c>
      <c r="V130" s="10">
        <f t="shared" si="21"/>
        <v>29091</v>
      </c>
      <c r="W130" s="10">
        <f t="shared" si="22"/>
        <v>0</v>
      </c>
      <c r="X130" s="10">
        <f t="shared" si="23"/>
        <v>0</v>
      </c>
    </row>
    <row r="131" spans="1:24" s="9" customFormat="1" ht="13.5" customHeight="1" x14ac:dyDescent="0.2">
      <c r="A131" s="64">
        <f t="shared" si="24"/>
        <v>127</v>
      </c>
      <c r="B131" s="109" t="s">
        <v>2514</v>
      </c>
      <c r="C131" s="66" t="s">
        <v>2512</v>
      </c>
      <c r="D131" s="175">
        <v>118182</v>
      </c>
      <c r="E131" s="175"/>
      <c r="F131" s="67">
        <f t="shared" si="15"/>
        <v>118182</v>
      </c>
      <c r="G131" s="67">
        <v>117182</v>
      </c>
      <c r="H131" s="67">
        <f t="shared" si="16"/>
        <v>1000</v>
      </c>
      <c r="I131" s="68">
        <v>5</v>
      </c>
      <c r="J131" s="68">
        <v>0.2</v>
      </c>
      <c r="K131" s="68">
        <v>0</v>
      </c>
      <c r="L131" s="110"/>
      <c r="M131" s="67">
        <f t="shared" si="17"/>
        <v>117182</v>
      </c>
      <c r="N131" s="462">
        <f t="shared" si="18"/>
        <v>1000</v>
      </c>
      <c r="O131" s="111" t="s">
        <v>2458</v>
      </c>
      <c r="P131" s="111">
        <v>1</v>
      </c>
      <c r="Q131" s="327"/>
      <c r="R131" s="23">
        <f t="shared" si="25"/>
        <v>200</v>
      </c>
      <c r="S131" s="10">
        <f t="shared" si="19"/>
        <v>5909.1</v>
      </c>
      <c r="T131" s="10">
        <f t="shared" si="20"/>
        <v>-4909.1000000000004</v>
      </c>
      <c r="U131" s="10">
        <f t="shared" si="27"/>
        <v>0</v>
      </c>
      <c r="V131" s="10">
        <f t="shared" si="21"/>
        <v>23636.400000000001</v>
      </c>
      <c r="W131" s="10">
        <f t="shared" si="22"/>
        <v>0</v>
      </c>
      <c r="X131" s="10">
        <f t="shared" si="23"/>
        <v>0</v>
      </c>
    </row>
    <row r="132" spans="1:24" s="9" customFormat="1" ht="13.5" customHeight="1" x14ac:dyDescent="0.2">
      <c r="A132" s="64">
        <f t="shared" si="24"/>
        <v>128</v>
      </c>
      <c r="B132" s="109" t="s">
        <v>2459</v>
      </c>
      <c r="C132" s="66" t="s">
        <v>2512</v>
      </c>
      <c r="D132" s="175">
        <v>272727</v>
      </c>
      <c r="E132" s="175"/>
      <c r="F132" s="67">
        <f t="shared" si="15"/>
        <v>272727</v>
      </c>
      <c r="G132" s="67">
        <v>271727</v>
      </c>
      <c r="H132" s="67">
        <f t="shared" si="16"/>
        <v>1000</v>
      </c>
      <c r="I132" s="68">
        <v>5</v>
      </c>
      <c r="J132" s="68">
        <v>0.2</v>
      </c>
      <c r="K132" s="68">
        <v>0</v>
      </c>
      <c r="L132" s="110"/>
      <c r="M132" s="67">
        <f t="shared" si="17"/>
        <v>271727</v>
      </c>
      <c r="N132" s="462">
        <f t="shared" si="18"/>
        <v>1000</v>
      </c>
      <c r="O132" s="111" t="s">
        <v>2458</v>
      </c>
      <c r="P132" s="111">
        <v>2</v>
      </c>
      <c r="Q132" s="327"/>
      <c r="R132" s="23">
        <f t="shared" si="25"/>
        <v>200</v>
      </c>
      <c r="S132" s="10">
        <f t="shared" si="19"/>
        <v>13636.35</v>
      </c>
      <c r="T132" s="10">
        <f t="shared" si="20"/>
        <v>-12636.35</v>
      </c>
      <c r="U132" s="10">
        <f t="shared" si="27"/>
        <v>0</v>
      </c>
      <c r="V132" s="10">
        <f t="shared" si="21"/>
        <v>54545.4</v>
      </c>
      <c r="W132" s="10">
        <f t="shared" si="22"/>
        <v>0</v>
      </c>
      <c r="X132" s="10">
        <f t="shared" si="23"/>
        <v>0</v>
      </c>
    </row>
    <row r="133" spans="1:24" s="9" customFormat="1" ht="13.5" customHeight="1" x14ac:dyDescent="0.2">
      <c r="A133" s="64">
        <f t="shared" si="24"/>
        <v>129</v>
      </c>
      <c r="B133" s="109" t="s">
        <v>2515</v>
      </c>
      <c r="C133" s="66" t="s">
        <v>2512</v>
      </c>
      <c r="D133" s="175">
        <v>136364</v>
      </c>
      <c r="E133" s="175"/>
      <c r="F133" s="67">
        <f t="shared" ref="F133:F196" si="28">+D133+E133</f>
        <v>136364</v>
      </c>
      <c r="G133" s="67">
        <v>135364</v>
      </c>
      <c r="H133" s="67">
        <f t="shared" ref="H133:H196" si="29">+F133-G133</f>
        <v>1000</v>
      </c>
      <c r="I133" s="68">
        <v>5</v>
      </c>
      <c r="J133" s="68">
        <v>0.2</v>
      </c>
      <c r="K133" s="68">
        <v>0</v>
      </c>
      <c r="L133" s="110"/>
      <c r="M133" s="67">
        <f t="shared" ref="M133:M196" si="30">+G133+L133</f>
        <v>135364</v>
      </c>
      <c r="N133" s="462">
        <f t="shared" ref="N133:N196" si="31">+F133-M133</f>
        <v>1000</v>
      </c>
      <c r="O133" s="111" t="s">
        <v>2458</v>
      </c>
      <c r="P133" s="111">
        <v>1</v>
      </c>
      <c r="Q133" s="327"/>
      <c r="R133" s="23">
        <f t="shared" si="25"/>
        <v>200</v>
      </c>
      <c r="S133" s="10">
        <f t="shared" ref="S133:S196" si="32">D133*0.05</f>
        <v>6818.2000000000007</v>
      </c>
      <c r="T133" s="10">
        <f t="shared" ref="T133:T196" si="33">N133-S133</f>
        <v>-5818.2000000000007</v>
      </c>
      <c r="U133" s="10">
        <f t="shared" si="27"/>
        <v>0</v>
      </c>
      <c r="V133" s="10">
        <f t="shared" ref="V133:V196" si="34">F133/I133</f>
        <v>27272.799999999999</v>
      </c>
      <c r="W133" s="10">
        <f t="shared" ref="W133:W196" si="35">ROUND(IF(H133&lt;=1000,0,V133/12*3),0)</f>
        <v>0</v>
      </c>
      <c r="X133" s="10">
        <f t="shared" ref="X133:X196" si="36">L133-W133</f>
        <v>0</v>
      </c>
    </row>
    <row r="134" spans="1:24" s="9" customFormat="1" ht="13.5" customHeight="1" x14ac:dyDescent="0.2">
      <c r="A134" s="64">
        <f t="shared" ref="A134:A197" si="37">+A133+1</f>
        <v>130</v>
      </c>
      <c r="B134" s="109" t="s">
        <v>2516</v>
      </c>
      <c r="C134" s="66" t="s">
        <v>2512</v>
      </c>
      <c r="D134" s="175">
        <v>636363</v>
      </c>
      <c r="E134" s="175"/>
      <c r="F134" s="67">
        <f t="shared" si="28"/>
        <v>636363</v>
      </c>
      <c r="G134" s="67">
        <v>635363</v>
      </c>
      <c r="H134" s="67">
        <f t="shared" si="29"/>
        <v>1000</v>
      </c>
      <c r="I134" s="68">
        <v>5</v>
      </c>
      <c r="J134" s="68">
        <v>0.2</v>
      </c>
      <c r="K134" s="68">
        <v>0</v>
      </c>
      <c r="L134" s="110"/>
      <c r="M134" s="67">
        <f t="shared" si="30"/>
        <v>635363</v>
      </c>
      <c r="N134" s="462">
        <f t="shared" si="31"/>
        <v>1000</v>
      </c>
      <c r="O134" s="111" t="s">
        <v>2458</v>
      </c>
      <c r="P134" s="111">
        <v>1</v>
      </c>
      <c r="Q134" s="327"/>
      <c r="R134" s="23">
        <f t="shared" si="25"/>
        <v>200</v>
      </c>
      <c r="S134" s="10">
        <f t="shared" si="32"/>
        <v>31818.15</v>
      </c>
      <c r="T134" s="10">
        <f t="shared" si="33"/>
        <v>-30818.15</v>
      </c>
      <c r="U134" s="10">
        <f t="shared" si="27"/>
        <v>0</v>
      </c>
      <c r="V134" s="10">
        <f t="shared" si="34"/>
        <v>127272.6</v>
      </c>
      <c r="W134" s="10">
        <f t="shared" si="35"/>
        <v>0</v>
      </c>
      <c r="X134" s="10">
        <f t="shared" si="36"/>
        <v>0</v>
      </c>
    </row>
    <row r="135" spans="1:24" s="9" customFormat="1" ht="13.5" customHeight="1" x14ac:dyDescent="0.2">
      <c r="A135" s="64">
        <f t="shared" si="37"/>
        <v>131</v>
      </c>
      <c r="B135" s="109" t="s">
        <v>2517</v>
      </c>
      <c r="C135" s="66" t="s">
        <v>821</v>
      </c>
      <c r="D135" s="175">
        <v>236364</v>
      </c>
      <c r="E135" s="175"/>
      <c r="F135" s="67">
        <f t="shared" si="28"/>
        <v>236364</v>
      </c>
      <c r="G135" s="67">
        <v>235364</v>
      </c>
      <c r="H135" s="67">
        <f t="shared" si="29"/>
        <v>1000</v>
      </c>
      <c r="I135" s="68">
        <v>5</v>
      </c>
      <c r="J135" s="68">
        <v>0.2</v>
      </c>
      <c r="K135" s="68">
        <v>0</v>
      </c>
      <c r="L135" s="110"/>
      <c r="M135" s="67">
        <f t="shared" si="30"/>
        <v>235364</v>
      </c>
      <c r="N135" s="462">
        <f t="shared" si="31"/>
        <v>1000</v>
      </c>
      <c r="O135" s="111" t="s">
        <v>2023</v>
      </c>
      <c r="P135" s="111">
        <v>1</v>
      </c>
      <c r="Q135" s="327"/>
      <c r="R135" s="23">
        <f t="shared" si="25"/>
        <v>200</v>
      </c>
      <c r="S135" s="10">
        <f t="shared" si="32"/>
        <v>11818.2</v>
      </c>
      <c r="T135" s="10">
        <f t="shared" si="33"/>
        <v>-10818.2</v>
      </c>
      <c r="U135" s="10">
        <f t="shared" si="27"/>
        <v>0</v>
      </c>
      <c r="V135" s="10">
        <f t="shared" si="34"/>
        <v>47272.800000000003</v>
      </c>
      <c r="W135" s="10">
        <f t="shared" si="35"/>
        <v>0</v>
      </c>
      <c r="X135" s="10">
        <f t="shared" si="36"/>
        <v>0</v>
      </c>
    </row>
    <row r="136" spans="1:24" s="9" customFormat="1" ht="13.5" customHeight="1" x14ac:dyDescent="0.2">
      <c r="A136" s="64">
        <f t="shared" si="37"/>
        <v>132</v>
      </c>
      <c r="B136" s="109" t="s">
        <v>1838</v>
      </c>
      <c r="C136" s="66" t="s">
        <v>823</v>
      </c>
      <c r="D136" s="175">
        <v>3909090</v>
      </c>
      <c r="E136" s="175"/>
      <c r="F136" s="67">
        <f t="shared" si="28"/>
        <v>3909090</v>
      </c>
      <c r="G136" s="67">
        <v>3908090</v>
      </c>
      <c r="H136" s="67">
        <f t="shared" si="29"/>
        <v>1000</v>
      </c>
      <c r="I136" s="68">
        <v>5</v>
      </c>
      <c r="J136" s="68">
        <v>0.2</v>
      </c>
      <c r="K136" s="68">
        <v>0</v>
      </c>
      <c r="L136" s="110"/>
      <c r="M136" s="67">
        <f t="shared" si="30"/>
        <v>3908090</v>
      </c>
      <c r="N136" s="462">
        <f t="shared" si="31"/>
        <v>1000</v>
      </c>
      <c r="O136" s="111" t="s">
        <v>767</v>
      </c>
      <c r="P136" s="111">
        <v>1</v>
      </c>
      <c r="Q136" s="327"/>
      <c r="R136" s="23">
        <f t="shared" ref="R136:R170" si="38">+N136*J136</f>
        <v>200</v>
      </c>
      <c r="S136" s="10">
        <f t="shared" si="32"/>
        <v>195454.5</v>
      </c>
      <c r="T136" s="10">
        <f t="shared" si="33"/>
        <v>-194454.5</v>
      </c>
      <c r="U136" s="10">
        <f t="shared" si="27"/>
        <v>0</v>
      </c>
      <c r="V136" s="10">
        <f t="shared" si="34"/>
        <v>781818</v>
      </c>
      <c r="W136" s="10">
        <f t="shared" si="35"/>
        <v>0</v>
      </c>
      <c r="X136" s="10">
        <f t="shared" si="36"/>
        <v>0</v>
      </c>
    </row>
    <row r="137" spans="1:24" s="9" customFormat="1" ht="13.5" customHeight="1" x14ac:dyDescent="0.2">
      <c r="A137" s="64">
        <f t="shared" si="37"/>
        <v>133</v>
      </c>
      <c r="B137" s="109" t="s">
        <v>2518</v>
      </c>
      <c r="C137" s="66" t="s">
        <v>837</v>
      </c>
      <c r="D137" s="175">
        <v>490000</v>
      </c>
      <c r="E137" s="175"/>
      <c r="F137" s="67">
        <f t="shared" si="28"/>
        <v>490000</v>
      </c>
      <c r="G137" s="67">
        <v>489000</v>
      </c>
      <c r="H137" s="67">
        <f t="shared" si="29"/>
        <v>1000</v>
      </c>
      <c r="I137" s="68">
        <v>5</v>
      </c>
      <c r="J137" s="68">
        <v>0.2</v>
      </c>
      <c r="K137" s="68">
        <v>0</v>
      </c>
      <c r="L137" s="110"/>
      <c r="M137" s="67">
        <f t="shared" si="30"/>
        <v>489000</v>
      </c>
      <c r="N137" s="462">
        <f t="shared" si="31"/>
        <v>1000</v>
      </c>
      <c r="O137" s="111" t="s">
        <v>1932</v>
      </c>
      <c r="P137" s="111">
        <v>10</v>
      </c>
      <c r="Q137" s="327"/>
      <c r="R137" s="23">
        <f t="shared" si="38"/>
        <v>200</v>
      </c>
      <c r="S137" s="10">
        <f t="shared" si="32"/>
        <v>24500</v>
      </c>
      <c r="T137" s="10">
        <f t="shared" si="33"/>
        <v>-23500</v>
      </c>
      <c r="U137" s="10">
        <f t="shared" si="27"/>
        <v>0</v>
      </c>
      <c r="V137" s="10">
        <f t="shared" si="34"/>
        <v>98000</v>
      </c>
      <c r="W137" s="10">
        <f t="shared" si="35"/>
        <v>0</v>
      </c>
      <c r="X137" s="10">
        <f t="shared" si="36"/>
        <v>0</v>
      </c>
    </row>
    <row r="138" spans="1:24" s="9" customFormat="1" ht="13.5" customHeight="1" x14ac:dyDescent="0.2">
      <c r="A138" s="64">
        <f t="shared" si="37"/>
        <v>134</v>
      </c>
      <c r="B138" s="109" t="s">
        <v>2519</v>
      </c>
      <c r="C138" s="66" t="s">
        <v>837</v>
      </c>
      <c r="D138" s="175">
        <v>600000</v>
      </c>
      <c r="E138" s="175"/>
      <c r="F138" s="67">
        <f t="shared" si="28"/>
        <v>600000</v>
      </c>
      <c r="G138" s="67">
        <v>599000</v>
      </c>
      <c r="H138" s="67">
        <f t="shared" si="29"/>
        <v>1000</v>
      </c>
      <c r="I138" s="68">
        <v>5</v>
      </c>
      <c r="J138" s="68">
        <v>0.2</v>
      </c>
      <c r="K138" s="68">
        <v>0</v>
      </c>
      <c r="L138" s="110"/>
      <c r="M138" s="67">
        <f t="shared" si="30"/>
        <v>599000</v>
      </c>
      <c r="N138" s="462">
        <f t="shared" si="31"/>
        <v>1000</v>
      </c>
      <c r="O138" s="111" t="s">
        <v>1932</v>
      </c>
      <c r="P138" s="111">
        <v>40</v>
      </c>
      <c r="Q138" s="327"/>
      <c r="R138" s="23">
        <f t="shared" si="38"/>
        <v>200</v>
      </c>
      <c r="S138" s="10">
        <f t="shared" si="32"/>
        <v>30000</v>
      </c>
      <c r="T138" s="10">
        <f t="shared" si="33"/>
        <v>-29000</v>
      </c>
      <c r="U138" s="10">
        <f t="shared" si="27"/>
        <v>0</v>
      </c>
      <c r="V138" s="10">
        <f t="shared" si="34"/>
        <v>120000</v>
      </c>
      <c r="W138" s="10">
        <f t="shared" si="35"/>
        <v>0</v>
      </c>
      <c r="X138" s="10">
        <f t="shared" si="36"/>
        <v>0</v>
      </c>
    </row>
    <row r="139" spans="1:24" s="9" customFormat="1" ht="13.5" customHeight="1" x14ac:dyDescent="0.2">
      <c r="A139" s="64">
        <f t="shared" si="37"/>
        <v>135</v>
      </c>
      <c r="B139" s="109" t="s">
        <v>2496</v>
      </c>
      <c r="C139" s="66" t="s">
        <v>837</v>
      </c>
      <c r="D139" s="175">
        <v>185000</v>
      </c>
      <c r="E139" s="175"/>
      <c r="F139" s="67">
        <f t="shared" si="28"/>
        <v>185000</v>
      </c>
      <c r="G139" s="67">
        <v>184000</v>
      </c>
      <c r="H139" s="67">
        <f t="shared" si="29"/>
        <v>1000</v>
      </c>
      <c r="I139" s="68">
        <v>5</v>
      </c>
      <c r="J139" s="68">
        <v>0.2</v>
      </c>
      <c r="K139" s="68">
        <v>0</v>
      </c>
      <c r="L139" s="110"/>
      <c r="M139" s="67">
        <f t="shared" si="30"/>
        <v>184000</v>
      </c>
      <c r="N139" s="462">
        <f t="shared" si="31"/>
        <v>1000</v>
      </c>
      <c r="O139" s="111" t="s">
        <v>1932</v>
      </c>
      <c r="P139" s="111">
        <v>1</v>
      </c>
      <c r="Q139" s="327"/>
      <c r="R139" s="23">
        <f t="shared" si="38"/>
        <v>200</v>
      </c>
      <c r="S139" s="10">
        <f t="shared" si="32"/>
        <v>9250</v>
      </c>
      <c r="T139" s="10">
        <f t="shared" si="33"/>
        <v>-8250</v>
      </c>
      <c r="U139" s="10">
        <f t="shared" si="27"/>
        <v>0</v>
      </c>
      <c r="V139" s="10">
        <f t="shared" si="34"/>
        <v>37000</v>
      </c>
      <c r="W139" s="10">
        <f t="shared" si="35"/>
        <v>0</v>
      </c>
      <c r="X139" s="10">
        <f t="shared" si="36"/>
        <v>0</v>
      </c>
    </row>
    <row r="140" spans="1:24" s="9" customFormat="1" ht="13.5" customHeight="1" x14ac:dyDescent="0.2">
      <c r="A140" s="64">
        <f t="shared" si="37"/>
        <v>136</v>
      </c>
      <c r="B140" s="109" t="s">
        <v>2184</v>
      </c>
      <c r="C140" s="66" t="s">
        <v>837</v>
      </c>
      <c r="D140" s="175">
        <v>130000</v>
      </c>
      <c r="E140" s="175"/>
      <c r="F140" s="67">
        <f t="shared" si="28"/>
        <v>130000</v>
      </c>
      <c r="G140" s="67">
        <v>129000</v>
      </c>
      <c r="H140" s="67">
        <f t="shared" si="29"/>
        <v>1000</v>
      </c>
      <c r="I140" s="68">
        <v>5</v>
      </c>
      <c r="J140" s="68">
        <v>0.2</v>
      </c>
      <c r="K140" s="68">
        <v>0</v>
      </c>
      <c r="L140" s="110"/>
      <c r="M140" s="67">
        <f t="shared" si="30"/>
        <v>129000</v>
      </c>
      <c r="N140" s="462">
        <f t="shared" si="31"/>
        <v>1000</v>
      </c>
      <c r="O140" s="111" t="s">
        <v>1932</v>
      </c>
      <c r="P140" s="111">
        <v>1</v>
      </c>
      <c r="Q140" s="327"/>
      <c r="R140" s="23">
        <f t="shared" si="38"/>
        <v>200</v>
      </c>
      <c r="S140" s="10">
        <f t="shared" si="32"/>
        <v>6500</v>
      </c>
      <c r="T140" s="10">
        <f t="shared" si="33"/>
        <v>-5500</v>
      </c>
      <c r="U140" s="10">
        <f t="shared" si="27"/>
        <v>0</v>
      </c>
      <c r="V140" s="10">
        <f t="shared" si="34"/>
        <v>26000</v>
      </c>
      <c r="W140" s="10">
        <f t="shared" si="35"/>
        <v>0</v>
      </c>
      <c r="X140" s="10">
        <f t="shared" si="36"/>
        <v>0</v>
      </c>
    </row>
    <row r="141" spans="1:24" s="9" customFormat="1" ht="13.5" customHeight="1" x14ac:dyDescent="0.2">
      <c r="A141" s="64">
        <f t="shared" si="37"/>
        <v>137</v>
      </c>
      <c r="B141" s="109" t="s">
        <v>1873</v>
      </c>
      <c r="C141" s="66" t="s">
        <v>2520</v>
      </c>
      <c r="D141" s="175">
        <v>40000</v>
      </c>
      <c r="E141" s="175"/>
      <c r="F141" s="67">
        <f t="shared" si="28"/>
        <v>40000</v>
      </c>
      <c r="G141" s="67">
        <v>39000</v>
      </c>
      <c r="H141" s="67">
        <f t="shared" si="29"/>
        <v>1000</v>
      </c>
      <c r="I141" s="68">
        <v>5</v>
      </c>
      <c r="J141" s="68">
        <v>0.2</v>
      </c>
      <c r="K141" s="68">
        <v>0</v>
      </c>
      <c r="L141" s="110"/>
      <c r="M141" s="67">
        <f t="shared" si="30"/>
        <v>39000</v>
      </c>
      <c r="N141" s="462">
        <f t="shared" si="31"/>
        <v>1000</v>
      </c>
      <c r="O141" s="111" t="s">
        <v>1932</v>
      </c>
      <c r="P141" s="111">
        <v>1</v>
      </c>
      <c r="Q141" s="327"/>
      <c r="R141" s="23">
        <f t="shared" si="38"/>
        <v>200</v>
      </c>
      <c r="S141" s="10">
        <f t="shared" si="32"/>
        <v>2000</v>
      </c>
      <c r="T141" s="10">
        <f t="shared" si="33"/>
        <v>-1000</v>
      </c>
      <c r="U141" s="10">
        <f t="shared" si="27"/>
        <v>0</v>
      </c>
      <c r="V141" s="10">
        <f t="shared" si="34"/>
        <v>8000</v>
      </c>
      <c r="W141" s="10">
        <f t="shared" si="35"/>
        <v>0</v>
      </c>
      <c r="X141" s="10">
        <f t="shared" si="36"/>
        <v>0</v>
      </c>
    </row>
    <row r="142" spans="1:24" s="9" customFormat="1" ht="13.5" customHeight="1" x14ac:dyDescent="0.2">
      <c r="A142" s="64">
        <f t="shared" si="37"/>
        <v>138</v>
      </c>
      <c r="B142" s="109" t="s">
        <v>1877</v>
      </c>
      <c r="C142" s="66" t="s">
        <v>2520</v>
      </c>
      <c r="D142" s="175">
        <v>80000</v>
      </c>
      <c r="E142" s="175"/>
      <c r="F142" s="67">
        <f t="shared" si="28"/>
        <v>80000</v>
      </c>
      <c r="G142" s="67">
        <v>79000</v>
      </c>
      <c r="H142" s="67">
        <f t="shared" si="29"/>
        <v>1000</v>
      </c>
      <c r="I142" s="68">
        <v>5</v>
      </c>
      <c r="J142" s="68">
        <v>0.2</v>
      </c>
      <c r="K142" s="68">
        <v>0</v>
      </c>
      <c r="L142" s="110"/>
      <c r="M142" s="67">
        <f t="shared" si="30"/>
        <v>79000</v>
      </c>
      <c r="N142" s="462">
        <f t="shared" si="31"/>
        <v>1000</v>
      </c>
      <c r="O142" s="111" t="s">
        <v>1932</v>
      </c>
      <c r="P142" s="111">
        <v>1</v>
      </c>
      <c r="Q142" s="327"/>
      <c r="R142" s="23">
        <f t="shared" si="38"/>
        <v>200</v>
      </c>
      <c r="S142" s="10">
        <f t="shared" si="32"/>
        <v>4000</v>
      </c>
      <c r="T142" s="10">
        <f t="shared" si="33"/>
        <v>-3000</v>
      </c>
      <c r="U142" s="10">
        <f t="shared" si="27"/>
        <v>0</v>
      </c>
      <c r="V142" s="10">
        <f t="shared" si="34"/>
        <v>16000</v>
      </c>
      <c r="W142" s="10">
        <f t="shared" si="35"/>
        <v>0</v>
      </c>
      <c r="X142" s="10">
        <f t="shared" si="36"/>
        <v>0</v>
      </c>
    </row>
    <row r="143" spans="1:24" s="9" customFormat="1" ht="13.5" customHeight="1" x14ac:dyDescent="0.2">
      <c r="A143" s="64">
        <f t="shared" si="37"/>
        <v>139</v>
      </c>
      <c r="B143" s="109" t="s">
        <v>1855</v>
      </c>
      <c r="C143" s="66" t="s">
        <v>2520</v>
      </c>
      <c r="D143" s="175">
        <v>50000</v>
      </c>
      <c r="E143" s="175"/>
      <c r="F143" s="67">
        <f t="shared" si="28"/>
        <v>50000</v>
      </c>
      <c r="G143" s="67">
        <v>49000</v>
      </c>
      <c r="H143" s="67">
        <f t="shared" si="29"/>
        <v>1000</v>
      </c>
      <c r="I143" s="68">
        <v>5</v>
      </c>
      <c r="J143" s="68">
        <v>0.2</v>
      </c>
      <c r="K143" s="68">
        <v>0</v>
      </c>
      <c r="L143" s="110"/>
      <c r="M143" s="67">
        <f t="shared" si="30"/>
        <v>49000</v>
      </c>
      <c r="N143" s="462">
        <f t="shared" si="31"/>
        <v>1000</v>
      </c>
      <c r="O143" s="111" t="s">
        <v>1932</v>
      </c>
      <c r="P143" s="111">
        <v>1</v>
      </c>
      <c r="Q143" s="327"/>
      <c r="R143" s="23">
        <f t="shared" si="38"/>
        <v>200</v>
      </c>
      <c r="S143" s="10">
        <f t="shared" si="32"/>
        <v>2500</v>
      </c>
      <c r="T143" s="10">
        <f t="shared" si="33"/>
        <v>-1500</v>
      </c>
      <c r="U143" s="10">
        <f t="shared" si="27"/>
        <v>0</v>
      </c>
      <c r="V143" s="10">
        <f t="shared" si="34"/>
        <v>10000</v>
      </c>
      <c r="W143" s="10">
        <f t="shared" si="35"/>
        <v>0</v>
      </c>
      <c r="X143" s="10">
        <f t="shared" si="36"/>
        <v>0</v>
      </c>
    </row>
    <row r="144" spans="1:24" s="9" customFormat="1" ht="13.5" customHeight="1" x14ac:dyDescent="0.2">
      <c r="A144" s="64">
        <f t="shared" si="37"/>
        <v>140</v>
      </c>
      <c r="B144" s="109" t="s">
        <v>1888</v>
      </c>
      <c r="C144" s="66" t="s">
        <v>2038</v>
      </c>
      <c r="D144" s="175">
        <v>2436363</v>
      </c>
      <c r="E144" s="175"/>
      <c r="F144" s="67">
        <f t="shared" si="28"/>
        <v>2436363</v>
      </c>
      <c r="G144" s="67">
        <v>2435363</v>
      </c>
      <c r="H144" s="67">
        <f t="shared" si="29"/>
        <v>1000</v>
      </c>
      <c r="I144" s="68">
        <v>5</v>
      </c>
      <c r="J144" s="68">
        <v>0.2</v>
      </c>
      <c r="K144" s="68">
        <v>0</v>
      </c>
      <c r="L144" s="110"/>
      <c r="M144" s="67">
        <f t="shared" si="30"/>
        <v>2435363</v>
      </c>
      <c r="N144" s="462">
        <f t="shared" si="31"/>
        <v>1000</v>
      </c>
      <c r="O144" s="111" t="s">
        <v>2023</v>
      </c>
      <c r="P144" s="111">
        <v>2</v>
      </c>
      <c r="Q144" s="327"/>
      <c r="R144" s="23">
        <f t="shared" si="38"/>
        <v>200</v>
      </c>
      <c r="S144" s="10">
        <f t="shared" si="32"/>
        <v>121818.15000000001</v>
      </c>
      <c r="T144" s="10">
        <f t="shared" si="33"/>
        <v>-120818.15000000001</v>
      </c>
      <c r="U144" s="10">
        <f t="shared" si="27"/>
        <v>0</v>
      </c>
      <c r="V144" s="10">
        <f t="shared" si="34"/>
        <v>487272.6</v>
      </c>
      <c r="W144" s="10">
        <f t="shared" si="35"/>
        <v>0</v>
      </c>
      <c r="X144" s="10">
        <f t="shared" si="36"/>
        <v>0</v>
      </c>
    </row>
    <row r="145" spans="1:24" s="9" customFormat="1" ht="13.5" customHeight="1" x14ac:dyDescent="0.2">
      <c r="A145" s="64">
        <f t="shared" si="37"/>
        <v>141</v>
      </c>
      <c r="B145" s="109" t="s">
        <v>1873</v>
      </c>
      <c r="C145" s="66" t="s">
        <v>1358</v>
      </c>
      <c r="D145" s="175">
        <v>40000</v>
      </c>
      <c r="E145" s="175"/>
      <c r="F145" s="67">
        <f t="shared" si="28"/>
        <v>40000</v>
      </c>
      <c r="G145" s="67">
        <v>39000</v>
      </c>
      <c r="H145" s="67">
        <f t="shared" si="29"/>
        <v>1000</v>
      </c>
      <c r="I145" s="68">
        <v>5</v>
      </c>
      <c r="J145" s="68">
        <v>0.2</v>
      </c>
      <c r="K145" s="68">
        <v>0</v>
      </c>
      <c r="L145" s="110"/>
      <c r="M145" s="67">
        <f t="shared" si="30"/>
        <v>39000</v>
      </c>
      <c r="N145" s="462">
        <f t="shared" si="31"/>
        <v>1000</v>
      </c>
      <c r="O145" s="111" t="s">
        <v>1932</v>
      </c>
      <c r="P145" s="111">
        <v>1</v>
      </c>
      <c r="Q145" s="327"/>
      <c r="R145" s="23">
        <f t="shared" si="38"/>
        <v>200</v>
      </c>
      <c r="S145" s="10">
        <f t="shared" si="32"/>
        <v>2000</v>
      </c>
      <c r="T145" s="10">
        <f t="shared" si="33"/>
        <v>-1000</v>
      </c>
      <c r="U145" s="10">
        <f t="shared" si="27"/>
        <v>0</v>
      </c>
      <c r="V145" s="10">
        <f t="shared" si="34"/>
        <v>8000</v>
      </c>
      <c r="W145" s="10">
        <f t="shared" si="35"/>
        <v>0</v>
      </c>
      <c r="X145" s="10">
        <f t="shared" si="36"/>
        <v>0</v>
      </c>
    </row>
    <row r="146" spans="1:24" s="9" customFormat="1" ht="13.5" customHeight="1" x14ac:dyDescent="0.2">
      <c r="A146" s="64">
        <f t="shared" si="37"/>
        <v>142</v>
      </c>
      <c r="B146" s="109" t="s">
        <v>1877</v>
      </c>
      <c r="C146" s="66" t="s">
        <v>1358</v>
      </c>
      <c r="D146" s="175">
        <v>50000</v>
      </c>
      <c r="E146" s="175"/>
      <c r="F146" s="67">
        <f t="shared" si="28"/>
        <v>50000</v>
      </c>
      <c r="G146" s="67">
        <v>49000</v>
      </c>
      <c r="H146" s="67">
        <f t="shared" si="29"/>
        <v>1000</v>
      </c>
      <c r="I146" s="68">
        <v>5</v>
      </c>
      <c r="J146" s="68">
        <v>0.2</v>
      </c>
      <c r="K146" s="68">
        <v>0</v>
      </c>
      <c r="L146" s="110"/>
      <c r="M146" s="67">
        <f t="shared" si="30"/>
        <v>49000</v>
      </c>
      <c r="N146" s="462">
        <f t="shared" si="31"/>
        <v>1000</v>
      </c>
      <c r="O146" s="111" t="s">
        <v>1932</v>
      </c>
      <c r="P146" s="111">
        <v>1</v>
      </c>
      <c r="Q146" s="327"/>
      <c r="R146" s="23">
        <f t="shared" si="38"/>
        <v>200</v>
      </c>
      <c r="S146" s="10">
        <f t="shared" si="32"/>
        <v>2500</v>
      </c>
      <c r="T146" s="10">
        <f t="shared" si="33"/>
        <v>-1500</v>
      </c>
      <c r="U146" s="10">
        <f t="shared" si="27"/>
        <v>0</v>
      </c>
      <c r="V146" s="10">
        <f t="shared" si="34"/>
        <v>10000</v>
      </c>
      <c r="W146" s="10">
        <f t="shared" si="35"/>
        <v>0</v>
      </c>
      <c r="X146" s="10">
        <f t="shared" si="36"/>
        <v>0</v>
      </c>
    </row>
    <row r="147" spans="1:24" s="9" customFormat="1" ht="13.5" customHeight="1" x14ac:dyDescent="0.2">
      <c r="A147" s="64">
        <f t="shared" si="37"/>
        <v>143</v>
      </c>
      <c r="B147" s="109" t="s">
        <v>1855</v>
      </c>
      <c r="C147" s="66" t="s">
        <v>1358</v>
      </c>
      <c r="D147" s="175">
        <v>80000</v>
      </c>
      <c r="E147" s="175"/>
      <c r="F147" s="67">
        <f t="shared" si="28"/>
        <v>80000</v>
      </c>
      <c r="G147" s="67">
        <v>79000</v>
      </c>
      <c r="H147" s="67">
        <f t="shared" si="29"/>
        <v>1000</v>
      </c>
      <c r="I147" s="68">
        <v>5</v>
      </c>
      <c r="J147" s="68">
        <v>0.2</v>
      </c>
      <c r="K147" s="68">
        <v>0</v>
      </c>
      <c r="L147" s="110"/>
      <c r="M147" s="67">
        <f t="shared" si="30"/>
        <v>79000</v>
      </c>
      <c r="N147" s="462">
        <f t="shared" si="31"/>
        <v>1000</v>
      </c>
      <c r="O147" s="111" t="s">
        <v>1932</v>
      </c>
      <c r="P147" s="111">
        <v>1</v>
      </c>
      <c r="Q147" s="327"/>
      <c r="R147" s="23">
        <f t="shared" si="38"/>
        <v>200</v>
      </c>
      <c r="S147" s="10">
        <f t="shared" si="32"/>
        <v>4000</v>
      </c>
      <c r="T147" s="10">
        <f t="shared" si="33"/>
        <v>-3000</v>
      </c>
      <c r="U147" s="10">
        <f t="shared" si="27"/>
        <v>0</v>
      </c>
      <c r="V147" s="10">
        <f t="shared" si="34"/>
        <v>16000</v>
      </c>
      <c r="W147" s="10">
        <f t="shared" si="35"/>
        <v>0</v>
      </c>
      <c r="X147" s="10">
        <f t="shared" si="36"/>
        <v>0</v>
      </c>
    </row>
    <row r="148" spans="1:24" s="9" customFormat="1" ht="13.5" customHeight="1" x14ac:dyDescent="0.2">
      <c r="A148" s="64">
        <f t="shared" si="37"/>
        <v>144</v>
      </c>
      <c r="B148" s="109" t="s">
        <v>1888</v>
      </c>
      <c r="C148" s="66" t="s">
        <v>2521</v>
      </c>
      <c r="D148" s="175">
        <v>2436363</v>
      </c>
      <c r="E148" s="175"/>
      <c r="F148" s="67">
        <f t="shared" si="28"/>
        <v>2436363</v>
      </c>
      <c r="G148" s="67">
        <v>2435363</v>
      </c>
      <c r="H148" s="67">
        <f t="shared" si="29"/>
        <v>1000</v>
      </c>
      <c r="I148" s="68">
        <v>5</v>
      </c>
      <c r="J148" s="68">
        <v>0.2</v>
      </c>
      <c r="K148" s="68">
        <v>0</v>
      </c>
      <c r="L148" s="110"/>
      <c r="M148" s="67">
        <f t="shared" si="30"/>
        <v>2435363</v>
      </c>
      <c r="N148" s="462">
        <f t="shared" si="31"/>
        <v>1000</v>
      </c>
      <c r="O148" s="111" t="s">
        <v>2023</v>
      </c>
      <c r="P148" s="111">
        <v>2</v>
      </c>
      <c r="Q148" s="327"/>
      <c r="R148" s="23">
        <f t="shared" si="38"/>
        <v>200</v>
      </c>
      <c r="S148" s="10">
        <f t="shared" si="32"/>
        <v>121818.15000000001</v>
      </c>
      <c r="T148" s="10">
        <f t="shared" si="33"/>
        <v>-120818.15000000001</v>
      </c>
      <c r="U148" s="10">
        <f t="shared" si="27"/>
        <v>0</v>
      </c>
      <c r="V148" s="10">
        <f t="shared" si="34"/>
        <v>487272.6</v>
      </c>
      <c r="W148" s="10">
        <f t="shared" si="35"/>
        <v>0</v>
      </c>
      <c r="X148" s="10">
        <f t="shared" si="36"/>
        <v>0</v>
      </c>
    </row>
    <row r="149" spans="1:24" s="9" customFormat="1" ht="13.5" customHeight="1" x14ac:dyDescent="0.2">
      <c r="A149" s="64">
        <f t="shared" si="37"/>
        <v>145</v>
      </c>
      <c r="B149" s="109" t="s">
        <v>1888</v>
      </c>
      <c r="C149" s="66" t="s">
        <v>1783</v>
      </c>
      <c r="D149" s="175">
        <v>1218181</v>
      </c>
      <c r="E149" s="175"/>
      <c r="F149" s="67">
        <f t="shared" si="28"/>
        <v>1218181</v>
      </c>
      <c r="G149" s="67">
        <v>1217181</v>
      </c>
      <c r="H149" s="67">
        <f t="shared" si="29"/>
        <v>1000</v>
      </c>
      <c r="I149" s="68">
        <v>5</v>
      </c>
      <c r="J149" s="68">
        <v>0.2</v>
      </c>
      <c r="K149" s="68">
        <v>0</v>
      </c>
      <c r="L149" s="110"/>
      <c r="M149" s="67">
        <f t="shared" si="30"/>
        <v>1217181</v>
      </c>
      <c r="N149" s="462">
        <f t="shared" si="31"/>
        <v>1000</v>
      </c>
      <c r="O149" s="111" t="s">
        <v>2023</v>
      </c>
      <c r="P149" s="111">
        <v>1</v>
      </c>
      <c r="Q149" s="327"/>
      <c r="R149" s="23">
        <f t="shared" si="38"/>
        <v>200</v>
      </c>
      <c r="S149" s="10">
        <f t="shared" si="32"/>
        <v>60909.05</v>
      </c>
      <c r="T149" s="10">
        <f t="shared" si="33"/>
        <v>-59909.05</v>
      </c>
      <c r="U149" s="10">
        <f t="shared" si="27"/>
        <v>0</v>
      </c>
      <c r="V149" s="10">
        <f t="shared" si="34"/>
        <v>243636.2</v>
      </c>
      <c r="W149" s="10">
        <f t="shared" si="35"/>
        <v>0</v>
      </c>
      <c r="X149" s="10">
        <f t="shared" si="36"/>
        <v>0</v>
      </c>
    </row>
    <row r="150" spans="1:24" s="9" customFormat="1" ht="13.5" customHeight="1" x14ac:dyDescent="0.2">
      <c r="A150" s="64">
        <f t="shared" si="37"/>
        <v>146</v>
      </c>
      <c r="B150" s="109" t="s">
        <v>2511</v>
      </c>
      <c r="C150" s="66" t="s">
        <v>2053</v>
      </c>
      <c r="D150" s="175">
        <v>209091</v>
      </c>
      <c r="E150" s="175"/>
      <c r="F150" s="67">
        <f t="shared" si="28"/>
        <v>209091</v>
      </c>
      <c r="G150" s="67">
        <v>208091</v>
      </c>
      <c r="H150" s="67">
        <f t="shared" si="29"/>
        <v>1000</v>
      </c>
      <c r="I150" s="68">
        <v>5</v>
      </c>
      <c r="J150" s="68">
        <v>0.2</v>
      </c>
      <c r="K150" s="68">
        <v>0</v>
      </c>
      <c r="L150" s="110"/>
      <c r="M150" s="67">
        <f t="shared" si="30"/>
        <v>208091</v>
      </c>
      <c r="N150" s="462">
        <f t="shared" si="31"/>
        <v>1000</v>
      </c>
      <c r="O150" s="111" t="s">
        <v>2458</v>
      </c>
      <c r="P150" s="111">
        <v>2</v>
      </c>
      <c r="Q150" s="327"/>
      <c r="R150" s="23">
        <f t="shared" si="38"/>
        <v>200</v>
      </c>
      <c r="S150" s="10">
        <f t="shared" si="32"/>
        <v>10454.550000000001</v>
      </c>
      <c r="T150" s="10">
        <f t="shared" si="33"/>
        <v>-9454.5500000000011</v>
      </c>
      <c r="U150" s="10">
        <f t="shared" si="27"/>
        <v>0</v>
      </c>
      <c r="V150" s="10">
        <f t="shared" si="34"/>
        <v>41818.199999999997</v>
      </c>
      <c r="W150" s="10">
        <f t="shared" si="35"/>
        <v>0</v>
      </c>
      <c r="X150" s="10">
        <f t="shared" si="36"/>
        <v>0</v>
      </c>
    </row>
    <row r="151" spans="1:24" s="9" customFormat="1" ht="13.5" customHeight="1" x14ac:dyDescent="0.2">
      <c r="A151" s="64">
        <f t="shared" si="37"/>
        <v>147</v>
      </c>
      <c r="B151" s="109" t="s">
        <v>2522</v>
      </c>
      <c r="C151" s="66" t="s">
        <v>2053</v>
      </c>
      <c r="D151" s="175">
        <v>120000</v>
      </c>
      <c r="E151" s="175"/>
      <c r="F151" s="67">
        <f t="shared" si="28"/>
        <v>120000</v>
      </c>
      <c r="G151" s="67">
        <v>119000</v>
      </c>
      <c r="H151" s="67">
        <f t="shared" si="29"/>
        <v>1000</v>
      </c>
      <c r="I151" s="68">
        <v>5</v>
      </c>
      <c r="J151" s="68">
        <v>0.2</v>
      </c>
      <c r="K151" s="68">
        <v>0</v>
      </c>
      <c r="L151" s="110"/>
      <c r="M151" s="67">
        <f t="shared" si="30"/>
        <v>119000</v>
      </c>
      <c r="N151" s="462">
        <f t="shared" si="31"/>
        <v>1000</v>
      </c>
      <c r="O151" s="111" t="s">
        <v>2458</v>
      </c>
      <c r="P151" s="111">
        <v>1</v>
      </c>
      <c r="Q151" s="327"/>
      <c r="R151" s="23">
        <f t="shared" si="38"/>
        <v>200</v>
      </c>
      <c r="S151" s="10">
        <f t="shared" si="32"/>
        <v>6000</v>
      </c>
      <c r="T151" s="10">
        <f t="shared" si="33"/>
        <v>-5000</v>
      </c>
      <c r="U151" s="10">
        <f t="shared" si="27"/>
        <v>0</v>
      </c>
      <c r="V151" s="10">
        <f t="shared" si="34"/>
        <v>24000</v>
      </c>
      <c r="W151" s="10">
        <f t="shared" si="35"/>
        <v>0</v>
      </c>
      <c r="X151" s="10">
        <f t="shared" si="36"/>
        <v>0</v>
      </c>
    </row>
    <row r="152" spans="1:24" s="9" customFormat="1" ht="13.5" customHeight="1" x14ac:dyDescent="0.2">
      <c r="A152" s="64">
        <f t="shared" si="37"/>
        <v>148</v>
      </c>
      <c r="B152" s="109" t="s">
        <v>1858</v>
      </c>
      <c r="C152" s="66" t="s">
        <v>2523</v>
      </c>
      <c r="D152" s="175">
        <v>2300000</v>
      </c>
      <c r="E152" s="175"/>
      <c r="F152" s="67">
        <f t="shared" si="28"/>
        <v>2300000</v>
      </c>
      <c r="G152" s="67">
        <v>2299000</v>
      </c>
      <c r="H152" s="67">
        <f t="shared" si="29"/>
        <v>1000</v>
      </c>
      <c r="I152" s="68">
        <v>5</v>
      </c>
      <c r="J152" s="68">
        <v>0.2</v>
      </c>
      <c r="K152" s="68">
        <v>0</v>
      </c>
      <c r="L152" s="110"/>
      <c r="M152" s="67">
        <f t="shared" si="30"/>
        <v>2299000</v>
      </c>
      <c r="N152" s="462">
        <f t="shared" si="31"/>
        <v>1000</v>
      </c>
      <c r="O152" s="111" t="s">
        <v>767</v>
      </c>
      <c r="P152" s="111">
        <v>1</v>
      </c>
      <c r="Q152" s="327"/>
      <c r="R152" s="23">
        <f t="shared" si="38"/>
        <v>200</v>
      </c>
      <c r="S152" s="10">
        <f t="shared" si="32"/>
        <v>115000</v>
      </c>
      <c r="T152" s="10">
        <f t="shared" si="33"/>
        <v>-114000</v>
      </c>
      <c r="U152" s="10">
        <f t="shared" si="27"/>
        <v>0</v>
      </c>
      <c r="V152" s="10">
        <f t="shared" si="34"/>
        <v>460000</v>
      </c>
      <c r="W152" s="10">
        <f t="shared" si="35"/>
        <v>0</v>
      </c>
      <c r="X152" s="10">
        <f t="shared" si="36"/>
        <v>0</v>
      </c>
    </row>
    <row r="153" spans="1:24" s="9" customFormat="1" ht="13.5" customHeight="1" x14ac:dyDescent="0.2">
      <c r="A153" s="64">
        <f t="shared" si="37"/>
        <v>149</v>
      </c>
      <c r="B153" s="109" t="s">
        <v>2524</v>
      </c>
      <c r="C153" s="66" t="s">
        <v>2525</v>
      </c>
      <c r="D153" s="175">
        <v>380000</v>
      </c>
      <c r="E153" s="175"/>
      <c r="F153" s="67">
        <f t="shared" si="28"/>
        <v>380000</v>
      </c>
      <c r="G153" s="67">
        <v>379000</v>
      </c>
      <c r="H153" s="67">
        <f t="shared" si="29"/>
        <v>1000</v>
      </c>
      <c r="I153" s="68">
        <v>5</v>
      </c>
      <c r="J153" s="68">
        <v>0.2</v>
      </c>
      <c r="K153" s="68">
        <v>0</v>
      </c>
      <c r="L153" s="110"/>
      <c r="M153" s="67">
        <f t="shared" si="30"/>
        <v>379000</v>
      </c>
      <c r="N153" s="462">
        <f t="shared" si="31"/>
        <v>1000</v>
      </c>
      <c r="O153" s="111" t="s">
        <v>2526</v>
      </c>
      <c r="P153" s="111">
        <v>1</v>
      </c>
      <c r="Q153" s="327"/>
      <c r="R153" s="23">
        <f t="shared" si="38"/>
        <v>200</v>
      </c>
      <c r="S153" s="10">
        <f t="shared" si="32"/>
        <v>19000</v>
      </c>
      <c r="T153" s="10">
        <f t="shared" si="33"/>
        <v>-18000</v>
      </c>
      <c r="U153" s="10">
        <f t="shared" si="27"/>
        <v>0</v>
      </c>
      <c r="V153" s="10">
        <f t="shared" si="34"/>
        <v>76000</v>
      </c>
      <c r="W153" s="10">
        <f t="shared" si="35"/>
        <v>0</v>
      </c>
      <c r="X153" s="10">
        <f t="shared" si="36"/>
        <v>0</v>
      </c>
    </row>
    <row r="154" spans="1:24" s="9" customFormat="1" ht="13.5" customHeight="1" x14ac:dyDescent="0.2">
      <c r="A154" s="64">
        <f t="shared" si="37"/>
        <v>150</v>
      </c>
      <c r="B154" s="109" t="s">
        <v>2527</v>
      </c>
      <c r="C154" s="66" t="s">
        <v>2528</v>
      </c>
      <c r="D154" s="175">
        <v>230000</v>
      </c>
      <c r="E154" s="175"/>
      <c r="F154" s="67">
        <f t="shared" si="28"/>
        <v>230000</v>
      </c>
      <c r="G154" s="67">
        <v>229000</v>
      </c>
      <c r="H154" s="67">
        <f t="shared" si="29"/>
        <v>1000</v>
      </c>
      <c r="I154" s="68">
        <v>5</v>
      </c>
      <c r="J154" s="68">
        <v>0.2</v>
      </c>
      <c r="K154" s="68">
        <v>0</v>
      </c>
      <c r="L154" s="110"/>
      <c r="M154" s="67">
        <f t="shared" si="30"/>
        <v>229000</v>
      </c>
      <c r="N154" s="462">
        <f t="shared" si="31"/>
        <v>1000</v>
      </c>
      <c r="O154" s="111" t="s">
        <v>2458</v>
      </c>
      <c r="P154" s="111">
        <v>1</v>
      </c>
      <c r="Q154" s="327"/>
      <c r="R154" s="23">
        <f t="shared" si="38"/>
        <v>200</v>
      </c>
      <c r="S154" s="10">
        <f t="shared" si="32"/>
        <v>11500</v>
      </c>
      <c r="T154" s="10">
        <f t="shared" si="33"/>
        <v>-10500</v>
      </c>
      <c r="U154" s="10">
        <f t="shared" si="27"/>
        <v>0</v>
      </c>
      <c r="V154" s="10">
        <f t="shared" si="34"/>
        <v>46000</v>
      </c>
      <c r="W154" s="10">
        <f t="shared" si="35"/>
        <v>0</v>
      </c>
      <c r="X154" s="10">
        <f t="shared" si="36"/>
        <v>0</v>
      </c>
    </row>
    <row r="155" spans="1:24" s="9" customFormat="1" ht="13.5" customHeight="1" x14ac:dyDescent="0.2">
      <c r="A155" s="64">
        <f t="shared" si="37"/>
        <v>151</v>
      </c>
      <c r="B155" s="109" t="s">
        <v>2529</v>
      </c>
      <c r="C155" s="66" t="s">
        <v>2528</v>
      </c>
      <c r="D155" s="175">
        <v>180000</v>
      </c>
      <c r="E155" s="175"/>
      <c r="F155" s="67">
        <f t="shared" si="28"/>
        <v>180000</v>
      </c>
      <c r="G155" s="67">
        <v>179000</v>
      </c>
      <c r="H155" s="67">
        <f t="shared" si="29"/>
        <v>1000</v>
      </c>
      <c r="I155" s="68">
        <v>5</v>
      </c>
      <c r="J155" s="68">
        <v>0.2</v>
      </c>
      <c r="K155" s="68">
        <v>0</v>
      </c>
      <c r="L155" s="110"/>
      <c r="M155" s="67">
        <f t="shared" si="30"/>
        <v>179000</v>
      </c>
      <c r="N155" s="462">
        <f t="shared" si="31"/>
        <v>1000</v>
      </c>
      <c r="O155" s="111" t="s">
        <v>2458</v>
      </c>
      <c r="P155" s="111">
        <v>1</v>
      </c>
      <c r="Q155" s="327"/>
      <c r="R155" s="23">
        <f t="shared" si="38"/>
        <v>200</v>
      </c>
      <c r="S155" s="10">
        <f t="shared" si="32"/>
        <v>9000</v>
      </c>
      <c r="T155" s="10">
        <f t="shared" si="33"/>
        <v>-8000</v>
      </c>
      <c r="U155" s="10">
        <f t="shared" si="27"/>
        <v>0</v>
      </c>
      <c r="V155" s="10">
        <f t="shared" si="34"/>
        <v>36000</v>
      </c>
      <c r="W155" s="10">
        <f t="shared" si="35"/>
        <v>0</v>
      </c>
      <c r="X155" s="10">
        <f t="shared" si="36"/>
        <v>0</v>
      </c>
    </row>
    <row r="156" spans="1:24" s="9" customFormat="1" ht="13.5" customHeight="1" x14ac:dyDescent="0.2">
      <c r="A156" s="292">
        <f t="shared" si="37"/>
        <v>152</v>
      </c>
      <c r="B156" s="558" t="s">
        <v>1858</v>
      </c>
      <c r="C156" s="329" t="s">
        <v>2530</v>
      </c>
      <c r="D156" s="310">
        <v>0</v>
      </c>
      <c r="E156" s="310"/>
      <c r="F156" s="295">
        <f t="shared" si="28"/>
        <v>0</v>
      </c>
      <c r="G156" s="295">
        <v>0</v>
      </c>
      <c r="H156" s="295">
        <f t="shared" si="29"/>
        <v>0</v>
      </c>
      <c r="I156" s="296">
        <v>5</v>
      </c>
      <c r="J156" s="296">
        <v>0.2</v>
      </c>
      <c r="K156" s="296">
        <v>0</v>
      </c>
      <c r="L156" s="287"/>
      <c r="M156" s="295">
        <f t="shared" si="30"/>
        <v>0</v>
      </c>
      <c r="N156" s="468">
        <f t="shared" si="31"/>
        <v>0</v>
      </c>
      <c r="O156" s="297" t="s">
        <v>767</v>
      </c>
      <c r="P156" s="297">
        <v>2</v>
      </c>
      <c r="Q156" s="637"/>
      <c r="R156" s="23">
        <f t="shared" si="38"/>
        <v>0</v>
      </c>
      <c r="S156" s="291">
        <f t="shared" si="32"/>
        <v>0</v>
      </c>
      <c r="T156" s="291">
        <f t="shared" si="33"/>
        <v>0</v>
      </c>
      <c r="U156" s="291"/>
      <c r="V156" s="291">
        <f t="shared" si="34"/>
        <v>0</v>
      </c>
      <c r="W156" s="10">
        <f t="shared" si="35"/>
        <v>0</v>
      </c>
      <c r="X156" s="10">
        <f t="shared" si="36"/>
        <v>0</v>
      </c>
    </row>
    <row r="157" spans="1:24" s="9" customFormat="1" ht="13.5" customHeight="1" x14ac:dyDescent="0.2">
      <c r="A157" s="64">
        <f t="shared" si="37"/>
        <v>153</v>
      </c>
      <c r="B157" s="109" t="s">
        <v>1888</v>
      </c>
      <c r="C157" s="66" t="s">
        <v>1786</v>
      </c>
      <c r="D157" s="175">
        <v>836363</v>
      </c>
      <c r="E157" s="175"/>
      <c r="F157" s="67">
        <f t="shared" si="28"/>
        <v>836363</v>
      </c>
      <c r="G157" s="67">
        <v>835363</v>
      </c>
      <c r="H157" s="67">
        <f t="shared" si="29"/>
        <v>1000</v>
      </c>
      <c r="I157" s="68">
        <v>5</v>
      </c>
      <c r="J157" s="68">
        <v>0.2</v>
      </c>
      <c r="K157" s="68">
        <v>0</v>
      </c>
      <c r="L157" s="110"/>
      <c r="M157" s="67">
        <f t="shared" si="30"/>
        <v>835363</v>
      </c>
      <c r="N157" s="462">
        <f t="shared" si="31"/>
        <v>1000</v>
      </c>
      <c r="O157" s="111" t="s">
        <v>2531</v>
      </c>
      <c r="P157" s="111">
        <v>1</v>
      </c>
      <c r="Q157" s="327"/>
      <c r="R157" s="23">
        <f t="shared" si="38"/>
        <v>200</v>
      </c>
      <c r="S157" s="10">
        <f t="shared" si="32"/>
        <v>41818.15</v>
      </c>
      <c r="T157" s="10">
        <f t="shared" si="33"/>
        <v>-40818.15</v>
      </c>
      <c r="U157" s="10">
        <f t="shared" ref="U157:U170" si="39">N157-1000</f>
        <v>0</v>
      </c>
      <c r="V157" s="10">
        <f t="shared" si="34"/>
        <v>167272.6</v>
      </c>
      <c r="W157" s="10">
        <f t="shared" si="35"/>
        <v>0</v>
      </c>
      <c r="X157" s="10">
        <f t="shared" si="36"/>
        <v>0</v>
      </c>
    </row>
    <row r="158" spans="1:24" s="9" customFormat="1" ht="13.5" customHeight="1" x14ac:dyDescent="0.2">
      <c r="A158" s="64">
        <f t="shared" si="37"/>
        <v>154</v>
      </c>
      <c r="B158" s="109" t="s">
        <v>2532</v>
      </c>
      <c r="C158" s="66" t="s">
        <v>296</v>
      </c>
      <c r="D158" s="175">
        <v>3363636</v>
      </c>
      <c r="E158" s="175"/>
      <c r="F158" s="67">
        <f t="shared" si="28"/>
        <v>3363636</v>
      </c>
      <c r="G158" s="67">
        <v>3362636</v>
      </c>
      <c r="H158" s="67">
        <f t="shared" si="29"/>
        <v>1000</v>
      </c>
      <c r="I158" s="68">
        <v>5</v>
      </c>
      <c r="J158" s="68">
        <v>0.2</v>
      </c>
      <c r="K158" s="68">
        <v>0</v>
      </c>
      <c r="L158" s="110"/>
      <c r="M158" s="67">
        <f t="shared" si="30"/>
        <v>3362636</v>
      </c>
      <c r="N158" s="462">
        <f t="shared" si="31"/>
        <v>1000</v>
      </c>
      <c r="O158" s="68" t="s">
        <v>2062</v>
      </c>
      <c r="P158" s="555">
        <v>1</v>
      </c>
      <c r="Q158" s="592"/>
      <c r="R158" s="23">
        <f t="shared" si="38"/>
        <v>200</v>
      </c>
      <c r="S158" s="10">
        <f t="shared" si="32"/>
        <v>168181.80000000002</v>
      </c>
      <c r="T158" s="10">
        <f t="shared" si="33"/>
        <v>-167181.80000000002</v>
      </c>
      <c r="U158" s="10">
        <f t="shared" si="39"/>
        <v>0</v>
      </c>
      <c r="V158" s="10">
        <f t="shared" si="34"/>
        <v>672727.2</v>
      </c>
      <c r="W158" s="10">
        <f t="shared" si="35"/>
        <v>0</v>
      </c>
      <c r="X158" s="10">
        <f t="shared" si="36"/>
        <v>0</v>
      </c>
    </row>
    <row r="159" spans="1:24" s="9" customFormat="1" ht="13.5" customHeight="1" x14ac:dyDescent="0.2">
      <c r="A159" s="64">
        <f t="shared" si="37"/>
        <v>155</v>
      </c>
      <c r="B159" s="109" t="s">
        <v>2533</v>
      </c>
      <c r="C159" s="66" t="s">
        <v>2064</v>
      </c>
      <c r="D159" s="175">
        <v>160000</v>
      </c>
      <c r="E159" s="175"/>
      <c r="F159" s="67">
        <f t="shared" si="28"/>
        <v>160000</v>
      </c>
      <c r="G159" s="67">
        <v>159000</v>
      </c>
      <c r="H159" s="67">
        <f t="shared" si="29"/>
        <v>1000</v>
      </c>
      <c r="I159" s="68">
        <v>5</v>
      </c>
      <c r="J159" s="68">
        <v>0.2</v>
      </c>
      <c r="K159" s="68">
        <v>0</v>
      </c>
      <c r="L159" s="110"/>
      <c r="M159" s="67">
        <f t="shared" si="30"/>
        <v>159000</v>
      </c>
      <c r="N159" s="462">
        <f t="shared" si="31"/>
        <v>1000</v>
      </c>
      <c r="O159" s="111" t="s">
        <v>2458</v>
      </c>
      <c r="P159" s="111">
        <v>1</v>
      </c>
      <c r="Q159" s="327"/>
      <c r="R159" s="23">
        <f t="shared" si="38"/>
        <v>200</v>
      </c>
      <c r="S159" s="10">
        <f t="shared" si="32"/>
        <v>8000</v>
      </c>
      <c r="T159" s="10">
        <f t="shared" si="33"/>
        <v>-7000</v>
      </c>
      <c r="U159" s="10">
        <f t="shared" si="39"/>
        <v>0</v>
      </c>
      <c r="V159" s="10">
        <f t="shared" si="34"/>
        <v>32000</v>
      </c>
      <c r="W159" s="10">
        <f t="shared" si="35"/>
        <v>0</v>
      </c>
      <c r="X159" s="10">
        <f t="shared" si="36"/>
        <v>0</v>
      </c>
    </row>
    <row r="160" spans="1:24" s="9" customFormat="1" ht="13.5" customHeight="1" x14ac:dyDescent="0.2">
      <c r="A160" s="64">
        <f t="shared" si="37"/>
        <v>156</v>
      </c>
      <c r="B160" s="109" t="s">
        <v>2534</v>
      </c>
      <c r="C160" s="66" t="s">
        <v>2064</v>
      </c>
      <c r="D160" s="175">
        <v>80000</v>
      </c>
      <c r="E160" s="175"/>
      <c r="F160" s="67">
        <f t="shared" si="28"/>
        <v>80000</v>
      </c>
      <c r="G160" s="67">
        <v>79000</v>
      </c>
      <c r="H160" s="67">
        <f t="shared" si="29"/>
        <v>1000</v>
      </c>
      <c r="I160" s="68">
        <v>5</v>
      </c>
      <c r="J160" s="68">
        <v>0.2</v>
      </c>
      <c r="K160" s="68">
        <v>0</v>
      </c>
      <c r="L160" s="110"/>
      <c r="M160" s="67">
        <f t="shared" si="30"/>
        <v>79000</v>
      </c>
      <c r="N160" s="462">
        <f t="shared" si="31"/>
        <v>1000</v>
      </c>
      <c r="O160" s="111" t="s">
        <v>2458</v>
      </c>
      <c r="P160" s="111">
        <v>1</v>
      </c>
      <c r="Q160" s="327"/>
      <c r="R160" s="23">
        <f t="shared" si="38"/>
        <v>200</v>
      </c>
      <c r="S160" s="10">
        <f t="shared" si="32"/>
        <v>4000</v>
      </c>
      <c r="T160" s="10">
        <f t="shared" si="33"/>
        <v>-3000</v>
      </c>
      <c r="U160" s="10">
        <f t="shared" si="39"/>
        <v>0</v>
      </c>
      <c r="V160" s="10">
        <f t="shared" si="34"/>
        <v>16000</v>
      </c>
      <c r="W160" s="10">
        <f t="shared" si="35"/>
        <v>0</v>
      </c>
      <c r="X160" s="10">
        <f t="shared" si="36"/>
        <v>0</v>
      </c>
    </row>
    <row r="161" spans="1:24" s="9" customFormat="1" ht="13.5" customHeight="1" x14ac:dyDescent="0.2">
      <c r="A161" s="64">
        <f t="shared" si="37"/>
        <v>157</v>
      </c>
      <c r="B161" s="109" t="s">
        <v>1873</v>
      </c>
      <c r="C161" s="66" t="s">
        <v>2064</v>
      </c>
      <c r="D161" s="175">
        <v>45000</v>
      </c>
      <c r="E161" s="175"/>
      <c r="F161" s="67">
        <f t="shared" si="28"/>
        <v>45000</v>
      </c>
      <c r="G161" s="67">
        <v>44000</v>
      </c>
      <c r="H161" s="67">
        <f t="shared" si="29"/>
        <v>1000</v>
      </c>
      <c r="I161" s="68">
        <v>5</v>
      </c>
      <c r="J161" s="68">
        <v>0.2</v>
      </c>
      <c r="K161" s="68">
        <v>0</v>
      </c>
      <c r="L161" s="110"/>
      <c r="M161" s="67">
        <f t="shared" si="30"/>
        <v>44000</v>
      </c>
      <c r="N161" s="462">
        <f t="shared" si="31"/>
        <v>1000</v>
      </c>
      <c r="O161" s="111" t="s">
        <v>1932</v>
      </c>
      <c r="P161" s="111">
        <v>1</v>
      </c>
      <c r="Q161" s="327"/>
      <c r="R161" s="23">
        <f t="shared" si="38"/>
        <v>200</v>
      </c>
      <c r="S161" s="10">
        <f t="shared" si="32"/>
        <v>2250</v>
      </c>
      <c r="T161" s="10">
        <f t="shared" si="33"/>
        <v>-1250</v>
      </c>
      <c r="U161" s="10">
        <f t="shared" si="39"/>
        <v>0</v>
      </c>
      <c r="V161" s="10">
        <f t="shared" si="34"/>
        <v>9000</v>
      </c>
      <c r="W161" s="10">
        <f t="shared" si="35"/>
        <v>0</v>
      </c>
      <c r="X161" s="10">
        <f t="shared" si="36"/>
        <v>0</v>
      </c>
    </row>
    <row r="162" spans="1:24" s="9" customFormat="1" ht="13.5" customHeight="1" x14ac:dyDescent="0.2">
      <c r="A162" s="64">
        <f t="shared" si="37"/>
        <v>158</v>
      </c>
      <c r="B162" s="109" t="s">
        <v>1877</v>
      </c>
      <c r="C162" s="66" t="s">
        <v>2064</v>
      </c>
      <c r="D162" s="175">
        <v>80000</v>
      </c>
      <c r="E162" s="175"/>
      <c r="F162" s="67">
        <f t="shared" si="28"/>
        <v>80000</v>
      </c>
      <c r="G162" s="67">
        <v>79000</v>
      </c>
      <c r="H162" s="67">
        <f t="shared" si="29"/>
        <v>1000</v>
      </c>
      <c r="I162" s="68">
        <v>5</v>
      </c>
      <c r="J162" s="68">
        <v>0.2</v>
      </c>
      <c r="K162" s="68">
        <v>0</v>
      </c>
      <c r="L162" s="110"/>
      <c r="M162" s="67">
        <f t="shared" si="30"/>
        <v>79000</v>
      </c>
      <c r="N162" s="462">
        <f t="shared" si="31"/>
        <v>1000</v>
      </c>
      <c r="O162" s="111" t="s">
        <v>1932</v>
      </c>
      <c r="P162" s="111">
        <v>1</v>
      </c>
      <c r="Q162" s="327"/>
      <c r="R162" s="23">
        <f t="shared" si="38"/>
        <v>200</v>
      </c>
      <c r="S162" s="10">
        <f t="shared" si="32"/>
        <v>4000</v>
      </c>
      <c r="T162" s="10">
        <f t="shared" si="33"/>
        <v>-3000</v>
      </c>
      <c r="U162" s="10">
        <f t="shared" si="39"/>
        <v>0</v>
      </c>
      <c r="V162" s="10">
        <f t="shared" si="34"/>
        <v>16000</v>
      </c>
      <c r="W162" s="10">
        <f t="shared" si="35"/>
        <v>0</v>
      </c>
      <c r="X162" s="10">
        <f t="shared" si="36"/>
        <v>0</v>
      </c>
    </row>
    <row r="163" spans="1:24" s="9" customFormat="1" ht="13.5" customHeight="1" x14ac:dyDescent="0.2">
      <c r="A163" s="64">
        <f t="shared" si="37"/>
        <v>159</v>
      </c>
      <c r="B163" s="109" t="s">
        <v>1855</v>
      </c>
      <c r="C163" s="66" t="s">
        <v>2064</v>
      </c>
      <c r="D163" s="175">
        <v>100000</v>
      </c>
      <c r="E163" s="175"/>
      <c r="F163" s="67">
        <f t="shared" si="28"/>
        <v>100000</v>
      </c>
      <c r="G163" s="67">
        <v>99000</v>
      </c>
      <c r="H163" s="67">
        <f t="shared" si="29"/>
        <v>1000</v>
      </c>
      <c r="I163" s="68">
        <v>5</v>
      </c>
      <c r="J163" s="68">
        <v>0.2</v>
      </c>
      <c r="K163" s="68">
        <v>0</v>
      </c>
      <c r="L163" s="110"/>
      <c r="M163" s="67">
        <f t="shared" si="30"/>
        <v>99000</v>
      </c>
      <c r="N163" s="462">
        <f t="shared" si="31"/>
        <v>1000</v>
      </c>
      <c r="O163" s="111" t="s">
        <v>1932</v>
      </c>
      <c r="P163" s="111">
        <v>2</v>
      </c>
      <c r="Q163" s="327"/>
      <c r="R163" s="23">
        <f t="shared" si="38"/>
        <v>200</v>
      </c>
      <c r="S163" s="10">
        <f t="shared" si="32"/>
        <v>5000</v>
      </c>
      <c r="T163" s="10">
        <f t="shared" si="33"/>
        <v>-4000</v>
      </c>
      <c r="U163" s="10">
        <f t="shared" si="39"/>
        <v>0</v>
      </c>
      <c r="V163" s="10">
        <f t="shared" si="34"/>
        <v>20000</v>
      </c>
      <c r="W163" s="10">
        <f t="shared" si="35"/>
        <v>0</v>
      </c>
      <c r="X163" s="10">
        <f t="shared" si="36"/>
        <v>0</v>
      </c>
    </row>
    <row r="164" spans="1:24" s="9" customFormat="1" ht="13.5" customHeight="1" x14ac:dyDescent="0.2">
      <c r="A164" s="64">
        <f t="shared" si="37"/>
        <v>160</v>
      </c>
      <c r="B164" s="109" t="s">
        <v>1873</v>
      </c>
      <c r="C164" s="66" t="s">
        <v>2535</v>
      </c>
      <c r="D164" s="175">
        <v>90000</v>
      </c>
      <c r="E164" s="175"/>
      <c r="F164" s="67">
        <f t="shared" si="28"/>
        <v>90000</v>
      </c>
      <c r="G164" s="67">
        <v>89000</v>
      </c>
      <c r="H164" s="67">
        <f t="shared" si="29"/>
        <v>1000</v>
      </c>
      <c r="I164" s="68">
        <v>5</v>
      </c>
      <c r="J164" s="68">
        <v>0.2</v>
      </c>
      <c r="K164" s="68">
        <v>0</v>
      </c>
      <c r="L164" s="110"/>
      <c r="M164" s="67">
        <f t="shared" si="30"/>
        <v>89000</v>
      </c>
      <c r="N164" s="462">
        <f t="shared" si="31"/>
        <v>1000</v>
      </c>
      <c r="O164" s="111" t="s">
        <v>1932</v>
      </c>
      <c r="P164" s="111">
        <v>1</v>
      </c>
      <c r="Q164" s="327"/>
      <c r="R164" s="23">
        <f t="shared" si="38"/>
        <v>200</v>
      </c>
      <c r="S164" s="10">
        <f t="shared" si="32"/>
        <v>4500</v>
      </c>
      <c r="T164" s="10">
        <f t="shared" si="33"/>
        <v>-3500</v>
      </c>
      <c r="U164" s="10">
        <f t="shared" si="39"/>
        <v>0</v>
      </c>
      <c r="V164" s="10">
        <f t="shared" si="34"/>
        <v>18000</v>
      </c>
      <c r="W164" s="10">
        <f t="shared" si="35"/>
        <v>0</v>
      </c>
      <c r="X164" s="10">
        <f t="shared" si="36"/>
        <v>0</v>
      </c>
    </row>
    <row r="165" spans="1:24" s="9" customFormat="1" ht="13.5" customHeight="1" x14ac:dyDescent="0.2">
      <c r="A165" s="64">
        <f t="shared" si="37"/>
        <v>161</v>
      </c>
      <c r="B165" s="109" t="s">
        <v>1877</v>
      </c>
      <c r="C165" s="66" t="s">
        <v>2535</v>
      </c>
      <c r="D165" s="175">
        <v>140000</v>
      </c>
      <c r="E165" s="175"/>
      <c r="F165" s="67">
        <f t="shared" si="28"/>
        <v>140000</v>
      </c>
      <c r="G165" s="67">
        <v>139000</v>
      </c>
      <c r="H165" s="67">
        <f t="shared" si="29"/>
        <v>1000</v>
      </c>
      <c r="I165" s="68">
        <v>5</v>
      </c>
      <c r="J165" s="68">
        <v>0.2</v>
      </c>
      <c r="K165" s="68">
        <v>0</v>
      </c>
      <c r="L165" s="110"/>
      <c r="M165" s="67">
        <f t="shared" si="30"/>
        <v>139000</v>
      </c>
      <c r="N165" s="462">
        <f t="shared" si="31"/>
        <v>1000</v>
      </c>
      <c r="O165" s="111" t="s">
        <v>1932</v>
      </c>
      <c r="P165" s="111">
        <v>1</v>
      </c>
      <c r="Q165" s="327"/>
      <c r="R165" s="23">
        <f t="shared" si="38"/>
        <v>200</v>
      </c>
      <c r="S165" s="10">
        <f t="shared" si="32"/>
        <v>7000</v>
      </c>
      <c r="T165" s="10">
        <f t="shared" si="33"/>
        <v>-6000</v>
      </c>
      <c r="U165" s="10">
        <f t="shared" si="39"/>
        <v>0</v>
      </c>
      <c r="V165" s="10">
        <f t="shared" si="34"/>
        <v>28000</v>
      </c>
      <c r="W165" s="10">
        <f t="shared" si="35"/>
        <v>0</v>
      </c>
      <c r="X165" s="10">
        <f t="shared" si="36"/>
        <v>0</v>
      </c>
    </row>
    <row r="166" spans="1:24" s="9" customFormat="1" ht="13.5" customHeight="1" x14ac:dyDescent="0.2">
      <c r="A166" s="64">
        <f t="shared" si="37"/>
        <v>162</v>
      </c>
      <c r="B166" s="109" t="s">
        <v>1855</v>
      </c>
      <c r="C166" s="66" t="s">
        <v>2535</v>
      </c>
      <c r="D166" s="175">
        <v>100000</v>
      </c>
      <c r="E166" s="175"/>
      <c r="F166" s="67">
        <f t="shared" si="28"/>
        <v>100000</v>
      </c>
      <c r="G166" s="67">
        <v>99000</v>
      </c>
      <c r="H166" s="67">
        <f t="shared" si="29"/>
        <v>1000</v>
      </c>
      <c r="I166" s="68">
        <v>5</v>
      </c>
      <c r="J166" s="68">
        <v>0.2</v>
      </c>
      <c r="K166" s="68">
        <v>0</v>
      </c>
      <c r="L166" s="110"/>
      <c r="M166" s="67">
        <f t="shared" si="30"/>
        <v>99000</v>
      </c>
      <c r="N166" s="462">
        <f t="shared" si="31"/>
        <v>1000</v>
      </c>
      <c r="O166" s="111" t="s">
        <v>1932</v>
      </c>
      <c r="P166" s="111">
        <v>1</v>
      </c>
      <c r="Q166" s="327"/>
      <c r="R166" s="23">
        <f t="shared" si="38"/>
        <v>200</v>
      </c>
      <c r="S166" s="10">
        <f t="shared" si="32"/>
        <v>5000</v>
      </c>
      <c r="T166" s="10">
        <f t="shared" si="33"/>
        <v>-4000</v>
      </c>
      <c r="U166" s="10">
        <f t="shared" si="39"/>
        <v>0</v>
      </c>
      <c r="V166" s="10">
        <f t="shared" si="34"/>
        <v>20000</v>
      </c>
      <c r="W166" s="10">
        <f t="shared" si="35"/>
        <v>0</v>
      </c>
      <c r="X166" s="10">
        <f t="shared" si="36"/>
        <v>0</v>
      </c>
    </row>
    <row r="167" spans="1:24" s="9" customFormat="1" ht="13.5" customHeight="1" x14ac:dyDescent="0.2">
      <c r="A167" s="64">
        <f t="shared" si="37"/>
        <v>163</v>
      </c>
      <c r="B167" s="109" t="s">
        <v>1877</v>
      </c>
      <c r="C167" s="66" t="s">
        <v>2535</v>
      </c>
      <c r="D167" s="175">
        <v>160000</v>
      </c>
      <c r="E167" s="175"/>
      <c r="F167" s="67">
        <f t="shared" si="28"/>
        <v>160000</v>
      </c>
      <c r="G167" s="67">
        <v>159000</v>
      </c>
      <c r="H167" s="67">
        <f t="shared" si="29"/>
        <v>1000</v>
      </c>
      <c r="I167" s="68">
        <v>5</v>
      </c>
      <c r="J167" s="68">
        <v>0.2</v>
      </c>
      <c r="K167" s="68">
        <v>0</v>
      </c>
      <c r="L167" s="110"/>
      <c r="M167" s="67">
        <f t="shared" si="30"/>
        <v>159000</v>
      </c>
      <c r="N167" s="462">
        <f t="shared" si="31"/>
        <v>1000</v>
      </c>
      <c r="O167" s="111" t="s">
        <v>1932</v>
      </c>
      <c r="P167" s="111">
        <v>1</v>
      </c>
      <c r="Q167" s="327"/>
      <c r="R167" s="23">
        <f t="shared" si="38"/>
        <v>200</v>
      </c>
      <c r="S167" s="10">
        <f t="shared" si="32"/>
        <v>8000</v>
      </c>
      <c r="T167" s="10">
        <f t="shared" si="33"/>
        <v>-7000</v>
      </c>
      <c r="U167" s="10">
        <f t="shared" si="39"/>
        <v>0</v>
      </c>
      <c r="V167" s="10">
        <f t="shared" si="34"/>
        <v>32000</v>
      </c>
      <c r="W167" s="10">
        <f t="shared" si="35"/>
        <v>0</v>
      </c>
      <c r="X167" s="10">
        <f t="shared" si="36"/>
        <v>0</v>
      </c>
    </row>
    <row r="168" spans="1:24" s="9" customFormat="1" ht="13.5" customHeight="1" x14ac:dyDescent="0.2">
      <c r="A168" s="64">
        <f t="shared" si="37"/>
        <v>164</v>
      </c>
      <c r="B168" s="109" t="s">
        <v>2411</v>
      </c>
      <c r="C168" s="66" t="s">
        <v>2535</v>
      </c>
      <c r="D168" s="175">
        <v>70000</v>
      </c>
      <c r="E168" s="175"/>
      <c r="F168" s="67">
        <f t="shared" si="28"/>
        <v>70000</v>
      </c>
      <c r="G168" s="67">
        <v>69000</v>
      </c>
      <c r="H168" s="67">
        <f t="shared" si="29"/>
        <v>1000</v>
      </c>
      <c r="I168" s="68">
        <v>5</v>
      </c>
      <c r="J168" s="68">
        <v>0.2</v>
      </c>
      <c r="K168" s="68">
        <v>0</v>
      </c>
      <c r="L168" s="110"/>
      <c r="M168" s="67">
        <f t="shared" si="30"/>
        <v>69000</v>
      </c>
      <c r="N168" s="462">
        <f t="shared" si="31"/>
        <v>1000</v>
      </c>
      <c r="O168" s="111" t="s">
        <v>1932</v>
      </c>
      <c r="P168" s="111">
        <v>1</v>
      </c>
      <c r="Q168" s="327"/>
      <c r="R168" s="23">
        <f t="shared" si="38"/>
        <v>200</v>
      </c>
      <c r="S168" s="10">
        <f t="shared" si="32"/>
        <v>3500</v>
      </c>
      <c r="T168" s="10">
        <f t="shared" si="33"/>
        <v>-2500</v>
      </c>
      <c r="U168" s="10">
        <f t="shared" si="39"/>
        <v>0</v>
      </c>
      <c r="V168" s="10">
        <f t="shared" si="34"/>
        <v>14000</v>
      </c>
      <c r="W168" s="10">
        <f t="shared" si="35"/>
        <v>0</v>
      </c>
      <c r="X168" s="10">
        <f t="shared" si="36"/>
        <v>0</v>
      </c>
    </row>
    <row r="169" spans="1:24" s="9" customFormat="1" ht="13.5" customHeight="1" x14ac:dyDescent="0.2">
      <c r="A169" s="64">
        <f t="shared" si="37"/>
        <v>165</v>
      </c>
      <c r="B169" s="109" t="s">
        <v>2536</v>
      </c>
      <c r="C169" s="66" t="s">
        <v>1384</v>
      </c>
      <c r="D169" s="175">
        <v>160000</v>
      </c>
      <c r="E169" s="175"/>
      <c r="F169" s="67">
        <f t="shared" si="28"/>
        <v>160000</v>
      </c>
      <c r="G169" s="67">
        <v>159000</v>
      </c>
      <c r="H169" s="67">
        <f t="shared" si="29"/>
        <v>1000</v>
      </c>
      <c r="I169" s="68">
        <v>5</v>
      </c>
      <c r="J169" s="68">
        <v>0.2</v>
      </c>
      <c r="K169" s="68">
        <v>0</v>
      </c>
      <c r="L169" s="110"/>
      <c r="M169" s="67">
        <f t="shared" si="30"/>
        <v>159000</v>
      </c>
      <c r="N169" s="462">
        <f t="shared" si="31"/>
        <v>1000</v>
      </c>
      <c r="O169" s="111" t="s">
        <v>2458</v>
      </c>
      <c r="P169" s="111">
        <v>1</v>
      </c>
      <c r="Q169" s="327"/>
      <c r="R169" s="23">
        <f t="shared" si="38"/>
        <v>200</v>
      </c>
      <c r="S169" s="10">
        <f t="shared" si="32"/>
        <v>8000</v>
      </c>
      <c r="T169" s="10">
        <f t="shared" si="33"/>
        <v>-7000</v>
      </c>
      <c r="U169" s="10">
        <f t="shared" si="39"/>
        <v>0</v>
      </c>
      <c r="V169" s="10">
        <f t="shared" si="34"/>
        <v>32000</v>
      </c>
      <c r="W169" s="10">
        <f t="shared" si="35"/>
        <v>0</v>
      </c>
      <c r="X169" s="10">
        <f t="shared" si="36"/>
        <v>0</v>
      </c>
    </row>
    <row r="170" spans="1:24" s="9" customFormat="1" ht="13.5" customHeight="1" x14ac:dyDescent="0.2">
      <c r="A170" s="64">
        <f t="shared" si="37"/>
        <v>166</v>
      </c>
      <c r="B170" s="109" t="s">
        <v>1888</v>
      </c>
      <c r="C170" s="66" t="s">
        <v>2537</v>
      </c>
      <c r="D170" s="175">
        <v>2000000</v>
      </c>
      <c r="E170" s="175"/>
      <c r="F170" s="67">
        <f t="shared" si="28"/>
        <v>2000000</v>
      </c>
      <c r="G170" s="67">
        <v>1999000</v>
      </c>
      <c r="H170" s="67">
        <f t="shared" si="29"/>
        <v>1000</v>
      </c>
      <c r="I170" s="68">
        <v>5</v>
      </c>
      <c r="J170" s="68">
        <v>0.2</v>
      </c>
      <c r="K170" s="68">
        <v>0</v>
      </c>
      <c r="L170" s="110"/>
      <c r="M170" s="67">
        <f t="shared" si="30"/>
        <v>1999000</v>
      </c>
      <c r="N170" s="462">
        <f t="shared" si="31"/>
        <v>1000</v>
      </c>
      <c r="O170" s="111" t="s">
        <v>1965</v>
      </c>
      <c r="P170" s="111">
        <v>2</v>
      </c>
      <c r="Q170" s="327"/>
      <c r="R170" s="23">
        <f t="shared" si="38"/>
        <v>200</v>
      </c>
      <c r="S170" s="10">
        <f t="shared" si="32"/>
        <v>100000</v>
      </c>
      <c r="T170" s="10">
        <f t="shared" si="33"/>
        <v>-99000</v>
      </c>
      <c r="U170" s="10">
        <f t="shared" si="39"/>
        <v>0</v>
      </c>
      <c r="V170" s="10">
        <f t="shared" si="34"/>
        <v>400000</v>
      </c>
      <c r="W170" s="10">
        <f t="shared" si="35"/>
        <v>0</v>
      </c>
      <c r="X170" s="10">
        <f t="shared" si="36"/>
        <v>0</v>
      </c>
    </row>
    <row r="171" spans="1:24" s="9" customFormat="1" ht="13.5" customHeight="1" x14ac:dyDescent="0.2">
      <c r="A171" s="292">
        <f t="shared" si="37"/>
        <v>167</v>
      </c>
      <c r="B171" s="558" t="s">
        <v>2538</v>
      </c>
      <c r="C171" s="329" t="s">
        <v>2539</v>
      </c>
      <c r="D171" s="310">
        <v>0</v>
      </c>
      <c r="E171" s="310"/>
      <c r="F171" s="295">
        <f t="shared" si="28"/>
        <v>0</v>
      </c>
      <c r="G171" s="295">
        <v>0</v>
      </c>
      <c r="H171" s="295">
        <f t="shared" si="29"/>
        <v>0</v>
      </c>
      <c r="I171" s="296">
        <v>5</v>
      </c>
      <c r="J171" s="296">
        <v>0.2</v>
      </c>
      <c r="K171" s="296">
        <v>0</v>
      </c>
      <c r="L171" s="287"/>
      <c r="M171" s="295">
        <f t="shared" si="30"/>
        <v>0</v>
      </c>
      <c r="N171" s="468">
        <f t="shared" si="31"/>
        <v>0</v>
      </c>
      <c r="O171" s="297" t="s">
        <v>2014</v>
      </c>
      <c r="P171" s="297">
        <v>1</v>
      </c>
      <c r="Q171" s="637"/>
      <c r="R171" s="23"/>
      <c r="S171" s="291">
        <f t="shared" si="32"/>
        <v>0</v>
      </c>
      <c r="T171" s="291">
        <f t="shared" si="33"/>
        <v>0</v>
      </c>
      <c r="U171" s="291"/>
      <c r="V171" s="291">
        <f t="shared" si="34"/>
        <v>0</v>
      </c>
      <c r="W171" s="10">
        <f t="shared" si="35"/>
        <v>0</v>
      </c>
      <c r="X171" s="10">
        <f t="shared" si="36"/>
        <v>0</v>
      </c>
    </row>
    <row r="172" spans="1:24" s="9" customFormat="1" ht="13.5" customHeight="1" x14ac:dyDescent="0.2">
      <c r="A172" s="64">
        <f t="shared" si="37"/>
        <v>168</v>
      </c>
      <c r="B172" s="109" t="s">
        <v>2540</v>
      </c>
      <c r="C172" s="66" t="s">
        <v>2539</v>
      </c>
      <c r="D172" s="175">
        <v>110000</v>
      </c>
      <c r="E172" s="175"/>
      <c r="F172" s="67">
        <f t="shared" si="28"/>
        <v>110000</v>
      </c>
      <c r="G172" s="67">
        <v>109000</v>
      </c>
      <c r="H172" s="67">
        <f t="shared" si="29"/>
        <v>1000</v>
      </c>
      <c r="I172" s="68">
        <v>5</v>
      </c>
      <c r="J172" s="68">
        <v>0.2</v>
      </c>
      <c r="K172" s="68">
        <v>0</v>
      </c>
      <c r="L172" s="110"/>
      <c r="M172" s="67">
        <f t="shared" si="30"/>
        <v>109000</v>
      </c>
      <c r="N172" s="462">
        <f t="shared" si="31"/>
        <v>1000</v>
      </c>
      <c r="O172" s="111" t="s">
        <v>2458</v>
      </c>
      <c r="P172" s="111">
        <v>1</v>
      </c>
      <c r="Q172" s="327"/>
      <c r="R172" s="23"/>
      <c r="S172" s="10">
        <f t="shared" si="32"/>
        <v>5500</v>
      </c>
      <c r="T172" s="10">
        <f t="shared" si="33"/>
        <v>-4500</v>
      </c>
      <c r="U172" s="10">
        <f t="shared" ref="U172:U205" si="40">N172-1000</f>
        <v>0</v>
      </c>
      <c r="V172" s="10">
        <f t="shared" si="34"/>
        <v>22000</v>
      </c>
      <c r="W172" s="10">
        <f t="shared" si="35"/>
        <v>0</v>
      </c>
      <c r="X172" s="10">
        <f t="shared" si="36"/>
        <v>0</v>
      </c>
    </row>
    <row r="173" spans="1:24" s="9" customFormat="1" ht="13.5" customHeight="1" x14ac:dyDescent="0.2">
      <c r="A173" s="64">
        <f t="shared" si="37"/>
        <v>169</v>
      </c>
      <c r="B173" s="109" t="s">
        <v>2541</v>
      </c>
      <c r="C173" s="66" t="s">
        <v>2539</v>
      </c>
      <c r="D173" s="175">
        <v>140000</v>
      </c>
      <c r="E173" s="175"/>
      <c r="F173" s="67">
        <f t="shared" si="28"/>
        <v>140000</v>
      </c>
      <c r="G173" s="67">
        <v>139000</v>
      </c>
      <c r="H173" s="67">
        <f t="shared" si="29"/>
        <v>1000</v>
      </c>
      <c r="I173" s="68">
        <v>5</v>
      </c>
      <c r="J173" s="68">
        <v>0.2</v>
      </c>
      <c r="K173" s="68">
        <v>0</v>
      </c>
      <c r="L173" s="110"/>
      <c r="M173" s="67">
        <f t="shared" si="30"/>
        <v>139000</v>
      </c>
      <c r="N173" s="462">
        <f t="shared" si="31"/>
        <v>1000</v>
      </c>
      <c r="O173" s="111" t="s">
        <v>2458</v>
      </c>
      <c r="P173" s="111">
        <v>1</v>
      </c>
      <c r="Q173" s="327"/>
      <c r="R173" s="23"/>
      <c r="S173" s="10">
        <f t="shared" si="32"/>
        <v>7000</v>
      </c>
      <c r="T173" s="10">
        <f t="shared" si="33"/>
        <v>-6000</v>
      </c>
      <c r="U173" s="10">
        <f t="shared" si="40"/>
        <v>0</v>
      </c>
      <c r="V173" s="10">
        <f t="shared" si="34"/>
        <v>28000</v>
      </c>
      <c r="W173" s="10">
        <f t="shared" si="35"/>
        <v>0</v>
      </c>
      <c r="X173" s="10">
        <f t="shared" si="36"/>
        <v>0</v>
      </c>
    </row>
    <row r="174" spans="1:24" s="9" customFormat="1" ht="13.5" customHeight="1" x14ac:dyDescent="0.2">
      <c r="A174" s="64">
        <f t="shared" si="37"/>
        <v>170</v>
      </c>
      <c r="B174" s="109" t="s">
        <v>1897</v>
      </c>
      <c r="C174" s="66" t="s">
        <v>2539</v>
      </c>
      <c r="D174" s="175">
        <v>840000</v>
      </c>
      <c r="E174" s="175"/>
      <c r="F174" s="67">
        <f t="shared" si="28"/>
        <v>840000</v>
      </c>
      <c r="G174" s="67">
        <v>839000</v>
      </c>
      <c r="H174" s="67">
        <f t="shared" si="29"/>
        <v>1000</v>
      </c>
      <c r="I174" s="68">
        <v>5</v>
      </c>
      <c r="J174" s="68">
        <v>0.2</v>
      </c>
      <c r="K174" s="68">
        <v>0</v>
      </c>
      <c r="L174" s="110"/>
      <c r="M174" s="67">
        <f t="shared" si="30"/>
        <v>839000</v>
      </c>
      <c r="N174" s="462">
        <f t="shared" si="31"/>
        <v>1000</v>
      </c>
      <c r="O174" s="111" t="s">
        <v>1932</v>
      </c>
      <c r="P174" s="111">
        <v>7</v>
      </c>
      <c r="Q174" s="327"/>
      <c r="R174" s="23"/>
      <c r="S174" s="10">
        <f t="shared" si="32"/>
        <v>42000</v>
      </c>
      <c r="T174" s="10">
        <f t="shared" si="33"/>
        <v>-41000</v>
      </c>
      <c r="U174" s="10">
        <f t="shared" si="40"/>
        <v>0</v>
      </c>
      <c r="V174" s="10">
        <f t="shared" si="34"/>
        <v>168000</v>
      </c>
      <c r="W174" s="10">
        <f t="shared" si="35"/>
        <v>0</v>
      </c>
      <c r="X174" s="10">
        <f t="shared" si="36"/>
        <v>0</v>
      </c>
    </row>
    <row r="175" spans="1:24" s="9" customFormat="1" ht="13.5" customHeight="1" x14ac:dyDescent="0.2">
      <c r="A175" s="64">
        <f t="shared" si="37"/>
        <v>171</v>
      </c>
      <c r="B175" s="109" t="s">
        <v>2063</v>
      </c>
      <c r="C175" s="66" t="s">
        <v>2539</v>
      </c>
      <c r="D175" s="175">
        <v>40000</v>
      </c>
      <c r="E175" s="175"/>
      <c r="F175" s="67">
        <f t="shared" si="28"/>
        <v>40000</v>
      </c>
      <c r="G175" s="67">
        <v>39000</v>
      </c>
      <c r="H175" s="67">
        <f t="shared" si="29"/>
        <v>1000</v>
      </c>
      <c r="I175" s="68">
        <v>5</v>
      </c>
      <c r="J175" s="68">
        <v>0.2</v>
      </c>
      <c r="K175" s="68">
        <v>0</v>
      </c>
      <c r="L175" s="110"/>
      <c r="M175" s="67">
        <f t="shared" si="30"/>
        <v>39000</v>
      </c>
      <c r="N175" s="462">
        <f t="shared" si="31"/>
        <v>1000</v>
      </c>
      <c r="O175" s="111" t="s">
        <v>1932</v>
      </c>
      <c r="P175" s="111">
        <v>1</v>
      </c>
      <c r="Q175" s="327"/>
      <c r="R175" s="23"/>
      <c r="S175" s="10">
        <f t="shared" si="32"/>
        <v>2000</v>
      </c>
      <c r="T175" s="10">
        <f t="shared" si="33"/>
        <v>-1000</v>
      </c>
      <c r="U175" s="10">
        <f t="shared" si="40"/>
        <v>0</v>
      </c>
      <c r="V175" s="10">
        <f t="shared" si="34"/>
        <v>8000</v>
      </c>
      <c r="W175" s="10">
        <f t="shared" si="35"/>
        <v>0</v>
      </c>
      <c r="X175" s="10">
        <f t="shared" si="36"/>
        <v>0</v>
      </c>
    </row>
    <row r="176" spans="1:24" s="9" customFormat="1" ht="13.5" customHeight="1" x14ac:dyDescent="0.2">
      <c r="A176" s="64">
        <f t="shared" si="37"/>
        <v>172</v>
      </c>
      <c r="B176" s="109" t="s">
        <v>2542</v>
      </c>
      <c r="C176" s="66" t="s">
        <v>2539</v>
      </c>
      <c r="D176" s="175">
        <v>120000</v>
      </c>
      <c r="E176" s="175"/>
      <c r="F176" s="67">
        <f t="shared" si="28"/>
        <v>120000</v>
      </c>
      <c r="G176" s="67">
        <v>119000</v>
      </c>
      <c r="H176" s="67">
        <f t="shared" si="29"/>
        <v>1000</v>
      </c>
      <c r="I176" s="68">
        <v>5</v>
      </c>
      <c r="J176" s="68">
        <v>0.2</v>
      </c>
      <c r="K176" s="68">
        <v>0</v>
      </c>
      <c r="L176" s="110"/>
      <c r="M176" s="67">
        <f t="shared" si="30"/>
        <v>119000</v>
      </c>
      <c r="N176" s="462">
        <f t="shared" si="31"/>
        <v>1000</v>
      </c>
      <c r="O176" s="111" t="s">
        <v>1932</v>
      </c>
      <c r="P176" s="111">
        <v>2</v>
      </c>
      <c r="Q176" s="327"/>
      <c r="R176" s="23"/>
      <c r="S176" s="10">
        <f t="shared" si="32"/>
        <v>6000</v>
      </c>
      <c r="T176" s="10">
        <f t="shared" si="33"/>
        <v>-5000</v>
      </c>
      <c r="U176" s="10">
        <f t="shared" si="40"/>
        <v>0</v>
      </c>
      <c r="V176" s="10">
        <f t="shared" si="34"/>
        <v>24000</v>
      </c>
      <c r="W176" s="10">
        <f t="shared" si="35"/>
        <v>0</v>
      </c>
      <c r="X176" s="10">
        <f t="shared" si="36"/>
        <v>0</v>
      </c>
    </row>
    <row r="177" spans="1:24" s="9" customFormat="1" ht="13.5" customHeight="1" x14ac:dyDescent="0.2">
      <c r="A177" s="64">
        <f t="shared" si="37"/>
        <v>173</v>
      </c>
      <c r="B177" s="109" t="s">
        <v>1864</v>
      </c>
      <c r="C177" s="66" t="s">
        <v>2539</v>
      </c>
      <c r="D177" s="175">
        <v>360000</v>
      </c>
      <c r="E177" s="175"/>
      <c r="F177" s="67">
        <f t="shared" si="28"/>
        <v>360000</v>
      </c>
      <c r="G177" s="67">
        <v>359000</v>
      </c>
      <c r="H177" s="67">
        <f t="shared" si="29"/>
        <v>1000</v>
      </c>
      <c r="I177" s="68">
        <v>5</v>
      </c>
      <c r="J177" s="68">
        <v>0.2</v>
      </c>
      <c r="K177" s="68">
        <v>0</v>
      </c>
      <c r="L177" s="110"/>
      <c r="M177" s="67">
        <f t="shared" si="30"/>
        <v>359000</v>
      </c>
      <c r="N177" s="462">
        <f t="shared" si="31"/>
        <v>1000</v>
      </c>
      <c r="O177" s="111" t="s">
        <v>1932</v>
      </c>
      <c r="P177" s="111">
        <v>2</v>
      </c>
      <c r="Q177" s="327"/>
      <c r="R177" s="23"/>
      <c r="S177" s="10">
        <f t="shared" si="32"/>
        <v>18000</v>
      </c>
      <c r="T177" s="10">
        <f t="shared" si="33"/>
        <v>-17000</v>
      </c>
      <c r="U177" s="10">
        <f t="shared" si="40"/>
        <v>0</v>
      </c>
      <c r="V177" s="10">
        <f t="shared" si="34"/>
        <v>72000</v>
      </c>
      <c r="W177" s="10">
        <f t="shared" si="35"/>
        <v>0</v>
      </c>
      <c r="X177" s="10">
        <f t="shared" si="36"/>
        <v>0</v>
      </c>
    </row>
    <row r="178" spans="1:24" s="9" customFormat="1" ht="13.5" customHeight="1" x14ac:dyDescent="0.2">
      <c r="A178" s="64">
        <f t="shared" si="37"/>
        <v>174</v>
      </c>
      <c r="B178" s="109" t="s">
        <v>1864</v>
      </c>
      <c r="C178" s="66" t="s">
        <v>2539</v>
      </c>
      <c r="D178" s="175">
        <v>180000</v>
      </c>
      <c r="E178" s="175"/>
      <c r="F178" s="67">
        <f t="shared" si="28"/>
        <v>180000</v>
      </c>
      <c r="G178" s="67">
        <v>179000</v>
      </c>
      <c r="H178" s="67">
        <f t="shared" si="29"/>
        <v>1000</v>
      </c>
      <c r="I178" s="68">
        <v>5</v>
      </c>
      <c r="J178" s="68">
        <v>0.2</v>
      </c>
      <c r="K178" s="68">
        <v>0</v>
      </c>
      <c r="L178" s="110"/>
      <c r="M178" s="67">
        <f t="shared" si="30"/>
        <v>179000</v>
      </c>
      <c r="N178" s="462">
        <f t="shared" si="31"/>
        <v>1000</v>
      </c>
      <c r="O178" s="111" t="s">
        <v>1932</v>
      </c>
      <c r="P178" s="111">
        <v>1</v>
      </c>
      <c r="Q178" s="327"/>
      <c r="R178" s="23"/>
      <c r="S178" s="10">
        <f t="shared" si="32"/>
        <v>9000</v>
      </c>
      <c r="T178" s="10">
        <f t="shared" si="33"/>
        <v>-8000</v>
      </c>
      <c r="U178" s="10">
        <f t="shared" si="40"/>
        <v>0</v>
      </c>
      <c r="V178" s="10">
        <f t="shared" si="34"/>
        <v>36000</v>
      </c>
      <c r="W178" s="10">
        <f t="shared" si="35"/>
        <v>0</v>
      </c>
      <c r="X178" s="10">
        <f t="shared" si="36"/>
        <v>0</v>
      </c>
    </row>
    <row r="179" spans="1:24" s="9" customFormat="1" ht="13.5" customHeight="1" x14ac:dyDescent="0.2">
      <c r="A179" s="64">
        <f t="shared" si="37"/>
        <v>175</v>
      </c>
      <c r="B179" s="109" t="s">
        <v>2543</v>
      </c>
      <c r="C179" s="66" t="s">
        <v>2544</v>
      </c>
      <c r="D179" s="175">
        <v>75000</v>
      </c>
      <c r="E179" s="175"/>
      <c r="F179" s="67">
        <f t="shared" si="28"/>
        <v>75000</v>
      </c>
      <c r="G179" s="67">
        <v>74000</v>
      </c>
      <c r="H179" s="67">
        <f t="shared" si="29"/>
        <v>1000</v>
      </c>
      <c r="I179" s="68">
        <v>5</v>
      </c>
      <c r="J179" s="68">
        <v>0.2</v>
      </c>
      <c r="K179" s="68">
        <v>0</v>
      </c>
      <c r="L179" s="110">
        <f>ROUND(IF(F179*J179*K179/12&gt;=H179,H179-1000,F179*J179*K179/12),0)</f>
        <v>0</v>
      </c>
      <c r="M179" s="67">
        <f t="shared" si="30"/>
        <v>74000</v>
      </c>
      <c r="N179" s="462">
        <f t="shared" si="31"/>
        <v>1000</v>
      </c>
      <c r="O179" s="111" t="s">
        <v>1932</v>
      </c>
      <c r="P179" s="111">
        <v>1</v>
      </c>
      <c r="Q179" s="327"/>
      <c r="R179" s="23"/>
      <c r="S179" s="10">
        <f t="shared" si="32"/>
        <v>3750</v>
      </c>
      <c r="T179" s="10">
        <f t="shared" si="33"/>
        <v>-2750</v>
      </c>
      <c r="U179" s="10">
        <f t="shared" si="40"/>
        <v>0</v>
      </c>
      <c r="V179" s="10">
        <f t="shared" si="34"/>
        <v>15000</v>
      </c>
      <c r="W179" s="10">
        <f t="shared" si="35"/>
        <v>0</v>
      </c>
      <c r="X179" s="10">
        <f t="shared" si="36"/>
        <v>0</v>
      </c>
    </row>
    <row r="180" spans="1:24" s="9" customFormat="1" ht="13.5" customHeight="1" x14ac:dyDescent="0.2">
      <c r="A180" s="64">
        <f t="shared" si="37"/>
        <v>176</v>
      </c>
      <c r="B180" s="109" t="s">
        <v>2545</v>
      </c>
      <c r="C180" s="66" t="s">
        <v>2546</v>
      </c>
      <c r="D180" s="175">
        <v>324000</v>
      </c>
      <c r="E180" s="175"/>
      <c r="F180" s="67">
        <f t="shared" si="28"/>
        <v>324000</v>
      </c>
      <c r="G180" s="67">
        <v>323000</v>
      </c>
      <c r="H180" s="67">
        <f t="shared" si="29"/>
        <v>1000</v>
      </c>
      <c r="I180" s="68">
        <v>5</v>
      </c>
      <c r="J180" s="68">
        <v>0.2</v>
      </c>
      <c r="K180" s="68">
        <v>0</v>
      </c>
      <c r="L180" s="110">
        <f>ROUND(IF(F180*J180*K180/12&gt;=H180,H180-1000,F180*J180*K180/12),0)</f>
        <v>0</v>
      </c>
      <c r="M180" s="67">
        <f t="shared" si="30"/>
        <v>323000</v>
      </c>
      <c r="N180" s="462">
        <f t="shared" si="31"/>
        <v>1000</v>
      </c>
      <c r="O180" s="111" t="s">
        <v>2547</v>
      </c>
      <c r="P180" s="111">
        <v>1</v>
      </c>
      <c r="Q180" s="327"/>
      <c r="R180" s="23"/>
      <c r="S180" s="10">
        <f t="shared" si="32"/>
        <v>16200</v>
      </c>
      <c r="T180" s="10">
        <f t="shared" si="33"/>
        <v>-15200</v>
      </c>
      <c r="U180" s="10">
        <f t="shared" si="40"/>
        <v>0</v>
      </c>
      <c r="V180" s="10">
        <f t="shared" si="34"/>
        <v>64800</v>
      </c>
      <c r="W180" s="10">
        <f t="shared" si="35"/>
        <v>0</v>
      </c>
      <c r="X180" s="10">
        <f t="shared" si="36"/>
        <v>0</v>
      </c>
    </row>
    <row r="181" spans="1:24" s="190" customFormat="1" ht="13.5" customHeight="1" x14ac:dyDescent="0.2">
      <c r="A181" s="272">
        <f t="shared" si="37"/>
        <v>177</v>
      </c>
      <c r="B181" s="560" t="s">
        <v>2548</v>
      </c>
      <c r="C181" s="358" t="s">
        <v>2549</v>
      </c>
      <c r="D181" s="359">
        <v>290000</v>
      </c>
      <c r="E181" s="359"/>
      <c r="F181" s="184">
        <f t="shared" si="28"/>
        <v>290000</v>
      </c>
      <c r="G181" s="184">
        <v>289000</v>
      </c>
      <c r="H181" s="184">
        <f t="shared" si="29"/>
        <v>1000</v>
      </c>
      <c r="I181" s="186">
        <v>5</v>
      </c>
      <c r="J181" s="186">
        <v>0.2</v>
      </c>
      <c r="K181" s="68">
        <v>0</v>
      </c>
      <c r="L181" s="185">
        <f>ROUND(IF(F181*J181*K181/12&gt;=H181,H181-1000,F181*J181*K181/12),0)</f>
        <v>0</v>
      </c>
      <c r="M181" s="184">
        <f t="shared" si="30"/>
        <v>289000</v>
      </c>
      <c r="N181" s="508">
        <f t="shared" si="31"/>
        <v>1000</v>
      </c>
      <c r="O181" s="187" t="s">
        <v>2458</v>
      </c>
      <c r="P181" s="187">
        <v>1</v>
      </c>
      <c r="Q181" s="638"/>
      <c r="R181" s="189"/>
      <c r="S181" s="10">
        <f t="shared" si="32"/>
        <v>14500</v>
      </c>
      <c r="T181" s="10">
        <f t="shared" si="33"/>
        <v>-13500</v>
      </c>
      <c r="U181" s="10">
        <f t="shared" si="40"/>
        <v>0</v>
      </c>
      <c r="V181" s="10">
        <f t="shared" si="34"/>
        <v>58000</v>
      </c>
      <c r="W181" s="10">
        <f t="shared" si="35"/>
        <v>0</v>
      </c>
      <c r="X181" s="10">
        <f t="shared" si="36"/>
        <v>0</v>
      </c>
    </row>
    <row r="182" spans="1:24" s="9" customFormat="1" ht="13.5" customHeight="1" x14ac:dyDescent="0.2">
      <c r="A182" s="64">
        <f t="shared" si="37"/>
        <v>178</v>
      </c>
      <c r="B182" s="109" t="s">
        <v>1840</v>
      </c>
      <c r="C182" s="66" t="s">
        <v>2550</v>
      </c>
      <c r="D182" s="175">
        <v>1318181</v>
      </c>
      <c r="E182" s="175"/>
      <c r="F182" s="67">
        <f t="shared" si="28"/>
        <v>1318181</v>
      </c>
      <c r="G182" s="67">
        <v>1317181</v>
      </c>
      <c r="H182" s="67">
        <f t="shared" si="29"/>
        <v>1000</v>
      </c>
      <c r="I182" s="68">
        <v>5</v>
      </c>
      <c r="J182" s="68">
        <v>0.2</v>
      </c>
      <c r="K182" s="68">
        <v>0</v>
      </c>
      <c r="L182" s="110">
        <v>0</v>
      </c>
      <c r="M182" s="67">
        <f t="shared" si="30"/>
        <v>1317181</v>
      </c>
      <c r="N182" s="462">
        <f t="shared" si="31"/>
        <v>1000</v>
      </c>
      <c r="O182" s="111" t="s">
        <v>1965</v>
      </c>
      <c r="P182" s="111">
        <v>1</v>
      </c>
      <c r="Q182" s="327"/>
      <c r="R182" s="23"/>
      <c r="S182" s="10">
        <f t="shared" si="32"/>
        <v>65909.05</v>
      </c>
      <c r="T182" s="10">
        <f t="shared" si="33"/>
        <v>-64909.05</v>
      </c>
      <c r="U182" s="10">
        <f t="shared" si="40"/>
        <v>0</v>
      </c>
      <c r="V182" s="10">
        <f t="shared" si="34"/>
        <v>263636.2</v>
      </c>
      <c r="W182" s="10">
        <f t="shared" si="35"/>
        <v>0</v>
      </c>
      <c r="X182" s="10">
        <f t="shared" si="36"/>
        <v>0</v>
      </c>
    </row>
    <row r="183" spans="1:24" s="9" customFormat="1" ht="13.5" customHeight="1" x14ac:dyDescent="0.2">
      <c r="A183" s="64">
        <f t="shared" si="37"/>
        <v>179</v>
      </c>
      <c r="B183" s="109" t="s">
        <v>2551</v>
      </c>
      <c r="C183" s="66" t="s">
        <v>2552</v>
      </c>
      <c r="D183" s="175">
        <v>320000</v>
      </c>
      <c r="E183" s="175"/>
      <c r="F183" s="67">
        <f t="shared" si="28"/>
        <v>320000</v>
      </c>
      <c r="G183" s="67">
        <v>319000</v>
      </c>
      <c r="H183" s="67">
        <f t="shared" si="29"/>
        <v>1000</v>
      </c>
      <c r="I183" s="68">
        <v>5</v>
      </c>
      <c r="J183" s="68">
        <v>0.2</v>
      </c>
      <c r="K183" s="68">
        <v>0</v>
      </c>
      <c r="L183" s="110">
        <f t="shared" ref="L183:L205" si="41">ROUND(IF(F183*J183*K183/12&gt;=H183,H183-1000,F183*J183*K183/12),0)</f>
        <v>0</v>
      </c>
      <c r="M183" s="67">
        <f t="shared" si="30"/>
        <v>319000</v>
      </c>
      <c r="N183" s="462">
        <f t="shared" si="31"/>
        <v>1000</v>
      </c>
      <c r="O183" s="111" t="s">
        <v>2553</v>
      </c>
      <c r="P183" s="111">
        <v>1</v>
      </c>
      <c r="Q183" s="327"/>
      <c r="R183" s="23"/>
      <c r="S183" s="10">
        <f t="shared" si="32"/>
        <v>16000</v>
      </c>
      <c r="T183" s="10">
        <f t="shared" si="33"/>
        <v>-15000</v>
      </c>
      <c r="U183" s="10">
        <f t="shared" si="40"/>
        <v>0</v>
      </c>
      <c r="V183" s="10">
        <f t="shared" si="34"/>
        <v>64000</v>
      </c>
      <c r="W183" s="10">
        <f t="shared" si="35"/>
        <v>0</v>
      </c>
      <c r="X183" s="10">
        <f t="shared" si="36"/>
        <v>0</v>
      </c>
    </row>
    <row r="184" spans="1:24" s="9" customFormat="1" ht="13.5" customHeight="1" x14ac:dyDescent="0.2">
      <c r="A184" s="64">
        <f t="shared" si="37"/>
        <v>180</v>
      </c>
      <c r="B184" s="109" t="s">
        <v>2554</v>
      </c>
      <c r="C184" s="66" t="s">
        <v>2555</v>
      </c>
      <c r="D184" s="175">
        <v>600000</v>
      </c>
      <c r="E184" s="175"/>
      <c r="F184" s="67">
        <f t="shared" si="28"/>
        <v>600000</v>
      </c>
      <c r="G184" s="67">
        <v>599000</v>
      </c>
      <c r="H184" s="67">
        <f t="shared" si="29"/>
        <v>1000</v>
      </c>
      <c r="I184" s="68">
        <v>5</v>
      </c>
      <c r="J184" s="68">
        <v>0.2</v>
      </c>
      <c r="K184" s="68">
        <v>0</v>
      </c>
      <c r="L184" s="110">
        <f t="shared" si="41"/>
        <v>0</v>
      </c>
      <c r="M184" s="67">
        <f t="shared" si="30"/>
        <v>599000</v>
      </c>
      <c r="N184" s="462">
        <f t="shared" si="31"/>
        <v>1000</v>
      </c>
      <c r="O184" s="111" t="s">
        <v>1932</v>
      </c>
      <c r="P184" s="111">
        <v>4</v>
      </c>
      <c r="Q184" s="327"/>
      <c r="R184" s="23"/>
      <c r="S184" s="10">
        <f t="shared" si="32"/>
        <v>30000</v>
      </c>
      <c r="T184" s="10">
        <f t="shared" si="33"/>
        <v>-29000</v>
      </c>
      <c r="U184" s="10">
        <f t="shared" si="40"/>
        <v>0</v>
      </c>
      <c r="V184" s="10">
        <f t="shared" si="34"/>
        <v>120000</v>
      </c>
      <c r="W184" s="10">
        <f t="shared" si="35"/>
        <v>0</v>
      </c>
      <c r="X184" s="10">
        <f t="shared" si="36"/>
        <v>0</v>
      </c>
    </row>
    <row r="185" spans="1:24" s="9" customFormat="1" ht="13.5" customHeight="1" x14ac:dyDescent="0.2">
      <c r="A185" s="64">
        <f t="shared" si="37"/>
        <v>181</v>
      </c>
      <c r="B185" s="109" t="s">
        <v>1975</v>
      </c>
      <c r="C185" s="66" t="s">
        <v>2555</v>
      </c>
      <c r="D185" s="175">
        <v>920000</v>
      </c>
      <c r="E185" s="175"/>
      <c r="F185" s="67">
        <f t="shared" si="28"/>
        <v>920000</v>
      </c>
      <c r="G185" s="67">
        <v>919000</v>
      </c>
      <c r="H185" s="67">
        <f t="shared" si="29"/>
        <v>1000</v>
      </c>
      <c r="I185" s="68">
        <v>5</v>
      </c>
      <c r="J185" s="68">
        <v>0.2</v>
      </c>
      <c r="K185" s="68">
        <v>0</v>
      </c>
      <c r="L185" s="110">
        <f t="shared" si="41"/>
        <v>0</v>
      </c>
      <c r="M185" s="67">
        <f t="shared" si="30"/>
        <v>919000</v>
      </c>
      <c r="N185" s="462">
        <f t="shared" si="31"/>
        <v>1000</v>
      </c>
      <c r="O185" s="111" t="s">
        <v>2458</v>
      </c>
      <c r="P185" s="111">
        <v>7</v>
      </c>
      <c r="Q185" s="327"/>
      <c r="R185" s="23"/>
      <c r="S185" s="10">
        <f t="shared" si="32"/>
        <v>46000</v>
      </c>
      <c r="T185" s="10">
        <f t="shared" si="33"/>
        <v>-45000</v>
      </c>
      <c r="U185" s="10">
        <f t="shared" si="40"/>
        <v>0</v>
      </c>
      <c r="V185" s="10">
        <f t="shared" si="34"/>
        <v>184000</v>
      </c>
      <c r="W185" s="10">
        <f t="shared" si="35"/>
        <v>0</v>
      </c>
      <c r="X185" s="10">
        <f t="shared" si="36"/>
        <v>0</v>
      </c>
    </row>
    <row r="186" spans="1:24" s="9" customFormat="1" ht="13.5" customHeight="1" x14ac:dyDescent="0.2">
      <c r="A186" s="64">
        <f t="shared" si="37"/>
        <v>182</v>
      </c>
      <c r="B186" s="109" t="s">
        <v>2554</v>
      </c>
      <c r="C186" s="66" t="s">
        <v>2556</v>
      </c>
      <c r="D186" s="175">
        <v>150000</v>
      </c>
      <c r="E186" s="175"/>
      <c r="F186" s="67">
        <f t="shared" si="28"/>
        <v>150000</v>
      </c>
      <c r="G186" s="67">
        <v>149000</v>
      </c>
      <c r="H186" s="67">
        <f t="shared" si="29"/>
        <v>1000</v>
      </c>
      <c r="I186" s="68">
        <v>5</v>
      </c>
      <c r="J186" s="68">
        <v>0.2</v>
      </c>
      <c r="K186" s="68">
        <v>0</v>
      </c>
      <c r="L186" s="110">
        <f t="shared" si="41"/>
        <v>0</v>
      </c>
      <c r="M186" s="67">
        <f t="shared" si="30"/>
        <v>149000</v>
      </c>
      <c r="N186" s="462">
        <f t="shared" si="31"/>
        <v>1000</v>
      </c>
      <c r="O186" s="111" t="s">
        <v>1932</v>
      </c>
      <c r="P186" s="111">
        <v>1</v>
      </c>
      <c r="Q186" s="327"/>
      <c r="R186" s="23"/>
      <c r="S186" s="10">
        <f t="shared" si="32"/>
        <v>7500</v>
      </c>
      <c r="T186" s="10">
        <f t="shared" si="33"/>
        <v>-6500</v>
      </c>
      <c r="U186" s="10">
        <f t="shared" si="40"/>
        <v>0</v>
      </c>
      <c r="V186" s="10">
        <f t="shared" si="34"/>
        <v>30000</v>
      </c>
      <c r="W186" s="10">
        <f t="shared" si="35"/>
        <v>0</v>
      </c>
      <c r="X186" s="10">
        <f t="shared" si="36"/>
        <v>0</v>
      </c>
    </row>
    <row r="187" spans="1:24" s="9" customFormat="1" ht="13.5" customHeight="1" x14ac:dyDescent="0.2">
      <c r="A187" s="64">
        <f t="shared" si="37"/>
        <v>183</v>
      </c>
      <c r="B187" s="109" t="s">
        <v>2557</v>
      </c>
      <c r="C187" s="66" t="s">
        <v>2558</v>
      </c>
      <c r="D187" s="175">
        <v>5000000</v>
      </c>
      <c r="E187" s="175"/>
      <c r="F187" s="67">
        <f t="shared" si="28"/>
        <v>5000000</v>
      </c>
      <c r="G187" s="67">
        <v>4999000</v>
      </c>
      <c r="H187" s="67">
        <f t="shared" si="29"/>
        <v>1000</v>
      </c>
      <c r="I187" s="68">
        <v>5</v>
      </c>
      <c r="J187" s="68">
        <v>0.2</v>
      </c>
      <c r="K187" s="68">
        <v>0</v>
      </c>
      <c r="L187" s="110">
        <f t="shared" si="41"/>
        <v>0</v>
      </c>
      <c r="M187" s="67">
        <f t="shared" si="30"/>
        <v>4999000</v>
      </c>
      <c r="N187" s="462">
        <f t="shared" si="31"/>
        <v>1000</v>
      </c>
      <c r="O187" s="111" t="s">
        <v>2559</v>
      </c>
      <c r="P187" s="111">
        <v>1</v>
      </c>
      <c r="Q187" s="327"/>
      <c r="R187" s="23"/>
      <c r="S187" s="10">
        <f t="shared" si="32"/>
        <v>250000</v>
      </c>
      <c r="T187" s="10">
        <f t="shared" si="33"/>
        <v>-249000</v>
      </c>
      <c r="U187" s="10">
        <f t="shared" si="40"/>
        <v>0</v>
      </c>
      <c r="V187" s="10">
        <f t="shared" si="34"/>
        <v>1000000</v>
      </c>
      <c r="W187" s="10">
        <f t="shared" si="35"/>
        <v>0</v>
      </c>
      <c r="X187" s="10">
        <f t="shared" si="36"/>
        <v>0</v>
      </c>
    </row>
    <row r="188" spans="1:24" s="9" customFormat="1" ht="13.5" customHeight="1" x14ac:dyDescent="0.2">
      <c r="A188" s="64">
        <f t="shared" si="37"/>
        <v>184</v>
      </c>
      <c r="B188" s="109" t="s">
        <v>2554</v>
      </c>
      <c r="C188" s="66" t="s">
        <v>2560</v>
      </c>
      <c r="D188" s="175">
        <v>300000</v>
      </c>
      <c r="E188" s="175"/>
      <c r="F188" s="67">
        <f t="shared" si="28"/>
        <v>300000</v>
      </c>
      <c r="G188" s="67">
        <v>299000</v>
      </c>
      <c r="H188" s="67">
        <f t="shared" si="29"/>
        <v>1000</v>
      </c>
      <c r="I188" s="68">
        <v>5</v>
      </c>
      <c r="J188" s="68">
        <v>0.2</v>
      </c>
      <c r="K188" s="68">
        <v>0</v>
      </c>
      <c r="L188" s="110">
        <f t="shared" si="41"/>
        <v>0</v>
      </c>
      <c r="M188" s="67">
        <f t="shared" si="30"/>
        <v>299000</v>
      </c>
      <c r="N188" s="462">
        <f t="shared" si="31"/>
        <v>1000</v>
      </c>
      <c r="O188" s="111" t="s">
        <v>1932</v>
      </c>
      <c r="P188" s="111">
        <v>2</v>
      </c>
      <c r="Q188" s="327"/>
      <c r="R188" s="23"/>
      <c r="S188" s="10">
        <f t="shared" si="32"/>
        <v>15000</v>
      </c>
      <c r="T188" s="10">
        <f t="shared" si="33"/>
        <v>-14000</v>
      </c>
      <c r="U188" s="10">
        <f t="shared" si="40"/>
        <v>0</v>
      </c>
      <c r="V188" s="10">
        <f t="shared" si="34"/>
        <v>60000</v>
      </c>
      <c r="W188" s="10">
        <f t="shared" si="35"/>
        <v>0</v>
      </c>
      <c r="X188" s="10">
        <f t="shared" si="36"/>
        <v>0</v>
      </c>
    </row>
    <row r="189" spans="1:24" s="9" customFormat="1" ht="13.5" customHeight="1" x14ac:dyDescent="0.2">
      <c r="A189" s="64">
        <f t="shared" si="37"/>
        <v>185</v>
      </c>
      <c r="B189" s="109" t="s">
        <v>2051</v>
      </c>
      <c r="C189" s="66" t="s">
        <v>2561</v>
      </c>
      <c r="D189" s="175">
        <v>252000</v>
      </c>
      <c r="E189" s="175"/>
      <c r="F189" s="67">
        <f t="shared" si="28"/>
        <v>252000</v>
      </c>
      <c r="G189" s="67">
        <v>251000</v>
      </c>
      <c r="H189" s="67">
        <f t="shared" si="29"/>
        <v>1000</v>
      </c>
      <c r="I189" s="68">
        <v>5</v>
      </c>
      <c r="J189" s="68">
        <v>0.2</v>
      </c>
      <c r="K189" s="68">
        <v>0</v>
      </c>
      <c r="L189" s="110">
        <f t="shared" si="41"/>
        <v>0</v>
      </c>
      <c r="M189" s="67">
        <f t="shared" si="30"/>
        <v>251000</v>
      </c>
      <c r="N189" s="462">
        <f t="shared" si="31"/>
        <v>1000</v>
      </c>
      <c r="O189" s="111" t="s">
        <v>2547</v>
      </c>
      <c r="P189" s="111">
        <v>1</v>
      </c>
      <c r="Q189" s="327"/>
      <c r="R189" s="23"/>
      <c r="S189" s="10">
        <f t="shared" si="32"/>
        <v>12600</v>
      </c>
      <c r="T189" s="10">
        <f t="shared" si="33"/>
        <v>-11600</v>
      </c>
      <c r="U189" s="10">
        <f t="shared" si="40"/>
        <v>0</v>
      </c>
      <c r="V189" s="10">
        <f t="shared" si="34"/>
        <v>50400</v>
      </c>
      <c r="W189" s="10">
        <f t="shared" si="35"/>
        <v>0</v>
      </c>
      <c r="X189" s="10">
        <f t="shared" si="36"/>
        <v>0</v>
      </c>
    </row>
    <row r="190" spans="1:24" s="9" customFormat="1" ht="13.5" customHeight="1" x14ac:dyDescent="0.2">
      <c r="A190" s="64">
        <f t="shared" si="37"/>
        <v>186</v>
      </c>
      <c r="B190" s="109" t="s">
        <v>2562</v>
      </c>
      <c r="C190" s="66" t="s">
        <v>2563</v>
      </c>
      <c r="D190" s="175">
        <v>80000</v>
      </c>
      <c r="E190" s="175"/>
      <c r="F190" s="67">
        <f t="shared" si="28"/>
        <v>80000</v>
      </c>
      <c r="G190" s="67">
        <v>79000</v>
      </c>
      <c r="H190" s="67">
        <f t="shared" si="29"/>
        <v>1000</v>
      </c>
      <c r="I190" s="68">
        <v>5</v>
      </c>
      <c r="J190" s="68">
        <v>0.2</v>
      </c>
      <c r="K190" s="68">
        <v>0</v>
      </c>
      <c r="L190" s="110">
        <f t="shared" si="41"/>
        <v>0</v>
      </c>
      <c r="M190" s="67">
        <f t="shared" si="30"/>
        <v>79000</v>
      </c>
      <c r="N190" s="462">
        <f t="shared" si="31"/>
        <v>1000</v>
      </c>
      <c r="O190" s="111" t="s">
        <v>1932</v>
      </c>
      <c r="P190" s="111">
        <v>1</v>
      </c>
      <c r="Q190" s="327"/>
      <c r="R190" s="23"/>
      <c r="S190" s="10">
        <f t="shared" si="32"/>
        <v>4000</v>
      </c>
      <c r="T190" s="10">
        <f t="shared" si="33"/>
        <v>-3000</v>
      </c>
      <c r="U190" s="10">
        <f t="shared" si="40"/>
        <v>0</v>
      </c>
      <c r="V190" s="10">
        <f t="shared" si="34"/>
        <v>16000</v>
      </c>
      <c r="W190" s="10">
        <f t="shared" si="35"/>
        <v>0</v>
      </c>
      <c r="X190" s="10">
        <f t="shared" si="36"/>
        <v>0</v>
      </c>
    </row>
    <row r="191" spans="1:24" s="9" customFormat="1" ht="13.5" customHeight="1" x14ac:dyDescent="0.2">
      <c r="A191" s="64">
        <f t="shared" si="37"/>
        <v>187</v>
      </c>
      <c r="B191" s="109" t="s">
        <v>1873</v>
      </c>
      <c r="C191" s="66" t="s">
        <v>2563</v>
      </c>
      <c r="D191" s="175">
        <v>45000</v>
      </c>
      <c r="E191" s="175"/>
      <c r="F191" s="67">
        <f t="shared" si="28"/>
        <v>45000</v>
      </c>
      <c r="G191" s="67">
        <v>44000</v>
      </c>
      <c r="H191" s="67">
        <f t="shared" si="29"/>
        <v>1000</v>
      </c>
      <c r="I191" s="68">
        <v>5</v>
      </c>
      <c r="J191" s="68">
        <v>0.2</v>
      </c>
      <c r="K191" s="68">
        <v>0</v>
      </c>
      <c r="L191" s="110">
        <f t="shared" si="41"/>
        <v>0</v>
      </c>
      <c r="M191" s="67">
        <f t="shared" si="30"/>
        <v>44000</v>
      </c>
      <c r="N191" s="462">
        <f t="shared" si="31"/>
        <v>1000</v>
      </c>
      <c r="O191" s="111" t="s">
        <v>1932</v>
      </c>
      <c r="P191" s="111">
        <v>1</v>
      </c>
      <c r="Q191" s="327"/>
      <c r="R191" s="23"/>
      <c r="S191" s="10">
        <f t="shared" si="32"/>
        <v>2250</v>
      </c>
      <c r="T191" s="10">
        <f t="shared" si="33"/>
        <v>-1250</v>
      </c>
      <c r="U191" s="10">
        <f t="shared" si="40"/>
        <v>0</v>
      </c>
      <c r="V191" s="10">
        <f t="shared" si="34"/>
        <v>9000</v>
      </c>
      <c r="W191" s="10">
        <f t="shared" si="35"/>
        <v>0</v>
      </c>
      <c r="X191" s="10">
        <f t="shared" si="36"/>
        <v>0</v>
      </c>
    </row>
    <row r="192" spans="1:24" s="9" customFormat="1" ht="13.5" customHeight="1" x14ac:dyDescent="0.2">
      <c r="A192" s="64">
        <f t="shared" si="37"/>
        <v>188</v>
      </c>
      <c r="B192" s="109" t="s">
        <v>1855</v>
      </c>
      <c r="C192" s="66" t="s">
        <v>2563</v>
      </c>
      <c r="D192" s="175">
        <v>50000</v>
      </c>
      <c r="E192" s="175"/>
      <c r="F192" s="67">
        <f t="shared" si="28"/>
        <v>50000</v>
      </c>
      <c r="G192" s="67">
        <v>49000</v>
      </c>
      <c r="H192" s="67">
        <f t="shared" si="29"/>
        <v>1000</v>
      </c>
      <c r="I192" s="68">
        <v>5</v>
      </c>
      <c r="J192" s="68">
        <v>0.2</v>
      </c>
      <c r="K192" s="68">
        <v>0</v>
      </c>
      <c r="L192" s="110">
        <f t="shared" si="41"/>
        <v>0</v>
      </c>
      <c r="M192" s="67">
        <f t="shared" si="30"/>
        <v>49000</v>
      </c>
      <c r="N192" s="462">
        <f t="shared" si="31"/>
        <v>1000</v>
      </c>
      <c r="O192" s="111" t="s">
        <v>1932</v>
      </c>
      <c r="P192" s="111">
        <v>1</v>
      </c>
      <c r="Q192" s="327"/>
      <c r="R192" s="23"/>
      <c r="S192" s="10">
        <f t="shared" si="32"/>
        <v>2500</v>
      </c>
      <c r="T192" s="10">
        <f t="shared" si="33"/>
        <v>-1500</v>
      </c>
      <c r="U192" s="10">
        <f t="shared" si="40"/>
        <v>0</v>
      </c>
      <c r="V192" s="10">
        <f t="shared" si="34"/>
        <v>10000</v>
      </c>
      <c r="W192" s="10">
        <f t="shared" si="35"/>
        <v>0</v>
      </c>
      <c r="X192" s="10">
        <f t="shared" si="36"/>
        <v>0</v>
      </c>
    </row>
    <row r="193" spans="1:24" s="9" customFormat="1" ht="13.5" customHeight="1" x14ac:dyDescent="0.2">
      <c r="A193" s="64">
        <f t="shared" si="37"/>
        <v>189</v>
      </c>
      <c r="B193" s="109" t="s">
        <v>2564</v>
      </c>
      <c r="C193" s="66" t="s">
        <v>2565</v>
      </c>
      <c r="D193" s="175">
        <v>280000</v>
      </c>
      <c r="E193" s="175"/>
      <c r="F193" s="67">
        <f t="shared" si="28"/>
        <v>280000</v>
      </c>
      <c r="G193" s="67">
        <v>279000</v>
      </c>
      <c r="H193" s="67">
        <f t="shared" si="29"/>
        <v>1000</v>
      </c>
      <c r="I193" s="68">
        <v>5</v>
      </c>
      <c r="J193" s="68">
        <v>0.2</v>
      </c>
      <c r="K193" s="68">
        <v>0</v>
      </c>
      <c r="L193" s="110">
        <f t="shared" si="41"/>
        <v>0</v>
      </c>
      <c r="M193" s="67">
        <f t="shared" si="30"/>
        <v>279000</v>
      </c>
      <c r="N193" s="462">
        <f t="shared" si="31"/>
        <v>1000</v>
      </c>
      <c r="O193" s="111" t="s">
        <v>2458</v>
      </c>
      <c r="P193" s="111">
        <v>1</v>
      </c>
      <c r="Q193" s="327"/>
      <c r="R193" s="23"/>
      <c r="S193" s="10">
        <f t="shared" si="32"/>
        <v>14000</v>
      </c>
      <c r="T193" s="10">
        <f t="shared" si="33"/>
        <v>-13000</v>
      </c>
      <c r="U193" s="10">
        <f t="shared" si="40"/>
        <v>0</v>
      </c>
      <c r="V193" s="10">
        <f t="shared" si="34"/>
        <v>56000</v>
      </c>
      <c r="W193" s="10">
        <f t="shared" si="35"/>
        <v>0</v>
      </c>
      <c r="X193" s="10">
        <f t="shared" si="36"/>
        <v>0</v>
      </c>
    </row>
    <row r="194" spans="1:24" s="9" customFormat="1" ht="13.5" customHeight="1" x14ac:dyDescent="0.2">
      <c r="A194" s="64">
        <f t="shared" si="37"/>
        <v>190</v>
      </c>
      <c r="B194" s="109" t="s">
        <v>2566</v>
      </c>
      <c r="C194" s="66" t="s">
        <v>2565</v>
      </c>
      <c r="D194" s="175">
        <v>170000</v>
      </c>
      <c r="E194" s="175"/>
      <c r="F194" s="67">
        <f t="shared" si="28"/>
        <v>170000</v>
      </c>
      <c r="G194" s="67">
        <v>169000</v>
      </c>
      <c r="H194" s="67">
        <f t="shared" si="29"/>
        <v>1000</v>
      </c>
      <c r="I194" s="68">
        <v>5</v>
      </c>
      <c r="J194" s="68">
        <v>0.2</v>
      </c>
      <c r="K194" s="68">
        <v>0</v>
      </c>
      <c r="L194" s="110">
        <f t="shared" si="41"/>
        <v>0</v>
      </c>
      <c r="M194" s="67">
        <f t="shared" si="30"/>
        <v>169000</v>
      </c>
      <c r="N194" s="462">
        <f t="shared" si="31"/>
        <v>1000</v>
      </c>
      <c r="O194" s="111" t="s">
        <v>2458</v>
      </c>
      <c r="P194" s="111">
        <v>1</v>
      </c>
      <c r="Q194" s="327"/>
      <c r="R194" s="23"/>
      <c r="S194" s="10">
        <f t="shared" si="32"/>
        <v>8500</v>
      </c>
      <c r="T194" s="10">
        <f t="shared" si="33"/>
        <v>-7500</v>
      </c>
      <c r="U194" s="10">
        <f t="shared" si="40"/>
        <v>0</v>
      </c>
      <c r="V194" s="10">
        <f t="shared" si="34"/>
        <v>34000</v>
      </c>
      <c r="W194" s="10">
        <f t="shared" si="35"/>
        <v>0</v>
      </c>
      <c r="X194" s="10">
        <f t="shared" si="36"/>
        <v>0</v>
      </c>
    </row>
    <row r="195" spans="1:24" s="9" customFormat="1" ht="13.5" customHeight="1" x14ac:dyDescent="0.2">
      <c r="A195" s="64">
        <f t="shared" si="37"/>
        <v>191</v>
      </c>
      <c r="B195" s="109" t="s">
        <v>1864</v>
      </c>
      <c r="C195" s="66" t="s">
        <v>891</v>
      </c>
      <c r="D195" s="175">
        <v>360000</v>
      </c>
      <c r="E195" s="175"/>
      <c r="F195" s="67">
        <f t="shared" si="28"/>
        <v>360000</v>
      </c>
      <c r="G195" s="67">
        <v>359000</v>
      </c>
      <c r="H195" s="67">
        <f t="shared" si="29"/>
        <v>1000</v>
      </c>
      <c r="I195" s="68">
        <v>5</v>
      </c>
      <c r="J195" s="68">
        <v>0.2</v>
      </c>
      <c r="K195" s="68">
        <v>0</v>
      </c>
      <c r="L195" s="110">
        <f t="shared" si="41"/>
        <v>0</v>
      </c>
      <c r="M195" s="67">
        <f t="shared" si="30"/>
        <v>359000</v>
      </c>
      <c r="N195" s="462">
        <f t="shared" si="31"/>
        <v>1000</v>
      </c>
      <c r="O195" s="111" t="s">
        <v>1932</v>
      </c>
      <c r="P195" s="111">
        <v>2</v>
      </c>
      <c r="Q195" s="327"/>
      <c r="R195" s="23"/>
      <c r="S195" s="10">
        <f t="shared" si="32"/>
        <v>18000</v>
      </c>
      <c r="T195" s="10">
        <f t="shared" si="33"/>
        <v>-17000</v>
      </c>
      <c r="U195" s="10">
        <f t="shared" si="40"/>
        <v>0</v>
      </c>
      <c r="V195" s="10">
        <f t="shared" si="34"/>
        <v>72000</v>
      </c>
      <c r="W195" s="10">
        <f t="shared" si="35"/>
        <v>0</v>
      </c>
      <c r="X195" s="10">
        <f t="shared" si="36"/>
        <v>0</v>
      </c>
    </row>
    <row r="196" spans="1:24" s="9" customFormat="1" ht="13.5" customHeight="1" x14ac:dyDescent="0.2">
      <c r="A196" s="64">
        <f t="shared" si="37"/>
        <v>192</v>
      </c>
      <c r="B196" s="109" t="s">
        <v>2567</v>
      </c>
      <c r="C196" s="66" t="s">
        <v>2568</v>
      </c>
      <c r="D196" s="175">
        <v>1500000</v>
      </c>
      <c r="E196" s="175"/>
      <c r="F196" s="67">
        <f t="shared" si="28"/>
        <v>1500000</v>
      </c>
      <c r="G196" s="67">
        <v>1499000</v>
      </c>
      <c r="H196" s="67">
        <f t="shared" si="29"/>
        <v>1000</v>
      </c>
      <c r="I196" s="68">
        <v>5</v>
      </c>
      <c r="J196" s="68">
        <v>0.2</v>
      </c>
      <c r="K196" s="68">
        <v>0</v>
      </c>
      <c r="L196" s="110">
        <f t="shared" si="41"/>
        <v>0</v>
      </c>
      <c r="M196" s="67">
        <f t="shared" si="30"/>
        <v>1499000</v>
      </c>
      <c r="N196" s="462">
        <f t="shared" si="31"/>
        <v>1000</v>
      </c>
      <c r="O196" s="111" t="s">
        <v>2569</v>
      </c>
      <c r="P196" s="111">
        <v>1</v>
      </c>
      <c r="Q196" s="327"/>
      <c r="R196" s="23"/>
      <c r="S196" s="10">
        <f t="shared" si="32"/>
        <v>75000</v>
      </c>
      <c r="T196" s="10">
        <f t="shared" si="33"/>
        <v>-74000</v>
      </c>
      <c r="U196" s="10">
        <f t="shared" si="40"/>
        <v>0</v>
      </c>
      <c r="V196" s="10">
        <f t="shared" si="34"/>
        <v>300000</v>
      </c>
      <c r="W196" s="10">
        <f t="shared" si="35"/>
        <v>0</v>
      </c>
      <c r="X196" s="10">
        <f t="shared" si="36"/>
        <v>0</v>
      </c>
    </row>
    <row r="197" spans="1:24" s="9" customFormat="1" ht="13.5" customHeight="1" x14ac:dyDescent="0.2">
      <c r="A197" s="831">
        <f t="shared" si="37"/>
        <v>193</v>
      </c>
      <c r="B197" s="832" t="s">
        <v>1873</v>
      </c>
      <c r="C197" s="820" t="s">
        <v>314</v>
      </c>
      <c r="D197" s="821">
        <v>800000</v>
      </c>
      <c r="E197" s="821">
        <v>-800000</v>
      </c>
      <c r="F197" s="822">
        <f t="shared" ref="F197:F260" si="42">+D197+E197</f>
        <v>0</v>
      </c>
      <c r="G197" s="822">
        <v>799000</v>
      </c>
      <c r="H197" s="822"/>
      <c r="I197" s="823">
        <v>5</v>
      </c>
      <c r="J197" s="823">
        <v>0.2</v>
      </c>
      <c r="K197" s="823">
        <v>0</v>
      </c>
      <c r="L197" s="824"/>
      <c r="M197" s="822"/>
      <c r="N197" s="825">
        <f t="shared" ref="N197:N260" si="43">+F197-M197</f>
        <v>0</v>
      </c>
      <c r="O197" s="826" t="s">
        <v>1752</v>
      </c>
      <c r="P197" s="826">
        <v>8</v>
      </c>
      <c r="Q197" s="833" t="s">
        <v>3089</v>
      </c>
      <c r="R197" s="23"/>
      <c r="S197" s="10">
        <f t="shared" ref="S197:S260" si="44">D197*0.05</f>
        <v>40000</v>
      </c>
      <c r="T197" s="10">
        <f t="shared" ref="T197:T260" si="45">N197-S197</f>
        <v>-40000</v>
      </c>
      <c r="U197" s="10">
        <f t="shared" si="40"/>
        <v>-1000</v>
      </c>
      <c r="V197" s="10">
        <f t="shared" ref="V197:V260" si="46">F197/I197</f>
        <v>0</v>
      </c>
      <c r="W197" s="10">
        <f t="shared" ref="W197:W260" si="47">ROUND(IF(H197&lt;=1000,0,V197/12*3),0)</f>
        <v>0</v>
      </c>
      <c r="X197" s="10">
        <f t="shared" ref="X197:X260" si="48">L197-W197</f>
        <v>0</v>
      </c>
    </row>
    <row r="198" spans="1:24" s="9" customFormat="1" ht="13.5" customHeight="1" x14ac:dyDescent="0.2">
      <c r="A198" s="64">
        <f t="shared" ref="A198:A261" si="49">+A197+1</f>
        <v>194</v>
      </c>
      <c r="B198" s="147" t="s">
        <v>2570</v>
      </c>
      <c r="C198" s="639" t="s">
        <v>2571</v>
      </c>
      <c r="D198" s="175">
        <v>990000</v>
      </c>
      <c r="E198" s="249"/>
      <c r="F198" s="67">
        <f t="shared" si="42"/>
        <v>990000</v>
      </c>
      <c r="G198" s="67">
        <v>989000</v>
      </c>
      <c r="H198" s="67">
        <f t="shared" ref="H198:H205" si="50">+F198-G198</f>
        <v>1000</v>
      </c>
      <c r="I198" s="68">
        <v>5</v>
      </c>
      <c r="J198" s="68">
        <v>0.2</v>
      </c>
      <c r="K198" s="68">
        <v>0</v>
      </c>
      <c r="L198" s="110">
        <f t="shared" si="41"/>
        <v>0</v>
      </c>
      <c r="M198" s="67">
        <f t="shared" ref="M198:M205" si="51">+G198+L198</f>
        <v>989000</v>
      </c>
      <c r="N198" s="462">
        <f t="shared" si="43"/>
        <v>1000</v>
      </c>
      <c r="O198" s="145" t="s">
        <v>2572</v>
      </c>
      <c r="P198" s="640">
        <v>1</v>
      </c>
      <c r="Q198" s="327"/>
      <c r="R198" s="23"/>
      <c r="S198" s="10">
        <f t="shared" si="44"/>
        <v>49500</v>
      </c>
      <c r="T198" s="10">
        <f t="shared" si="45"/>
        <v>-48500</v>
      </c>
      <c r="U198" s="10">
        <f t="shared" si="40"/>
        <v>0</v>
      </c>
      <c r="V198" s="10">
        <f t="shared" si="46"/>
        <v>198000</v>
      </c>
      <c r="W198" s="10">
        <f t="shared" si="47"/>
        <v>0</v>
      </c>
      <c r="X198" s="10">
        <f t="shared" si="48"/>
        <v>0</v>
      </c>
    </row>
    <row r="199" spans="1:24" s="9" customFormat="1" ht="13.5" customHeight="1" x14ac:dyDescent="0.2">
      <c r="A199" s="64">
        <f t="shared" si="49"/>
        <v>195</v>
      </c>
      <c r="B199" s="147" t="s">
        <v>2573</v>
      </c>
      <c r="C199" s="641">
        <v>38945</v>
      </c>
      <c r="D199" s="175">
        <v>300000</v>
      </c>
      <c r="E199" s="249"/>
      <c r="F199" s="67">
        <f t="shared" si="42"/>
        <v>300000</v>
      </c>
      <c r="G199" s="67">
        <v>299000</v>
      </c>
      <c r="H199" s="67">
        <f t="shared" si="50"/>
        <v>1000</v>
      </c>
      <c r="I199" s="68">
        <v>5</v>
      </c>
      <c r="J199" s="68">
        <v>0.2</v>
      </c>
      <c r="K199" s="68">
        <v>0</v>
      </c>
      <c r="L199" s="110">
        <f t="shared" si="41"/>
        <v>0</v>
      </c>
      <c r="M199" s="67">
        <f t="shared" si="51"/>
        <v>299000</v>
      </c>
      <c r="N199" s="462">
        <f t="shared" si="43"/>
        <v>1000</v>
      </c>
      <c r="O199" s="145" t="s">
        <v>2574</v>
      </c>
      <c r="P199" s="640">
        <v>1</v>
      </c>
      <c r="Q199" s="327"/>
      <c r="R199" s="23"/>
      <c r="S199" s="10">
        <f t="shared" si="44"/>
        <v>15000</v>
      </c>
      <c r="T199" s="10">
        <f t="shared" si="45"/>
        <v>-14000</v>
      </c>
      <c r="U199" s="10">
        <f t="shared" si="40"/>
        <v>0</v>
      </c>
      <c r="V199" s="10">
        <f t="shared" si="46"/>
        <v>60000</v>
      </c>
      <c r="W199" s="10">
        <f t="shared" si="47"/>
        <v>0</v>
      </c>
      <c r="X199" s="10">
        <f t="shared" si="48"/>
        <v>0</v>
      </c>
    </row>
    <row r="200" spans="1:24" s="9" customFormat="1" ht="13.5" customHeight="1" x14ac:dyDescent="0.2">
      <c r="A200" s="64">
        <f t="shared" si="49"/>
        <v>196</v>
      </c>
      <c r="B200" s="147" t="s">
        <v>2575</v>
      </c>
      <c r="C200" s="641">
        <v>38946</v>
      </c>
      <c r="D200" s="175">
        <v>450000</v>
      </c>
      <c r="E200" s="249"/>
      <c r="F200" s="67">
        <f t="shared" si="42"/>
        <v>450000</v>
      </c>
      <c r="G200" s="67">
        <v>449000</v>
      </c>
      <c r="H200" s="67">
        <f t="shared" si="50"/>
        <v>1000</v>
      </c>
      <c r="I200" s="68">
        <v>5</v>
      </c>
      <c r="J200" s="68">
        <v>0.2</v>
      </c>
      <c r="K200" s="68">
        <v>0</v>
      </c>
      <c r="L200" s="110">
        <f t="shared" si="41"/>
        <v>0</v>
      </c>
      <c r="M200" s="67">
        <f t="shared" si="51"/>
        <v>449000</v>
      </c>
      <c r="N200" s="462">
        <f t="shared" si="43"/>
        <v>1000</v>
      </c>
      <c r="O200" s="145" t="s">
        <v>1932</v>
      </c>
      <c r="P200" s="640">
        <v>3</v>
      </c>
      <c r="Q200" s="327"/>
      <c r="R200" s="23"/>
      <c r="S200" s="10">
        <f t="shared" si="44"/>
        <v>22500</v>
      </c>
      <c r="T200" s="10">
        <f t="shared" si="45"/>
        <v>-21500</v>
      </c>
      <c r="U200" s="10">
        <f t="shared" si="40"/>
        <v>0</v>
      </c>
      <c r="V200" s="10">
        <f t="shared" si="46"/>
        <v>90000</v>
      </c>
      <c r="W200" s="10">
        <f t="shared" si="47"/>
        <v>0</v>
      </c>
      <c r="X200" s="10">
        <f t="shared" si="48"/>
        <v>0</v>
      </c>
    </row>
    <row r="201" spans="1:24" s="9" customFormat="1" ht="13.5" customHeight="1" x14ac:dyDescent="0.2">
      <c r="A201" s="64">
        <f t="shared" si="49"/>
        <v>197</v>
      </c>
      <c r="B201" s="147" t="s">
        <v>1846</v>
      </c>
      <c r="C201" s="641">
        <v>38982</v>
      </c>
      <c r="D201" s="175">
        <v>1200000</v>
      </c>
      <c r="E201" s="249"/>
      <c r="F201" s="67">
        <f t="shared" si="42"/>
        <v>1200000</v>
      </c>
      <c r="G201" s="67">
        <v>1199000</v>
      </c>
      <c r="H201" s="67">
        <f t="shared" si="50"/>
        <v>1000</v>
      </c>
      <c r="I201" s="68">
        <v>5</v>
      </c>
      <c r="J201" s="68">
        <v>0.2</v>
      </c>
      <c r="K201" s="68">
        <v>0</v>
      </c>
      <c r="L201" s="110">
        <f t="shared" si="41"/>
        <v>0</v>
      </c>
      <c r="M201" s="67">
        <f t="shared" si="51"/>
        <v>1199000</v>
      </c>
      <c r="N201" s="462">
        <f t="shared" si="43"/>
        <v>1000</v>
      </c>
      <c r="O201" s="145" t="s">
        <v>2576</v>
      </c>
      <c r="P201" s="640">
        <v>2</v>
      </c>
      <c r="Q201" s="327"/>
      <c r="R201" s="23"/>
      <c r="S201" s="10">
        <f t="shared" si="44"/>
        <v>60000</v>
      </c>
      <c r="T201" s="10">
        <f t="shared" si="45"/>
        <v>-59000</v>
      </c>
      <c r="U201" s="10">
        <f t="shared" si="40"/>
        <v>0</v>
      </c>
      <c r="V201" s="10">
        <f t="shared" si="46"/>
        <v>240000</v>
      </c>
      <c r="W201" s="10">
        <f t="shared" si="47"/>
        <v>0</v>
      </c>
      <c r="X201" s="10">
        <f t="shared" si="48"/>
        <v>0</v>
      </c>
    </row>
    <row r="202" spans="1:24" s="9" customFormat="1" ht="13.5" customHeight="1" x14ac:dyDescent="0.2">
      <c r="A202" s="64">
        <f t="shared" si="49"/>
        <v>198</v>
      </c>
      <c r="B202" s="147" t="s">
        <v>2019</v>
      </c>
      <c r="C202" s="641">
        <v>38982</v>
      </c>
      <c r="D202" s="175">
        <v>490909</v>
      </c>
      <c r="E202" s="249"/>
      <c r="F202" s="67">
        <f t="shared" si="42"/>
        <v>490909</v>
      </c>
      <c r="G202" s="67">
        <v>489909</v>
      </c>
      <c r="H202" s="67">
        <f t="shared" si="50"/>
        <v>1000</v>
      </c>
      <c r="I202" s="68">
        <v>5</v>
      </c>
      <c r="J202" s="68">
        <v>0.2</v>
      </c>
      <c r="K202" s="68">
        <v>0</v>
      </c>
      <c r="L202" s="110">
        <f t="shared" si="41"/>
        <v>0</v>
      </c>
      <c r="M202" s="67">
        <f t="shared" si="51"/>
        <v>489909</v>
      </c>
      <c r="N202" s="462">
        <f t="shared" si="43"/>
        <v>1000</v>
      </c>
      <c r="O202" s="145" t="s">
        <v>2576</v>
      </c>
      <c r="P202" s="640">
        <v>3</v>
      </c>
      <c r="Q202" s="327"/>
      <c r="R202" s="23"/>
      <c r="S202" s="10">
        <f t="shared" si="44"/>
        <v>24545.45</v>
      </c>
      <c r="T202" s="10">
        <f t="shared" si="45"/>
        <v>-23545.45</v>
      </c>
      <c r="U202" s="10">
        <f t="shared" si="40"/>
        <v>0</v>
      </c>
      <c r="V202" s="10">
        <f t="shared" si="46"/>
        <v>98181.8</v>
      </c>
      <c r="W202" s="10">
        <f t="shared" si="47"/>
        <v>0</v>
      </c>
      <c r="X202" s="10">
        <f t="shared" si="48"/>
        <v>0</v>
      </c>
    </row>
    <row r="203" spans="1:24" s="9" customFormat="1" ht="13.5" customHeight="1" x14ac:dyDescent="0.2">
      <c r="A203" s="64">
        <f t="shared" si="49"/>
        <v>199</v>
      </c>
      <c r="B203" s="147" t="s">
        <v>1853</v>
      </c>
      <c r="C203" s="641">
        <v>38982</v>
      </c>
      <c r="D203" s="175">
        <v>59091</v>
      </c>
      <c r="E203" s="249"/>
      <c r="F203" s="67">
        <f t="shared" si="42"/>
        <v>59091</v>
      </c>
      <c r="G203" s="67">
        <v>58091</v>
      </c>
      <c r="H203" s="67">
        <f t="shared" si="50"/>
        <v>1000</v>
      </c>
      <c r="I203" s="68">
        <v>5</v>
      </c>
      <c r="J203" s="68">
        <v>0.2</v>
      </c>
      <c r="K203" s="68">
        <v>0</v>
      </c>
      <c r="L203" s="110">
        <f t="shared" si="41"/>
        <v>0</v>
      </c>
      <c r="M203" s="67">
        <f t="shared" si="51"/>
        <v>58091</v>
      </c>
      <c r="N203" s="462">
        <f t="shared" si="43"/>
        <v>1000</v>
      </c>
      <c r="O203" s="145" t="s">
        <v>2576</v>
      </c>
      <c r="P203" s="640">
        <v>1</v>
      </c>
      <c r="Q203" s="327"/>
      <c r="R203" s="23"/>
      <c r="S203" s="10">
        <f t="shared" si="44"/>
        <v>2954.55</v>
      </c>
      <c r="T203" s="10">
        <f t="shared" si="45"/>
        <v>-1954.5500000000002</v>
      </c>
      <c r="U203" s="10">
        <f t="shared" si="40"/>
        <v>0</v>
      </c>
      <c r="V203" s="10">
        <f t="shared" si="46"/>
        <v>11818.2</v>
      </c>
      <c r="W203" s="10">
        <f t="shared" si="47"/>
        <v>0</v>
      </c>
      <c r="X203" s="10">
        <f t="shared" si="48"/>
        <v>0</v>
      </c>
    </row>
    <row r="204" spans="1:24" s="9" customFormat="1" ht="13.5" customHeight="1" x14ac:dyDescent="0.2">
      <c r="A204" s="64">
        <f t="shared" si="49"/>
        <v>200</v>
      </c>
      <c r="B204" s="147" t="s">
        <v>2577</v>
      </c>
      <c r="C204" s="641">
        <v>38990</v>
      </c>
      <c r="D204" s="175">
        <v>850000</v>
      </c>
      <c r="E204" s="249"/>
      <c r="F204" s="67">
        <f t="shared" si="42"/>
        <v>850000</v>
      </c>
      <c r="G204" s="67">
        <v>849000</v>
      </c>
      <c r="H204" s="67">
        <f t="shared" si="50"/>
        <v>1000</v>
      </c>
      <c r="I204" s="68">
        <v>5</v>
      </c>
      <c r="J204" s="68">
        <v>0.2</v>
      </c>
      <c r="K204" s="68">
        <v>0</v>
      </c>
      <c r="L204" s="110">
        <f t="shared" si="41"/>
        <v>0</v>
      </c>
      <c r="M204" s="67">
        <f t="shared" si="51"/>
        <v>849000</v>
      </c>
      <c r="N204" s="462">
        <f t="shared" si="43"/>
        <v>1000</v>
      </c>
      <c r="O204" s="145" t="s">
        <v>1965</v>
      </c>
      <c r="P204" s="640">
        <v>1</v>
      </c>
      <c r="Q204" s="327"/>
      <c r="R204" s="23"/>
      <c r="S204" s="10">
        <f t="shared" si="44"/>
        <v>42500</v>
      </c>
      <c r="T204" s="10">
        <f t="shared" si="45"/>
        <v>-41500</v>
      </c>
      <c r="U204" s="10">
        <f t="shared" si="40"/>
        <v>0</v>
      </c>
      <c r="V204" s="10">
        <f t="shared" si="46"/>
        <v>170000</v>
      </c>
      <c r="W204" s="10">
        <f t="shared" si="47"/>
        <v>0</v>
      </c>
      <c r="X204" s="10">
        <f t="shared" si="48"/>
        <v>0</v>
      </c>
    </row>
    <row r="205" spans="1:24" s="9" customFormat="1" ht="13.5" customHeight="1" x14ac:dyDescent="0.2">
      <c r="A205" s="64">
        <f t="shared" si="49"/>
        <v>201</v>
      </c>
      <c r="B205" s="147" t="s">
        <v>2578</v>
      </c>
      <c r="C205" s="641">
        <v>38990</v>
      </c>
      <c r="D205" s="175">
        <v>250000</v>
      </c>
      <c r="E205" s="249"/>
      <c r="F205" s="67">
        <f t="shared" si="42"/>
        <v>250000</v>
      </c>
      <c r="G205" s="67">
        <v>249000</v>
      </c>
      <c r="H205" s="67">
        <f t="shared" si="50"/>
        <v>1000</v>
      </c>
      <c r="I205" s="68">
        <v>5</v>
      </c>
      <c r="J205" s="68">
        <v>0.2</v>
      </c>
      <c r="K205" s="68">
        <v>0</v>
      </c>
      <c r="L205" s="110">
        <f t="shared" si="41"/>
        <v>0</v>
      </c>
      <c r="M205" s="67">
        <f t="shared" si="51"/>
        <v>249000</v>
      </c>
      <c r="N205" s="462">
        <f t="shared" si="43"/>
        <v>1000</v>
      </c>
      <c r="O205" s="145" t="s">
        <v>1965</v>
      </c>
      <c r="P205" s="640">
        <v>1</v>
      </c>
      <c r="Q205" s="327"/>
      <c r="R205" s="23"/>
      <c r="S205" s="10">
        <f t="shared" si="44"/>
        <v>12500</v>
      </c>
      <c r="T205" s="10">
        <f t="shared" si="45"/>
        <v>-11500</v>
      </c>
      <c r="U205" s="10">
        <f t="shared" si="40"/>
        <v>0</v>
      </c>
      <c r="V205" s="10">
        <f t="shared" si="46"/>
        <v>50000</v>
      </c>
      <c r="W205" s="10">
        <f t="shared" si="47"/>
        <v>0</v>
      </c>
      <c r="X205" s="10">
        <f t="shared" si="48"/>
        <v>0</v>
      </c>
    </row>
    <row r="206" spans="1:24" s="9" customFormat="1" ht="13.5" customHeight="1" x14ac:dyDescent="0.2">
      <c r="A206" s="292">
        <f t="shared" si="49"/>
        <v>202</v>
      </c>
      <c r="B206" s="642" t="s">
        <v>2557</v>
      </c>
      <c r="C206" s="643">
        <v>39006</v>
      </c>
      <c r="D206" s="310">
        <v>0</v>
      </c>
      <c r="E206" s="644"/>
      <c r="F206" s="295">
        <f t="shared" si="42"/>
        <v>0</v>
      </c>
      <c r="G206" s="295"/>
      <c r="H206" s="295"/>
      <c r="I206" s="296">
        <v>5</v>
      </c>
      <c r="J206" s="296">
        <v>0.2</v>
      </c>
      <c r="K206" s="296">
        <v>0</v>
      </c>
      <c r="L206" s="287">
        <v>0</v>
      </c>
      <c r="M206" s="295"/>
      <c r="N206" s="468">
        <f t="shared" si="43"/>
        <v>0</v>
      </c>
      <c r="O206" s="645" t="s">
        <v>2559</v>
      </c>
      <c r="P206" s="646">
        <v>1</v>
      </c>
      <c r="Q206" s="637"/>
      <c r="R206" s="23"/>
      <c r="S206" s="291">
        <f t="shared" si="44"/>
        <v>0</v>
      </c>
      <c r="T206" s="291">
        <f t="shared" si="45"/>
        <v>0</v>
      </c>
      <c r="U206" s="291"/>
      <c r="V206" s="291">
        <f t="shared" si="46"/>
        <v>0</v>
      </c>
      <c r="W206" s="10">
        <f t="shared" si="47"/>
        <v>0</v>
      </c>
      <c r="X206" s="10">
        <f t="shared" si="48"/>
        <v>0</v>
      </c>
    </row>
    <row r="207" spans="1:24" s="9" customFormat="1" ht="13.5" customHeight="1" x14ac:dyDescent="0.2">
      <c r="A207" s="64">
        <f t="shared" si="49"/>
        <v>203</v>
      </c>
      <c r="B207" s="147" t="s">
        <v>2579</v>
      </c>
      <c r="C207" s="641">
        <v>39021</v>
      </c>
      <c r="D207" s="175">
        <v>150000</v>
      </c>
      <c r="E207" s="249"/>
      <c r="F207" s="67">
        <f t="shared" si="42"/>
        <v>150000</v>
      </c>
      <c r="G207" s="67">
        <v>149000</v>
      </c>
      <c r="H207" s="67">
        <f t="shared" ref="H207:H224" si="52">+F207-G207</f>
        <v>1000</v>
      </c>
      <c r="I207" s="68">
        <v>5</v>
      </c>
      <c r="J207" s="68">
        <v>0.2</v>
      </c>
      <c r="K207" s="68">
        <v>0</v>
      </c>
      <c r="L207" s="110">
        <f t="shared" ref="L207:L224" si="53">ROUND(IF(F207*J207*K207/12&gt;=H207,H207-1000,F207*J207*K207/12),0)</f>
        <v>0</v>
      </c>
      <c r="M207" s="67">
        <f t="shared" ref="M207:M224" si="54">+G207+L207</f>
        <v>149000</v>
      </c>
      <c r="N207" s="462">
        <f t="shared" si="43"/>
        <v>1000</v>
      </c>
      <c r="O207" s="145" t="s">
        <v>1965</v>
      </c>
      <c r="P207" s="640">
        <v>1</v>
      </c>
      <c r="Q207" s="327"/>
      <c r="R207" s="23"/>
      <c r="S207" s="10">
        <f t="shared" si="44"/>
        <v>7500</v>
      </c>
      <c r="T207" s="10">
        <f t="shared" si="45"/>
        <v>-6500</v>
      </c>
      <c r="U207" s="10">
        <f t="shared" ref="U207:U224" si="55">N207-1000</f>
        <v>0</v>
      </c>
      <c r="V207" s="10">
        <f t="shared" si="46"/>
        <v>30000</v>
      </c>
      <c r="W207" s="10">
        <f t="shared" si="47"/>
        <v>0</v>
      </c>
      <c r="X207" s="10">
        <f t="shared" si="48"/>
        <v>0</v>
      </c>
    </row>
    <row r="208" spans="1:24" s="9" customFormat="1" ht="13.5" customHeight="1" x14ac:dyDescent="0.2">
      <c r="A208" s="64">
        <f t="shared" si="49"/>
        <v>204</v>
      </c>
      <c r="B208" s="147" t="s">
        <v>2580</v>
      </c>
      <c r="C208" s="641">
        <v>39021</v>
      </c>
      <c r="D208" s="175">
        <v>600000</v>
      </c>
      <c r="E208" s="249"/>
      <c r="F208" s="67">
        <f t="shared" si="42"/>
        <v>600000</v>
      </c>
      <c r="G208" s="67">
        <v>599000</v>
      </c>
      <c r="H208" s="67">
        <f t="shared" si="52"/>
        <v>1000</v>
      </c>
      <c r="I208" s="68">
        <v>5</v>
      </c>
      <c r="J208" s="68">
        <v>0.2</v>
      </c>
      <c r="K208" s="68">
        <v>0</v>
      </c>
      <c r="L208" s="110">
        <f t="shared" si="53"/>
        <v>0</v>
      </c>
      <c r="M208" s="67">
        <f t="shared" si="54"/>
        <v>599000</v>
      </c>
      <c r="N208" s="462">
        <f t="shared" si="43"/>
        <v>1000</v>
      </c>
      <c r="O208" s="647" t="s">
        <v>2458</v>
      </c>
      <c r="P208" s="640">
        <v>2</v>
      </c>
      <c r="Q208" s="327"/>
      <c r="R208" s="23"/>
      <c r="S208" s="10">
        <f t="shared" si="44"/>
        <v>30000</v>
      </c>
      <c r="T208" s="10">
        <f t="shared" si="45"/>
        <v>-29000</v>
      </c>
      <c r="U208" s="10">
        <f t="shared" si="55"/>
        <v>0</v>
      </c>
      <c r="V208" s="10">
        <f t="shared" si="46"/>
        <v>120000</v>
      </c>
      <c r="W208" s="10">
        <f t="shared" si="47"/>
        <v>0</v>
      </c>
      <c r="X208" s="10">
        <f t="shared" si="48"/>
        <v>0</v>
      </c>
    </row>
    <row r="209" spans="1:24" s="9" customFormat="1" ht="13.5" customHeight="1" x14ac:dyDescent="0.2">
      <c r="A209" s="64">
        <f t="shared" si="49"/>
        <v>205</v>
      </c>
      <c r="B209" s="147" t="s">
        <v>2581</v>
      </c>
      <c r="C209" s="641">
        <v>39021</v>
      </c>
      <c r="D209" s="175">
        <v>440000</v>
      </c>
      <c r="E209" s="249"/>
      <c r="F209" s="67">
        <f t="shared" si="42"/>
        <v>440000</v>
      </c>
      <c r="G209" s="67">
        <v>439000</v>
      </c>
      <c r="H209" s="67">
        <f t="shared" si="52"/>
        <v>1000</v>
      </c>
      <c r="I209" s="68">
        <v>5</v>
      </c>
      <c r="J209" s="68">
        <v>0.2</v>
      </c>
      <c r="K209" s="68">
        <v>0</v>
      </c>
      <c r="L209" s="110">
        <f t="shared" si="53"/>
        <v>0</v>
      </c>
      <c r="M209" s="67">
        <f t="shared" si="54"/>
        <v>439000</v>
      </c>
      <c r="N209" s="462">
        <f t="shared" si="43"/>
        <v>1000</v>
      </c>
      <c r="O209" s="647" t="s">
        <v>2458</v>
      </c>
      <c r="P209" s="640">
        <v>1</v>
      </c>
      <c r="Q209" s="327"/>
      <c r="R209" s="23"/>
      <c r="S209" s="10">
        <f t="shared" si="44"/>
        <v>22000</v>
      </c>
      <c r="T209" s="10">
        <f t="shared" si="45"/>
        <v>-21000</v>
      </c>
      <c r="U209" s="10">
        <f t="shared" si="55"/>
        <v>0</v>
      </c>
      <c r="V209" s="10">
        <f t="shared" si="46"/>
        <v>88000</v>
      </c>
      <c r="W209" s="10">
        <f t="shared" si="47"/>
        <v>0</v>
      </c>
      <c r="X209" s="10">
        <f t="shared" si="48"/>
        <v>0</v>
      </c>
    </row>
    <row r="210" spans="1:24" s="9" customFormat="1" ht="13.5" customHeight="1" x14ac:dyDescent="0.2">
      <c r="A210" s="64">
        <f t="shared" si="49"/>
        <v>206</v>
      </c>
      <c r="B210" s="147" t="s">
        <v>2582</v>
      </c>
      <c r="C210" s="641">
        <v>39021</v>
      </c>
      <c r="D210" s="175">
        <v>400000</v>
      </c>
      <c r="E210" s="249"/>
      <c r="F210" s="67">
        <f t="shared" si="42"/>
        <v>400000</v>
      </c>
      <c r="G210" s="67">
        <v>399000</v>
      </c>
      <c r="H210" s="67">
        <f t="shared" si="52"/>
        <v>1000</v>
      </c>
      <c r="I210" s="68">
        <v>5</v>
      </c>
      <c r="J210" s="68">
        <v>0.2</v>
      </c>
      <c r="K210" s="68">
        <v>0</v>
      </c>
      <c r="L210" s="110">
        <f t="shared" si="53"/>
        <v>0</v>
      </c>
      <c r="M210" s="67">
        <f t="shared" si="54"/>
        <v>399000</v>
      </c>
      <c r="N210" s="462">
        <f t="shared" si="43"/>
        <v>1000</v>
      </c>
      <c r="O210" s="145" t="s">
        <v>2583</v>
      </c>
      <c r="P210" s="640">
        <v>1</v>
      </c>
      <c r="Q210" s="327"/>
      <c r="R210" s="23"/>
      <c r="S210" s="10">
        <f t="shared" si="44"/>
        <v>20000</v>
      </c>
      <c r="T210" s="10">
        <f t="shared" si="45"/>
        <v>-19000</v>
      </c>
      <c r="U210" s="10">
        <f t="shared" si="55"/>
        <v>0</v>
      </c>
      <c r="V210" s="10">
        <f t="shared" si="46"/>
        <v>80000</v>
      </c>
      <c r="W210" s="10">
        <f t="shared" si="47"/>
        <v>0</v>
      </c>
      <c r="X210" s="10">
        <f t="shared" si="48"/>
        <v>0</v>
      </c>
    </row>
    <row r="211" spans="1:24" s="9" customFormat="1" ht="13.5" customHeight="1" x14ac:dyDescent="0.2">
      <c r="A211" s="64">
        <f t="shared" si="49"/>
        <v>207</v>
      </c>
      <c r="B211" s="147" t="s">
        <v>1873</v>
      </c>
      <c r="C211" s="641">
        <v>39021</v>
      </c>
      <c r="D211" s="175">
        <v>380000</v>
      </c>
      <c r="E211" s="249"/>
      <c r="F211" s="67">
        <f t="shared" si="42"/>
        <v>380000</v>
      </c>
      <c r="G211" s="67">
        <v>379000</v>
      </c>
      <c r="H211" s="67">
        <f t="shared" si="52"/>
        <v>1000</v>
      </c>
      <c r="I211" s="68">
        <v>5</v>
      </c>
      <c r="J211" s="68">
        <v>0.2</v>
      </c>
      <c r="K211" s="68">
        <v>0</v>
      </c>
      <c r="L211" s="110">
        <f t="shared" si="53"/>
        <v>0</v>
      </c>
      <c r="M211" s="67">
        <f t="shared" si="54"/>
        <v>379000</v>
      </c>
      <c r="N211" s="462">
        <f t="shared" si="43"/>
        <v>1000</v>
      </c>
      <c r="O211" s="145" t="s">
        <v>1932</v>
      </c>
      <c r="P211" s="640">
        <v>10</v>
      </c>
      <c r="Q211" s="327"/>
      <c r="R211" s="23"/>
      <c r="S211" s="10">
        <f t="shared" si="44"/>
        <v>19000</v>
      </c>
      <c r="T211" s="10">
        <f t="shared" si="45"/>
        <v>-18000</v>
      </c>
      <c r="U211" s="10">
        <f t="shared" si="55"/>
        <v>0</v>
      </c>
      <c r="V211" s="10">
        <f t="shared" si="46"/>
        <v>76000</v>
      </c>
      <c r="W211" s="10">
        <f t="shared" si="47"/>
        <v>0</v>
      </c>
      <c r="X211" s="10">
        <f t="shared" si="48"/>
        <v>0</v>
      </c>
    </row>
    <row r="212" spans="1:24" s="9" customFormat="1" ht="13.5" customHeight="1" x14ac:dyDescent="0.2">
      <c r="A212" s="64">
        <f t="shared" si="49"/>
        <v>208</v>
      </c>
      <c r="B212" s="147" t="s">
        <v>1873</v>
      </c>
      <c r="C212" s="641">
        <v>39021</v>
      </c>
      <c r="D212" s="175">
        <v>45000</v>
      </c>
      <c r="E212" s="249"/>
      <c r="F212" s="67">
        <f t="shared" si="42"/>
        <v>45000</v>
      </c>
      <c r="G212" s="67">
        <v>44000</v>
      </c>
      <c r="H212" s="67">
        <f t="shared" si="52"/>
        <v>1000</v>
      </c>
      <c r="I212" s="68">
        <v>5</v>
      </c>
      <c r="J212" s="68">
        <v>0.2</v>
      </c>
      <c r="K212" s="68">
        <v>0</v>
      </c>
      <c r="L212" s="110">
        <f t="shared" si="53"/>
        <v>0</v>
      </c>
      <c r="M212" s="67">
        <f t="shared" si="54"/>
        <v>44000</v>
      </c>
      <c r="N212" s="462">
        <f t="shared" si="43"/>
        <v>1000</v>
      </c>
      <c r="O212" s="145" t="s">
        <v>1932</v>
      </c>
      <c r="P212" s="640">
        <v>1</v>
      </c>
      <c r="Q212" s="327"/>
      <c r="R212" s="23"/>
      <c r="S212" s="10">
        <f t="shared" si="44"/>
        <v>2250</v>
      </c>
      <c r="T212" s="10">
        <f t="shared" si="45"/>
        <v>-1250</v>
      </c>
      <c r="U212" s="10">
        <f t="shared" si="55"/>
        <v>0</v>
      </c>
      <c r="V212" s="10">
        <f t="shared" si="46"/>
        <v>9000</v>
      </c>
      <c r="W212" s="10">
        <f t="shared" si="47"/>
        <v>0</v>
      </c>
      <c r="X212" s="10">
        <f t="shared" si="48"/>
        <v>0</v>
      </c>
    </row>
    <row r="213" spans="1:24" s="9" customFormat="1" ht="13.5" customHeight="1" x14ac:dyDescent="0.2">
      <c r="A213" s="64">
        <f t="shared" si="49"/>
        <v>209</v>
      </c>
      <c r="B213" s="147" t="s">
        <v>2584</v>
      </c>
      <c r="C213" s="641">
        <v>39021</v>
      </c>
      <c r="D213" s="175">
        <v>50000</v>
      </c>
      <c r="E213" s="249"/>
      <c r="F213" s="67">
        <f t="shared" si="42"/>
        <v>50000</v>
      </c>
      <c r="G213" s="67">
        <v>49000</v>
      </c>
      <c r="H213" s="67">
        <f t="shared" si="52"/>
        <v>1000</v>
      </c>
      <c r="I213" s="68">
        <v>5</v>
      </c>
      <c r="J213" s="68">
        <v>0.2</v>
      </c>
      <c r="K213" s="68">
        <v>0</v>
      </c>
      <c r="L213" s="110">
        <f t="shared" si="53"/>
        <v>0</v>
      </c>
      <c r="M213" s="67">
        <f t="shared" si="54"/>
        <v>49000</v>
      </c>
      <c r="N213" s="462">
        <f t="shared" si="43"/>
        <v>1000</v>
      </c>
      <c r="O213" s="145" t="s">
        <v>1932</v>
      </c>
      <c r="P213" s="640">
        <v>1</v>
      </c>
      <c r="Q213" s="327"/>
      <c r="R213" s="23"/>
      <c r="S213" s="10">
        <f t="shared" si="44"/>
        <v>2500</v>
      </c>
      <c r="T213" s="10">
        <f t="shared" si="45"/>
        <v>-1500</v>
      </c>
      <c r="U213" s="10">
        <f t="shared" si="55"/>
        <v>0</v>
      </c>
      <c r="V213" s="10">
        <f t="shared" si="46"/>
        <v>10000</v>
      </c>
      <c r="W213" s="10">
        <f t="shared" si="47"/>
        <v>0</v>
      </c>
      <c r="X213" s="10">
        <f t="shared" si="48"/>
        <v>0</v>
      </c>
    </row>
    <row r="214" spans="1:24" s="9" customFormat="1" ht="13.5" customHeight="1" x14ac:dyDescent="0.2">
      <c r="A214" s="64">
        <f t="shared" si="49"/>
        <v>210</v>
      </c>
      <c r="B214" s="147" t="s">
        <v>1877</v>
      </c>
      <c r="C214" s="641">
        <v>39021</v>
      </c>
      <c r="D214" s="175">
        <v>80000</v>
      </c>
      <c r="E214" s="249"/>
      <c r="F214" s="67">
        <f t="shared" si="42"/>
        <v>80000</v>
      </c>
      <c r="G214" s="67">
        <v>79000</v>
      </c>
      <c r="H214" s="67">
        <f t="shared" si="52"/>
        <v>1000</v>
      </c>
      <c r="I214" s="68">
        <v>5</v>
      </c>
      <c r="J214" s="68">
        <v>0.2</v>
      </c>
      <c r="K214" s="68">
        <v>0</v>
      </c>
      <c r="L214" s="110">
        <f t="shared" si="53"/>
        <v>0</v>
      </c>
      <c r="M214" s="67">
        <f t="shared" si="54"/>
        <v>79000</v>
      </c>
      <c r="N214" s="462">
        <f t="shared" si="43"/>
        <v>1000</v>
      </c>
      <c r="O214" s="145" t="s">
        <v>1932</v>
      </c>
      <c r="P214" s="640">
        <v>1</v>
      </c>
      <c r="Q214" s="327"/>
      <c r="R214" s="23"/>
      <c r="S214" s="10">
        <f t="shared" si="44"/>
        <v>4000</v>
      </c>
      <c r="T214" s="10">
        <f t="shared" si="45"/>
        <v>-3000</v>
      </c>
      <c r="U214" s="10">
        <f t="shared" si="55"/>
        <v>0</v>
      </c>
      <c r="V214" s="10">
        <f t="shared" si="46"/>
        <v>16000</v>
      </c>
      <c r="W214" s="10">
        <f t="shared" si="47"/>
        <v>0</v>
      </c>
      <c r="X214" s="10">
        <f t="shared" si="48"/>
        <v>0</v>
      </c>
    </row>
    <row r="215" spans="1:24" s="9" customFormat="1" ht="13.5" customHeight="1" x14ac:dyDescent="0.2">
      <c r="A215" s="64">
        <f t="shared" si="49"/>
        <v>211</v>
      </c>
      <c r="B215" s="147" t="s">
        <v>2585</v>
      </c>
      <c r="C215" s="641">
        <v>39037</v>
      </c>
      <c r="D215" s="175">
        <v>3727272</v>
      </c>
      <c r="E215" s="249"/>
      <c r="F215" s="67">
        <f t="shared" si="42"/>
        <v>3727272</v>
      </c>
      <c r="G215" s="67">
        <v>3726272</v>
      </c>
      <c r="H215" s="67">
        <f t="shared" si="52"/>
        <v>1000</v>
      </c>
      <c r="I215" s="68">
        <v>5</v>
      </c>
      <c r="J215" s="68">
        <v>0.2</v>
      </c>
      <c r="K215" s="68">
        <v>0</v>
      </c>
      <c r="L215" s="110">
        <f t="shared" si="53"/>
        <v>0</v>
      </c>
      <c r="M215" s="67">
        <f t="shared" si="54"/>
        <v>3726272</v>
      </c>
      <c r="N215" s="462">
        <f t="shared" si="43"/>
        <v>1000</v>
      </c>
      <c r="O215" s="145" t="s">
        <v>767</v>
      </c>
      <c r="P215" s="640">
        <v>2</v>
      </c>
      <c r="Q215" s="327"/>
      <c r="R215" s="23"/>
      <c r="S215" s="10">
        <f t="shared" si="44"/>
        <v>186363.6</v>
      </c>
      <c r="T215" s="10">
        <f t="shared" si="45"/>
        <v>-185363.6</v>
      </c>
      <c r="U215" s="10">
        <f t="shared" si="55"/>
        <v>0</v>
      </c>
      <c r="V215" s="10">
        <f t="shared" si="46"/>
        <v>745454.4</v>
      </c>
      <c r="W215" s="10">
        <f t="shared" si="47"/>
        <v>0</v>
      </c>
      <c r="X215" s="10">
        <f t="shared" si="48"/>
        <v>0</v>
      </c>
    </row>
    <row r="216" spans="1:24" s="9" customFormat="1" ht="13.5" customHeight="1" x14ac:dyDescent="0.2">
      <c r="A216" s="64">
        <f t="shared" si="49"/>
        <v>212</v>
      </c>
      <c r="B216" s="147" t="s">
        <v>1846</v>
      </c>
      <c r="C216" s="641">
        <v>39042</v>
      </c>
      <c r="D216" s="175">
        <v>600000</v>
      </c>
      <c r="E216" s="249"/>
      <c r="F216" s="67">
        <f t="shared" si="42"/>
        <v>600000</v>
      </c>
      <c r="G216" s="67">
        <v>599000</v>
      </c>
      <c r="H216" s="67">
        <f t="shared" si="52"/>
        <v>1000</v>
      </c>
      <c r="I216" s="68">
        <v>5</v>
      </c>
      <c r="J216" s="68">
        <v>0.2</v>
      </c>
      <c r="K216" s="68">
        <v>0</v>
      </c>
      <c r="L216" s="110">
        <f t="shared" si="53"/>
        <v>0</v>
      </c>
      <c r="M216" s="67">
        <f t="shared" si="54"/>
        <v>599000</v>
      </c>
      <c r="N216" s="462">
        <f t="shared" si="43"/>
        <v>1000</v>
      </c>
      <c r="O216" s="145" t="s">
        <v>2576</v>
      </c>
      <c r="P216" s="640">
        <v>1</v>
      </c>
      <c r="Q216" s="327"/>
      <c r="R216" s="23"/>
      <c r="S216" s="10">
        <f t="shared" si="44"/>
        <v>30000</v>
      </c>
      <c r="T216" s="10">
        <f t="shared" si="45"/>
        <v>-29000</v>
      </c>
      <c r="U216" s="10">
        <f t="shared" si="55"/>
        <v>0</v>
      </c>
      <c r="V216" s="10">
        <f t="shared" si="46"/>
        <v>120000</v>
      </c>
      <c r="W216" s="10">
        <f t="shared" si="47"/>
        <v>0</v>
      </c>
      <c r="X216" s="10">
        <f t="shared" si="48"/>
        <v>0</v>
      </c>
    </row>
    <row r="217" spans="1:24" s="9" customFormat="1" ht="13.5" customHeight="1" x14ac:dyDescent="0.2">
      <c r="A217" s="64">
        <f t="shared" si="49"/>
        <v>213</v>
      </c>
      <c r="B217" s="147" t="s">
        <v>2586</v>
      </c>
      <c r="C217" s="641">
        <v>39042</v>
      </c>
      <c r="D217" s="175">
        <v>870000</v>
      </c>
      <c r="E217" s="249"/>
      <c r="F217" s="67">
        <f t="shared" si="42"/>
        <v>870000</v>
      </c>
      <c r="G217" s="67">
        <v>869000</v>
      </c>
      <c r="H217" s="67">
        <f t="shared" si="52"/>
        <v>1000</v>
      </c>
      <c r="I217" s="68">
        <v>5</v>
      </c>
      <c r="J217" s="68">
        <v>0.2</v>
      </c>
      <c r="K217" s="68">
        <v>0</v>
      </c>
      <c r="L217" s="110">
        <f t="shared" si="53"/>
        <v>0</v>
      </c>
      <c r="M217" s="67">
        <f t="shared" si="54"/>
        <v>869000</v>
      </c>
      <c r="N217" s="462">
        <f t="shared" si="43"/>
        <v>1000</v>
      </c>
      <c r="O217" s="647" t="s">
        <v>2458</v>
      </c>
      <c r="P217" s="640">
        <v>3</v>
      </c>
      <c r="Q217" s="327"/>
      <c r="R217" s="23"/>
      <c r="S217" s="10">
        <f t="shared" si="44"/>
        <v>43500</v>
      </c>
      <c r="T217" s="10">
        <f t="shared" si="45"/>
        <v>-42500</v>
      </c>
      <c r="U217" s="10">
        <f t="shared" si="55"/>
        <v>0</v>
      </c>
      <c r="V217" s="10">
        <f t="shared" si="46"/>
        <v>174000</v>
      </c>
      <c r="W217" s="10">
        <f t="shared" si="47"/>
        <v>0</v>
      </c>
      <c r="X217" s="10">
        <f t="shared" si="48"/>
        <v>0</v>
      </c>
    </row>
    <row r="218" spans="1:24" s="9" customFormat="1" ht="13.5" customHeight="1" x14ac:dyDescent="0.2">
      <c r="A218" s="64">
        <f t="shared" si="49"/>
        <v>214</v>
      </c>
      <c r="B218" s="147" t="s">
        <v>2587</v>
      </c>
      <c r="C218" s="641">
        <v>39051</v>
      </c>
      <c r="D218" s="175">
        <v>450000</v>
      </c>
      <c r="E218" s="249"/>
      <c r="F218" s="67">
        <f t="shared" si="42"/>
        <v>450000</v>
      </c>
      <c r="G218" s="67">
        <v>449000</v>
      </c>
      <c r="H218" s="67">
        <f t="shared" si="52"/>
        <v>1000</v>
      </c>
      <c r="I218" s="68">
        <v>5</v>
      </c>
      <c r="J218" s="68">
        <v>0.2</v>
      </c>
      <c r="K218" s="68">
        <v>0</v>
      </c>
      <c r="L218" s="110">
        <f t="shared" si="53"/>
        <v>0</v>
      </c>
      <c r="M218" s="67">
        <f t="shared" si="54"/>
        <v>449000</v>
      </c>
      <c r="N218" s="462">
        <f t="shared" si="43"/>
        <v>1000</v>
      </c>
      <c r="O218" s="145" t="s">
        <v>1932</v>
      </c>
      <c r="P218" s="640">
        <v>3</v>
      </c>
      <c r="Q218" s="327"/>
      <c r="R218" s="23"/>
      <c r="S218" s="10">
        <f t="shared" si="44"/>
        <v>22500</v>
      </c>
      <c r="T218" s="10">
        <f t="shared" si="45"/>
        <v>-21500</v>
      </c>
      <c r="U218" s="10">
        <f t="shared" si="55"/>
        <v>0</v>
      </c>
      <c r="V218" s="10">
        <f t="shared" si="46"/>
        <v>90000</v>
      </c>
      <c r="W218" s="10">
        <f t="shared" si="47"/>
        <v>0</v>
      </c>
      <c r="X218" s="10">
        <f t="shared" si="48"/>
        <v>0</v>
      </c>
    </row>
    <row r="219" spans="1:24" s="9" customFormat="1" ht="13.5" customHeight="1" x14ac:dyDescent="0.2">
      <c r="A219" s="64">
        <f t="shared" si="49"/>
        <v>215</v>
      </c>
      <c r="B219" s="147" t="s">
        <v>2588</v>
      </c>
      <c r="C219" s="641">
        <v>39051</v>
      </c>
      <c r="D219" s="175">
        <v>125000</v>
      </c>
      <c r="E219" s="249"/>
      <c r="F219" s="67">
        <f t="shared" si="42"/>
        <v>125000</v>
      </c>
      <c r="G219" s="67">
        <v>124000</v>
      </c>
      <c r="H219" s="67">
        <f t="shared" si="52"/>
        <v>1000</v>
      </c>
      <c r="I219" s="68">
        <v>5</v>
      </c>
      <c r="J219" s="68">
        <v>0.2</v>
      </c>
      <c r="K219" s="68">
        <v>0</v>
      </c>
      <c r="L219" s="110">
        <f t="shared" si="53"/>
        <v>0</v>
      </c>
      <c r="M219" s="67">
        <f t="shared" si="54"/>
        <v>124000</v>
      </c>
      <c r="N219" s="462">
        <f t="shared" si="43"/>
        <v>1000</v>
      </c>
      <c r="O219" s="145" t="s">
        <v>1932</v>
      </c>
      <c r="P219" s="640">
        <v>1</v>
      </c>
      <c r="Q219" s="327"/>
      <c r="R219" s="23"/>
      <c r="S219" s="10">
        <f t="shared" si="44"/>
        <v>6250</v>
      </c>
      <c r="T219" s="10">
        <f t="shared" si="45"/>
        <v>-5250</v>
      </c>
      <c r="U219" s="10">
        <f t="shared" si="55"/>
        <v>0</v>
      </c>
      <c r="V219" s="10">
        <f t="shared" si="46"/>
        <v>25000</v>
      </c>
      <c r="W219" s="10">
        <f t="shared" si="47"/>
        <v>0</v>
      </c>
      <c r="X219" s="10">
        <f t="shared" si="48"/>
        <v>0</v>
      </c>
    </row>
    <row r="220" spans="1:24" s="9" customFormat="1" ht="13.5" customHeight="1" x14ac:dyDescent="0.2">
      <c r="A220" s="64">
        <f t="shared" si="49"/>
        <v>216</v>
      </c>
      <c r="B220" s="147" t="s">
        <v>1864</v>
      </c>
      <c r="C220" s="641">
        <v>39051</v>
      </c>
      <c r="D220" s="175">
        <v>700000</v>
      </c>
      <c r="E220" s="249"/>
      <c r="F220" s="67">
        <f t="shared" si="42"/>
        <v>700000</v>
      </c>
      <c r="G220" s="67">
        <v>699000</v>
      </c>
      <c r="H220" s="67">
        <f t="shared" si="52"/>
        <v>1000</v>
      </c>
      <c r="I220" s="68">
        <v>5</v>
      </c>
      <c r="J220" s="68">
        <v>0.2</v>
      </c>
      <c r="K220" s="68">
        <v>0</v>
      </c>
      <c r="L220" s="110">
        <f t="shared" si="53"/>
        <v>0</v>
      </c>
      <c r="M220" s="67">
        <f t="shared" si="54"/>
        <v>699000</v>
      </c>
      <c r="N220" s="462">
        <f t="shared" si="43"/>
        <v>1000</v>
      </c>
      <c r="O220" s="145" t="s">
        <v>1932</v>
      </c>
      <c r="P220" s="640">
        <v>4</v>
      </c>
      <c r="Q220" s="327"/>
      <c r="R220" s="23"/>
      <c r="S220" s="10">
        <f t="shared" si="44"/>
        <v>35000</v>
      </c>
      <c r="T220" s="10">
        <f t="shared" si="45"/>
        <v>-34000</v>
      </c>
      <c r="U220" s="10">
        <f t="shared" si="55"/>
        <v>0</v>
      </c>
      <c r="V220" s="10">
        <f t="shared" si="46"/>
        <v>140000</v>
      </c>
      <c r="W220" s="10">
        <f t="shared" si="47"/>
        <v>0</v>
      </c>
      <c r="X220" s="10">
        <f t="shared" si="48"/>
        <v>0</v>
      </c>
    </row>
    <row r="221" spans="1:24" s="9" customFormat="1" ht="13.5" customHeight="1" x14ac:dyDescent="0.2">
      <c r="A221" s="64">
        <f t="shared" si="49"/>
        <v>217</v>
      </c>
      <c r="B221" s="147" t="s">
        <v>2543</v>
      </c>
      <c r="C221" s="641">
        <v>39051</v>
      </c>
      <c r="D221" s="175">
        <v>70000</v>
      </c>
      <c r="E221" s="249"/>
      <c r="F221" s="67">
        <f t="shared" si="42"/>
        <v>70000</v>
      </c>
      <c r="G221" s="67">
        <v>69000</v>
      </c>
      <c r="H221" s="67">
        <f t="shared" si="52"/>
        <v>1000</v>
      </c>
      <c r="I221" s="68">
        <v>5</v>
      </c>
      <c r="J221" s="68">
        <v>0.2</v>
      </c>
      <c r="K221" s="68">
        <v>0</v>
      </c>
      <c r="L221" s="110">
        <f t="shared" si="53"/>
        <v>0</v>
      </c>
      <c r="M221" s="67">
        <f t="shared" si="54"/>
        <v>69000</v>
      </c>
      <c r="N221" s="462">
        <f t="shared" si="43"/>
        <v>1000</v>
      </c>
      <c r="O221" s="145" t="s">
        <v>1932</v>
      </c>
      <c r="P221" s="640">
        <v>1</v>
      </c>
      <c r="Q221" s="327"/>
      <c r="R221" s="23"/>
      <c r="S221" s="10">
        <f t="shared" si="44"/>
        <v>3500</v>
      </c>
      <c r="T221" s="10">
        <f t="shared" si="45"/>
        <v>-2500</v>
      </c>
      <c r="U221" s="10">
        <f t="shared" si="55"/>
        <v>0</v>
      </c>
      <c r="V221" s="10">
        <f t="shared" si="46"/>
        <v>14000</v>
      </c>
      <c r="W221" s="10">
        <f t="shared" si="47"/>
        <v>0</v>
      </c>
      <c r="X221" s="10">
        <f t="shared" si="48"/>
        <v>0</v>
      </c>
    </row>
    <row r="222" spans="1:24" s="9" customFormat="1" ht="13.5" customHeight="1" x14ac:dyDescent="0.2">
      <c r="A222" s="64">
        <f t="shared" si="49"/>
        <v>218</v>
      </c>
      <c r="B222" s="147" t="s">
        <v>1873</v>
      </c>
      <c r="C222" s="641">
        <v>39052</v>
      </c>
      <c r="D222" s="175">
        <v>45000</v>
      </c>
      <c r="E222" s="249"/>
      <c r="F222" s="67">
        <f t="shared" si="42"/>
        <v>45000</v>
      </c>
      <c r="G222" s="67">
        <v>44000</v>
      </c>
      <c r="H222" s="67">
        <f t="shared" si="52"/>
        <v>1000</v>
      </c>
      <c r="I222" s="68">
        <v>5</v>
      </c>
      <c r="J222" s="68">
        <v>0.2</v>
      </c>
      <c r="K222" s="68">
        <v>0</v>
      </c>
      <c r="L222" s="110">
        <f t="shared" si="53"/>
        <v>0</v>
      </c>
      <c r="M222" s="67">
        <f t="shared" si="54"/>
        <v>44000</v>
      </c>
      <c r="N222" s="462">
        <f t="shared" si="43"/>
        <v>1000</v>
      </c>
      <c r="O222" s="145" t="s">
        <v>1932</v>
      </c>
      <c r="P222" s="640">
        <v>1</v>
      </c>
      <c r="Q222" s="327"/>
      <c r="R222" s="23"/>
      <c r="S222" s="10">
        <f t="shared" si="44"/>
        <v>2250</v>
      </c>
      <c r="T222" s="10">
        <f t="shared" si="45"/>
        <v>-1250</v>
      </c>
      <c r="U222" s="10">
        <f t="shared" si="55"/>
        <v>0</v>
      </c>
      <c r="V222" s="10">
        <f t="shared" si="46"/>
        <v>9000</v>
      </c>
      <c r="W222" s="10">
        <f t="shared" si="47"/>
        <v>0</v>
      </c>
      <c r="X222" s="10">
        <f t="shared" si="48"/>
        <v>0</v>
      </c>
    </row>
    <row r="223" spans="1:24" s="9" customFormat="1" ht="13.5" customHeight="1" x14ac:dyDescent="0.2">
      <c r="A223" s="64">
        <f t="shared" si="49"/>
        <v>219</v>
      </c>
      <c r="B223" s="147" t="s">
        <v>2584</v>
      </c>
      <c r="C223" s="641">
        <v>39052</v>
      </c>
      <c r="D223" s="175">
        <v>50000</v>
      </c>
      <c r="E223" s="249"/>
      <c r="F223" s="67">
        <f t="shared" si="42"/>
        <v>50000</v>
      </c>
      <c r="G223" s="67">
        <v>49000</v>
      </c>
      <c r="H223" s="67">
        <f t="shared" si="52"/>
        <v>1000</v>
      </c>
      <c r="I223" s="68">
        <v>5</v>
      </c>
      <c r="J223" s="68">
        <v>0.2</v>
      </c>
      <c r="K223" s="68">
        <v>0</v>
      </c>
      <c r="L223" s="110">
        <f t="shared" si="53"/>
        <v>0</v>
      </c>
      <c r="M223" s="67">
        <f t="shared" si="54"/>
        <v>49000</v>
      </c>
      <c r="N223" s="462">
        <f t="shared" si="43"/>
        <v>1000</v>
      </c>
      <c r="O223" s="145" t="s">
        <v>1932</v>
      </c>
      <c r="P223" s="640">
        <v>1</v>
      </c>
      <c r="Q223" s="327"/>
      <c r="R223" s="23"/>
      <c r="S223" s="10">
        <f t="shared" si="44"/>
        <v>2500</v>
      </c>
      <c r="T223" s="10">
        <f t="shared" si="45"/>
        <v>-1500</v>
      </c>
      <c r="U223" s="10">
        <f t="shared" si="55"/>
        <v>0</v>
      </c>
      <c r="V223" s="10">
        <f t="shared" si="46"/>
        <v>10000</v>
      </c>
      <c r="W223" s="10">
        <f t="shared" si="47"/>
        <v>0</v>
      </c>
      <c r="X223" s="10">
        <f t="shared" si="48"/>
        <v>0</v>
      </c>
    </row>
    <row r="224" spans="1:24" s="9" customFormat="1" ht="13.5" customHeight="1" x14ac:dyDescent="0.2">
      <c r="A224" s="64">
        <f t="shared" si="49"/>
        <v>220</v>
      </c>
      <c r="B224" s="147" t="s">
        <v>1877</v>
      </c>
      <c r="C224" s="641">
        <v>39052</v>
      </c>
      <c r="D224" s="175">
        <v>80000</v>
      </c>
      <c r="E224" s="249"/>
      <c r="F224" s="67">
        <f t="shared" si="42"/>
        <v>80000</v>
      </c>
      <c r="G224" s="67">
        <v>79000</v>
      </c>
      <c r="H224" s="67">
        <f t="shared" si="52"/>
        <v>1000</v>
      </c>
      <c r="I224" s="68">
        <v>5</v>
      </c>
      <c r="J224" s="68">
        <v>0.2</v>
      </c>
      <c r="K224" s="68">
        <v>0</v>
      </c>
      <c r="L224" s="110">
        <f t="shared" si="53"/>
        <v>0</v>
      </c>
      <c r="M224" s="67">
        <f t="shared" si="54"/>
        <v>79000</v>
      </c>
      <c r="N224" s="462">
        <f t="shared" si="43"/>
        <v>1000</v>
      </c>
      <c r="O224" s="145" t="s">
        <v>1932</v>
      </c>
      <c r="P224" s="640">
        <v>1</v>
      </c>
      <c r="Q224" s="327"/>
      <c r="R224" s="23"/>
      <c r="S224" s="10">
        <f t="shared" si="44"/>
        <v>4000</v>
      </c>
      <c r="T224" s="10">
        <f t="shared" si="45"/>
        <v>-3000</v>
      </c>
      <c r="U224" s="10">
        <f t="shared" si="55"/>
        <v>0</v>
      </c>
      <c r="V224" s="10">
        <f t="shared" si="46"/>
        <v>16000</v>
      </c>
      <c r="W224" s="10">
        <f t="shared" si="47"/>
        <v>0</v>
      </c>
      <c r="X224" s="10">
        <f t="shared" si="48"/>
        <v>0</v>
      </c>
    </row>
    <row r="225" spans="1:24" s="9" customFormat="1" ht="13.5" customHeight="1" x14ac:dyDescent="0.2">
      <c r="A225" s="292">
        <f t="shared" si="49"/>
        <v>221</v>
      </c>
      <c r="B225" s="642" t="s">
        <v>2557</v>
      </c>
      <c r="C225" s="643">
        <v>39056</v>
      </c>
      <c r="D225" s="310">
        <v>0</v>
      </c>
      <c r="E225" s="644"/>
      <c r="F225" s="295">
        <f t="shared" si="42"/>
        <v>0</v>
      </c>
      <c r="G225" s="295"/>
      <c r="H225" s="295"/>
      <c r="I225" s="296">
        <v>5</v>
      </c>
      <c r="J225" s="296">
        <v>0.2</v>
      </c>
      <c r="K225" s="296">
        <v>0</v>
      </c>
      <c r="L225" s="287"/>
      <c r="M225" s="295"/>
      <c r="N225" s="468">
        <f t="shared" si="43"/>
        <v>0</v>
      </c>
      <c r="O225" s="645" t="s">
        <v>2559</v>
      </c>
      <c r="P225" s="646">
        <v>1</v>
      </c>
      <c r="Q225" s="637"/>
      <c r="R225" s="23"/>
      <c r="S225" s="291">
        <f t="shared" si="44"/>
        <v>0</v>
      </c>
      <c r="T225" s="291">
        <f t="shared" si="45"/>
        <v>0</v>
      </c>
      <c r="U225" s="291"/>
      <c r="V225" s="291">
        <f t="shared" si="46"/>
        <v>0</v>
      </c>
      <c r="W225" s="10">
        <f t="shared" si="47"/>
        <v>0</v>
      </c>
      <c r="X225" s="10">
        <f t="shared" si="48"/>
        <v>0</v>
      </c>
    </row>
    <row r="226" spans="1:24" s="9" customFormat="1" ht="13.5" customHeight="1" x14ac:dyDescent="0.2">
      <c r="A226" s="64">
        <f t="shared" si="49"/>
        <v>222</v>
      </c>
      <c r="B226" s="147" t="s">
        <v>2589</v>
      </c>
      <c r="C226" s="641">
        <v>39127</v>
      </c>
      <c r="D226" s="175">
        <v>400000</v>
      </c>
      <c r="E226" s="249"/>
      <c r="F226" s="67">
        <f t="shared" si="42"/>
        <v>400000</v>
      </c>
      <c r="G226" s="67">
        <v>399000</v>
      </c>
      <c r="H226" s="67">
        <f t="shared" ref="H226:H278" si="56">+F226-G226</f>
        <v>1000</v>
      </c>
      <c r="I226" s="68">
        <v>5</v>
      </c>
      <c r="J226" s="68">
        <v>0.2</v>
      </c>
      <c r="K226" s="68">
        <v>0</v>
      </c>
      <c r="L226" s="110">
        <f t="shared" ref="L226:L278" si="57">ROUND(IF(F226*J226*K226/12&gt;=H226,H226-1000,F226*J226*K226/12),0)</f>
        <v>0</v>
      </c>
      <c r="M226" s="67">
        <f t="shared" ref="M226:M278" si="58">+G226+L226</f>
        <v>399000</v>
      </c>
      <c r="N226" s="462">
        <f t="shared" si="43"/>
        <v>1000</v>
      </c>
      <c r="O226" s="238" t="s">
        <v>2590</v>
      </c>
      <c r="P226" s="640">
        <v>2</v>
      </c>
      <c r="Q226" s="327"/>
      <c r="R226" s="23"/>
      <c r="S226" s="10">
        <f t="shared" si="44"/>
        <v>20000</v>
      </c>
      <c r="T226" s="10">
        <f t="shared" si="45"/>
        <v>-19000</v>
      </c>
      <c r="U226" s="10">
        <f t="shared" ref="U226:U278" si="59">N226-1000</f>
        <v>0</v>
      </c>
      <c r="V226" s="10">
        <f t="shared" si="46"/>
        <v>80000</v>
      </c>
      <c r="W226" s="10">
        <f t="shared" si="47"/>
        <v>0</v>
      </c>
      <c r="X226" s="10">
        <f t="shared" si="48"/>
        <v>0</v>
      </c>
    </row>
    <row r="227" spans="1:24" s="9" customFormat="1" ht="13.5" customHeight="1" x14ac:dyDescent="0.2">
      <c r="A227" s="64">
        <f t="shared" si="49"/>
        <v>223</v>
      </c>
      <c r="B227" s="147" t="s">
        <v>2591</v>
      </c>
      <c r="C227" s="641">
        <v>39127</v>
      </c>
      <c r="D227" s="175">
        <v>220000</v>
      </c>
      <c r="E227" s="249"/>
      <c r="F227" s="67">
        <f t="shared" si="42"/>
        <v>220000</v>
      </c>
      <c r="G227" s="67">
        <v>219000</v>
      </c>
      <c r="H227" s="67">
        <f t="shared" si="56"/>
        <v>1000</v>
      </c>
      <c r="I227" s="68">
        <v>5</v>
      </c>
      <c r="J227" s="68">
        <v>0.2</v>
      </c>
      <c r="K227" s="68">
        <v>0</v>
      </c>
      <c r="L227" s="110">
        <f t="shared" si="57"/>
        <v>0</v>
      </c>
      <c r="M227" s="67">
        <f t="shared" si="58"/>
        <v>219000</v>
      </c>
      <c r="N227" s="462">
        <f t="shared" si="43"/>
        <v>1000</v>
      </c>
      <c r="O227" s="238" t="s">
        <v>2590</v>
      </c>
      <c r="P227" s="640">
        <v>1</v>
      </c>
      <c r="Q227" s="327"/>
      <c r="R227" s="23"/>
      <c r="S227" s="10">
        <f t="shared" si="44"/>
        <v>11000</v>
      </c>
      <c r="T227" s="10">
        <f t="shared" si="45"/>
        <v>-10000</v>
      </c>
      <c r="U227" s="10">
        <f t="shared" si="59"/>
        <v>0</v>
      </c>
      <c r="V227" s="10">
        <f t="shared" si="46"/>
        <v>44000</v>
      </c>
      <c r="W227" s="10">
        <f t="shared" si="47"/>
        <v>0</v>
      </c>
      <c r="X227" s="10">
        <f t="shared" si="48"/>
        <v>0</v>
      </c>
    </row>
    <row r="228" spans="1:24" s="9" customFormat="1" ht="13.5" customHeight="1" x14ac:dyDescent="0.2">
      <c r="A228" s="64">
        <f t="shared" si="49"/>
        <v>224</v>
      </c>
      <c r="B228" s="147" t="s">
        <v>2592</v>
      </c>
      <c r="C228" s="641">
        <v>39137</v>
      </c>
      <c r="D228" s="175">
        <v>380000</v>
      </c>
      <c r="E228" s="249"/>
      <c r="F228" s="67">
        <f t="shared" si="42"/>
        <v>380000</v>
      </c>
      <c r="G228" s="67">
        <v>379000</v>
      </c>
      <c r="H228" s="67">
        <f t="shared" si="56"/>
        <v>1000</v>
      </c>
      <c r="I228" s="68">
        <v>5</v>
      </c>
      <c r="J228" s="68">
        <v>0.2</v>
      </c>
      <c r="K228" s="68">
        <v>0</v>
      </c>
      <c r="L228" s="110">
        <f t="shared" si="57"/>
        <v>0</v>
      </c>
      <c r="M228" s="67">
        <f t="shared" si="58"/>
        <v>379000</v>
      </c>
      <c r="N228" s="462">
        <f t="shared" si="43"/>
        <v>1000</v>
      </c>
      <c r="O228" s="238" t="s">
        <v>2590</v>
      </c>
      <c r="P228" s="640">
        <v>1</v>
      </c>
      <c r="Q228" s="327"/>
      <c r="R228" s="23"/>
      <c r="S228" s="10">
        <f t="shared" si="44"/>
        <v>19000</v>
      </c>
      <c r="T228" s="10">
        <f t="shared" si="45"/>
        <v>-18000</v>
      </c>
      <c r="U228" s="10">
        <f t="shared" si="59"/>
        <v>0</v>
      </c>
      <c r="V228" s="10">
        <f t="shared" si="46"/>
        <v>76000</v>
      </c>
      <c r="W228" s="10">
        <f t="shared" si="47"/>
        <v>0</v>
      </c>
      <c r="X228" s="10">
        <f t="shared" si="48"/>
        <v>0</v>
      </c>
    </row>
    <row r="229" spans="1:24" s="9" customFormat="1" ht="13.5" customHeight="1" x14ac:dyDescent="0.2">
      <c r="A229" s="64">
        <f t="shared" si="49"/>
        <v>225</v>
      </c>
      <c r="B229" s="147" t="s">
        <v>2593</v>
      </c>
      <c r="C229" s="641">
        <v>39150</v>
      </c>
      <c r="D229" s="175">
        <v>160000</v>
      </c>
      <c r="E229" s="249"/>
      <c r="F229" s="67">
        <f t="shared" si="42"/>
        <v>160000</v>
      </c>
      <c r="G229" s="67">
        <v>159000</v>
      </c>
      <c r="H229" s="67">
        <f t="shared" si="56"/>
        <v>1000</v>
      </c>
      <c r="I229" s="68">
        <v>5</v>
      </c>
      <c r="J229" s="68">
        <v>0.2</v>
      </c>
      <c r="K229" s="68">
        <v>0</v>
      </c>
      <c r="L229" s="110">
        <f t="shared" si="57"/>
        <v>0</v>
      </c>
      <c r="M229" s="67">
        <f t="shared" si="58"/>
        <v>159000</v>
      </c>
      <c r="N229" s="462">
        <f t="shared" si="43"/>
        <v>1000</v>
      </c>
      <c r="O229" s="238" t="s">
        <v>1932</v>
      </c>
      <c r="P229" s="640">
        <v>2</v>
      </c>
      <c r="Q229" s="327"/>
      <c r="R229" s="23"/>
      <c r="S229" s="10">
        <f t="shared" si="44"/>
        <v>8000</v>
      </c>
      <c r="T229" s="10">
        <f t="shared" si="45"/>
        <v>-7000</v>
      </c>
      <c r="U229" s="10">
        <f t="shared" si="59"/>
        <v>0</v>
      </c>
      <c r="V229" s="10">
        <f t="shared" si="46"/>
        <v>32000</v>
      </c>
      <c r="W229" s="10">
        <f t="shared" si="47"/>
        <v>0</v>
      </c>
      <c r="X229" s="10">
        <f t="shared" si="48"/>
        <v>0</v>
      </c>
    </row>
    <row r="230" spans="1:24" s="9" customFormat="1" ht="13.5" customHeight="1" x14ac:dyDescent="0.2">
      <c r="A230" s="64">
        <f t="shared" si="49"/>
        <v>226</v>
      </c>
      <c r="B230" s="147" t="s">
        <v>1855</v>
      </c>
      <c r="C230" s="641">
        <v>39150</v>
      </c>
      <c r="D230" s="175">
        <v>80000</v>
      </c>
      <c r="E230" s="249"/>
      <c r="F230" s="67">
        <f t="shared" si="42"/>
        <v>80000</v>
      </c>
      <c r="G230" s="67">
        <v>79000</v>
      </c>
      <c r="H230" s="67">
        <f t="shared" si="56"/>
        <v>1000</v>
      </c>
      <c r="I230" s="68">
        <v>5</v>
      </c>
      <c r="J230" s="68">
        <v>0.2</v>
      </c>
      <c r="K230" s="68">
        <v>0</v>
      </c>
      <c r="L230" s="110">
        <f t="shared" si="57"/>
        <v>0</v>
      </c>
      <c r="M230" s="67">
        <f t="shared" si="58"/>
        <v>79000</v>
      </c>
      <c r="N230" s="462">
        <f t="shared" si="43"/>
        <v>1000</v>
      </c>
      <c r="O230" s="238" t="s">
        <v>1932</v>
      </c>
      <c r="P230" s="640">
        <v>2</v>
      </c>
      <c r="Q230" s="327"/>
      <c r="R230" s="23"/>
      <c r="S230" s="10">
        <f t="shared" si="44"/>
        <v>4000</v>
      </c>
      <c r="T230" s="10">
        <f t="shared" si="45"/>
        <v>-3000</v>
      </c>
      <c r="U230" s="10">
        <f t="shared" si="59"/>
        <v>0</v>
      </c>
      <c r="V230" s="10">
        <f t="shared" si="46"/>
        <v>16000</v>
      </c>
      <c r="W230" s="10">
        <f t="shared" si="47"/>
        <v>0</v>
      </c>
      <c r="X230" s="10">
        <f t="shared" si="48"/>
        <v>0</v>
      </c>
    </row>
    <row r="231" spans="1:24" s="9" customFormat="1" ht="13.5" customHeight="1" x14ac:dyDescent="0.2">
      <c r="A231" s="64">
        <f t="shared" si="49"/>
        <v>227</v>
      </c>
      <c r="B231" s="147" t="s">
        <v>1873</v>
      </c>
      <c r="C231" s="641">
        <v>39150</v>
      </c>
      <c r="D231" s="175">
        <v>90000</v>
      </c>
      <c r="E231" s="249"/>
      <c r="F231" s="67">
        <f t="shared" si="42"/>
        <v>90000</v>
      </c>
      <c r="G231" s="67">
        <v>89000</v>
      </c>
      <c r="H231" s="67">
        <f t="shared" si="56"/>
        <v>1000</v>
      </c>
      <c r="I231" s="68">
        <v>5</v>
      </c>
      <c r="J231" s="68">
        <v>0.2</v>
      </c>
      <c r="K231" s="68">
        <v>0</v>
      </c>
      <c r="L231" s="110">
        <f t="shared" si="57"/>
        <v>0</v>
      </c>
      <c r="M231" s="67">
        <f t="shared" si="58"/>
        <v>89000</v>
      </c>
      <c r="N231" s="462">
        <f t="shared" si="43"/>
        <v>1000</v>
      </c>
      <c r="O231" s="238" t="s">
        <v>1932</v>
      </c>
      <c r="P231" s="640">
        <v>2</v>
      </c>
      <c r="Q231" s="327"/>
      <c r="R231" s="23"/>
      <c r="S231" s="10">
        <f t="shared" si="44"/>
        <v>4500</v>
      </c>
      <c r="T231" s="10">
        <f t="shared" si="45"/>
        <v>-3500</v>
      </c>
      <c r="U231" s="10">
        <f t="shared" si="59"/>
        <v>0</v>
      </c>
      <c r="V231" s="10">
        <f t="shared" si="46"/>
        <v>18000</v>
      </c>
      <c r="W231" s="10">
        <f t="shared" si="47"/>
        <v>0</v>
      </c>
      <c r="X231" s="10">
        <f t="shared" si="48"/>
        <v>0</v>
      </c>
    </row>
    <row r="232" spans="1:24" s="9" customFormat="1" ht="13.5" customHeight="1" x14ac:dyDescent="0.2">
      <c r="A232" s="64">
        <f t="shared" si="49"/>
        <v>228</v>
      </c>
      <c r="B232" s="147" t="s">
        <v>2594</v>
      </c>
      <c r="C232" s="641">
        <v>39150</v>
      </c>
      <c r="D232" s="175">
        <v>70000</v>
      </c>
      <c r="E232" s="249"/>
      <c r="F232" s="67">
        <f t="shared" si="42"/>
        <v>70000</v>
      </c>
      <c r="G232" s="67">
        <v>69000</v>
      </c>
      <c r="H232" s="67">
        <f t="shared" si="56"/>
        <v>1000</v>
      </c>
      <c r="I232" s="68">
        <v>5</v>
      </c>
      <c r="J232" s="68">
        <v>0.2</v>
      </c>
      <c r="K232" s="68">
        <v>0</v>
      </c>
      <c r="L232" s="110">
        <f t="shared" si="57"/>
        <v>0</v>
      </c>
      <c r="M232" s="67">
        <f t="shared" si="58"/>
        <v>69000</v>
      </c>
      <c r="N232" s="462">
        <f t="shared" si="43"/>
        <v>1000</v>
      </c>
      <c r="O232" s="238" t="s">
        <v>1932</v>
      </c>
      <c r="P232" s="640">
        <v>1</v>
      </c>
      <c r="Q232" s="327"/>
      <c r="R232" s="23"/>
      <c r="S232" s="10">
        <f t="shared" si="44"/>
        <v>3500</v>
      </c>
      <c r="T232" s="10">
        <f t="shared" si="45"/>
        <v>-2500</v>
      </c>
      <c r="U232" s="10">
        <f t="shared" si="59"/>
        <v>0</v>
      </c>
      <c r="V232" s="10">
        <f t="shared" si="46"/>
        <v>14000</v>
      </c>
      <c r="W232" s="10">
        <f t="shared" si="47"/>
        <v>0</v>
      </c>
      <c r="X232" s="10">
        <f t="shared" si="48"/>
        <v>0</v>
      </c>
    </row>
    <row r="233" spans="1:24" s="9" customFormat="1" ht="13.5" customHeight="1" x14ac:dyDescent="0.2">
      <c r="A233" s="64">
        <f t="shared" si="49"/>
        <v>229</v>
      </c>
      <c r="B233" s="147" t="s">
        <v>2554</v>
      </c>
      <c r="C233" s="641">
        <v>39163</v>
      </c>
      <c r="D233" s="175">
        <v>945000</v>
      </c>
      <c r="E233" s="249"/>
      <c r="F233" s="67">
        <f t="shared" si="42"/>
        <v>945000</v>
      </c>
      <c r="G233" s="67">
        <v>944000</v>
      </c>
      <c r="H233" s="67">
        <f t="shared" si="56"/>
        <v>1000</v>
      </c>
      <c r="I233" s="68">
        <v>5</v>
      </c>
      <c r="J233" s="68">
        <v>0.2</v>
      </c>
      <c r="K233" s="68">
        <v>0</v>
      </c>
      <c r="L233" s="110">
        <f t="shared" si="57"/>
        <v>0</v>
      </c>
      <c r="M233" s="67">
        <f t="shared" si="58"/>
        <v>944000</v>
      </c>
      <c r="N233" s="462">
        <f t="shared" si="43"/>
        <v>1000</v>
      </c>
      <c r="O233" s="238" t="s">
        <v>1932</v>
      </c>
      <c r="P233" s="640">
        <v>7</v>
      </c>
      <c r="Q233" s="327"/>
      <c r="R233" s="23"/>
      <c r="S233" s="10">
        <f t="shared" si="44"/>
        <v>47250</v>
      </c>
      <c r="T233" s="10">
        <f t="shared" si="45"/>
        <v>-46250</v>
      </c>
      <c r="U233" s="10">
        <f t="shared" si="59"/>
        <v>0</v>
      </c>
      <c r="V233" s="10">
        <f t="shared" si="46"/>
        <v>189000</v>
      </c>
      <c r="W233" s="10">
        <f t="shared" si="47"/>
        <v>0</v>
      </c>
      <c r="X233" s="10">
        <f t="shared" si="48"/>
        <v>0</v>
      </c>
    </row>
    <row r="234" spans="1:24" s="9" customFormat="1" ht="13.5" customHeight="1" x14ac:dyDescent="0.2">
      <c r="A234" s="64">
        <f t="shared" si="49"/>
        <v>230</v>
      </c>
      <c r="B234" s="147" t="s">
        <v>1873</v>
      </c>
      <c r="C234" s="641">
        <v>39163</v>
      </c>
      <c r="D234" s="175">
        <v>48000</v>
      </c>
      <c r="E234" s="249"/>
      <c r="F234" s="67">
        <f t="shared" si="42"/>
        <v>48000</v>
      </c>
      <c r="G234" s="67">
        <v>47000</v>
      </c>
      <c r="H234" s="67">
        <f t="shared" si="56"/>
        <v>1000</v>
      </c>
      <c r="I234" s="68">
        <v>5</v>
      </c>
      <c r="J234" s="68">
        <v>0.2</v>
      </c>
      <c r="K234" s="68">
        <v>0</v>
      </c>
      <c r="L234" s="110">
        <f t="shared" si="57"/>
        <v>0</v>
      </c>
      <c r="M234" s="67">
        <f t="shared" si="58"/>
        <v>47000</v>
      </c>
      <c r="N234" s="462">
        <f t="shared" si="43"/>
        <v>1000</v>
      </c>
      <c r="O234" s="238" t="s">
        <v>1932</v>
      </c>
      <c r="P234" s="640">
        <v>1</v>
      </c>
      <c r="Q234" s="327"/>
      <c r="R234" s="23"/>
      <c r="S234" s="10">
        <f t="shared" si="44"/>
        <v>2400</v>
      </c>
      <c r="T234" s="10">
        <f t="shared" si="45"/>
        <v>-1400</v>
      </c>
      <c r="U234" s="10">
        <f t="shared" si="59"/>
        <v>0</v>
      </c>
      <c r="V234" s="10">
        <f t="shared" si="46"/>
        <v>9600</v>
      </c>
      <c r="W234" s="10">
        <f t="shared" si="47"/>
        <v>0</v>
      </c>
      <c r="X234" s="10">
        <f t="shared" si="48"/>
        <v>0</v>
      </c>
    </row>
    <row r="235" spans="1:24" s="9" customFormat="1" ht="13.5" customHeight="1" x14ac:dyDescent="0.2">
      <c r="A235" s="64">
        <f t="shared" si="49"/>
        <v>231</v>
      </c>
      <c r="B235" s="147" t="s">
        <v>1975</v>
      </c>
      <c r="C235" s="641">
        <v>39168</v>
      </c>
      <c r="D235" s="175">
        <v>200000</v>
      </c>
      <c r="E235" s="249"/>
      <c r="F235" s="67">
        <f t="shared" si="42"/>
        <v>200000</v>
      </c>
      <c r="G235" s="67">
        <v>199000</v>
      </c>
      <c r="H235" s="67">
        <f t="shared" si="56"/>
        <v>1000</v>
      </c>
      <c r="I235" s="68">
        <v>5</v>
      </c>
      <c r="J235" s="68">
        <v>0.2</v>
      </c>
      <c r="K235" s="68">
        <v>0</v>
      </c>
      <c r="L235" s="110">
        <f t="shared" si="57"/>
        <v>0</v>
      </c>
      <c r="M235" s="67">
        <f t="shared" si="58"/>
        <v>199000</v>
      </c>
      <c r="N235" s="462">
        <f t="shared" si="43"/>
        <v>1000</v>
      </c>
      <c r="O235" s="238" t="s">
        <v>2590</v>
      </c>
      <c r="P235" s="640">
        <v>1</v>
      </c>
      <c r="Q235" s="327"/>
      <c r="R235" s="23"/>
      <c r="S235" s="10">
        <f t="shared" si="44"/>
        <v>10000</v>
      </c>
      <c r="T235" s="10">
        <f t="shared" si="45"/>
        <v>-9000</v>
      </c>
      <c r="U235" s="10">
        <f t="shared" si="59"/>
        <v>0</v>
      </c>
      <c r="V235" s="10">
        <f t="shared" si="46"/>
        <v>40000</v>
      </c>
      <c r="W235" s="10">
        <f t="shared" si="47"/>
        <v>0</v>
      </c>
      <c r="X235" s="10">
        <f t="shared" si="48"/>
        <v>0</v>
      </c>
    </row>
    <row r="236" spans="1:24" s="9" customFormat="1" ht="13.5" customHeight="1" x14ac:dyDescent="0.2">
      <c r="A236" s="64">
        <f t="shared" si="49"/>
        <v>232</v>
      </c>
      <c r="B236" s="147" t="s">
        <v>1853</v>
      </c>
      <c r="C236" s="641">
        <v>39190</v>
      </c>
      <c r="D236" s="175">
        <v>633000</v>
      </c>
      <c r="E236" s="249"/>
      <c r="F236" s="67">
        <f t="shared" si="42"/>
        <v>633000</v>
      </c>
      <c r="G236" s="67">
        <v>632000</v>
      </c>
      <c r="H236" s="67">
        <f t="shared" si="56"/>
        <v>1000</v>
      </c>
      <c r="I236" s="68">
        <v>5</v>
      </c>
      <c r="J236" s="68">
        <v>0.2</v>
      </c>
      <c r="K236" s="68">
        <v>0</v>
      </c>
      <c r="L236" s="110">
        <f t="shared" si="57"/>
        <v>0</v>
      </c>
      <c r="M236" s="67">
        <f t="shared" si="58"/>
        <v>632000</v>
      </c>
      <c r="N236" s="462">
        <f t="shared" si="43"/>
        <v>1000</v>
      </c>
      <c r="O236" s="238" t="s">
        <v>2595</v>
      </c>
      <c r="P236" s="640">
        <v>1</v>
      </c>
      <c r="Q236" s="327"/>
      <c r="R236" s="23"/>
      <c r="S236" s="10">
        <f t="shared" si="44"/>
        <v>31650</v>
      </c>
      <c r="T236" s="10">
        <f t="shared" si="45"/>
        <v>-30650</v>
      </c>
      <c r="U236" s="10">
        <f t="shared" si="59"/>
        <v>0</v>
      </c>
      <c r="V236" s="10">
        <f t="shared" si="46"/>
        <v>126600</v>
      </c>
      <c r="W236" s="10">
        <f t="shared" si="47"/>
        <v>0</v>
      </c>
      <c r="X236" s="10">
        <f t="shared" si="48"/>
        <v>0</v>
      </c>
    </row>
    <row r="237" spans="1:24" s="9" customFormat="1" ht="13.5" customHeight="1" x14ac:dyDescent="0.2">
      <c r="A237" s="64">
        <f t="shared" si="49"/>
        <v>233</v>
      </c>
      <c r="B237" s="147" t="s">
        <v>2562</v>
      </c>
      <c r="C237" s="641">
        <v>39202</v>
      </c>
      <c r="D237" s="175">
        <v>80000</v>
      </c>
      <c r="E237" s="249"/>
      <c r="F237" s="67">
        <f t="shared" si="42"/>
        <v>80000</v>
      </c>
      <c r="G237" s="67">
        <v>79000</v>
      </c>
      <c r="H237" s="67">
        <f t="shared" si="56"/>
        <v>1000</v>
      </c>
      <c r="I237" s="68">
        <v>5</v>
      </c>
      <c r="J237" s="68">
        <v>0.2</v>
      </c>
      <c r="K237" s="68">
        <v>0</v>
      </c>
      <c r="L237" s="110">
        <f t="shared" si="57"/>
        <v>0</v>
      </c>
      <c r="M237" s="67">
        <f t="shared" si="58"/>
        <v>79000</v>
      </c>
      <c r="N237" s="462">
        <f t="shared" si="43"/>
        <v>1000</v>
      </c>
      <c r="O237" s="238" t="s">
        <v>1932</v>
      </c>
      <c r="P237" s="640">
        <v>1</v>
      </c>
      <c r="Q237" s="327"/>
      <c r="R237" s="23"/>
      <c r="S237" s="10">
        <f t="shared" si="44"/>
        <v>4000</v>
      </c>
      <c r="T237" s="10">
        <f t="shared" si="45"/>
        <v>-3000</v>
      </c>
      <c r="U237" s="10">
        <f t="shared" si="59"/>
        <v>0</v>
      </c>
      <c r="V237" s="10">
        <f t="shared" si="46"/>
        <v>16000</v>
      </c>
      <c r="W237" s="10">
        <f t="shared" si="47"/>
        <v>0</v>
      </c>
      <c r="X237" s="10">
        <f t="shared" si="48"/>
        <v>0</v>
      </c>
    </row>
    <row r="238" spans="1:24" s="9" customFormat="1" ht="13.5" customHeight="1" x14ac:dyDescent="0.2">
      <c r="A238" s="64">
        <f t="shared" si="49"/>
        <v>234</v>
      </c>
      <c r="B238" s="147" t="s">
        <v>1855</v>
      </c>
      <c r="C238" s="641">
        <v>39202</v>
      </c>
      <c r="D238" s="175">
        <v>40000</v>
      </c>
      <c r="E238" s="249"/>
      <c r="F238" s="67">
        <f t="shared" si="42"/>
        <v>40000</v>
      </c>
      <c r="G238" s="67">
        <v>39000</v>
      </c>
      <c r="H238" s="67">
        <f t="shared" si="56"/>
        <v>1000</v>
      </c>
      <c r="I238" s="68">
        <v>5</v>
      </c>
      <c r="J238" s="68">
        <v>0.2</v>
      </c>
      <c r="K238" s="68">
        <v>0</v>
      </c>
      <c r="L238" s="110">
        <f t="shared" si="57"/>
        <v>0</v>
      </c>
      <c r="M238" s="67">
        <f t="shared" si="58"/>
        <v>39000</v>
      </c>
      <c r="N238" s="462">
        <f t="shared" si="43"/>
        <v>1000</v>
      </c>
      <c r="O238" s="238" t="s">
        <v>1932</v>
      </c>
      <c r="P238" s="640">
        <v>1</v>
      </c>
      <c r="Q238" s="327"/>
      <c r="R238" s="23"/>
      <c r="S238" s="10">
        <f t="shared" si="44"/>
        <v>2000</v>
      </c>
      <c r="T238" s="10">
        <f t="shared" si="45"/>
        <v>-1000</v>
      </c>
      <c r="U238" s="10">
        <f t="shared" si="59"/>
        <v>0</v>
      </c>
      <c r="V238" s="10">
        <f t="shared" si="46"/>
        <v>8000</v>
      </c>
      <c r="W238" s="10">
        <f t="shared" si="47"/>
        <v>0</v>
      </c>
      <c r="X238" s="10">
        <f t="shared" si="48"/>
        <v>0</v>
      </c>
    </row>
    <row r="239" spans="1:24" s="9" customFormat="1" ht="13.5" customHeight="1" x14ac:dyDescent="0.2">
      <c r="A239" s="64">
        <f t="shared" si="49"/>
        <v>235</v>
      </c>
      <c r="B239" s="147" t="s">
        <v>1873</v>
      </c>
      <c r="C239" s="641">
        <v>39202</v>
      </c>
      <c r="D239" s="175">
        <v>45000</v>
      </c>
      <c r="E239" s="249"/>
      <c r="F239" s="67">
        <f t="shared" si="42"/>
        <v>45000</v>
      </c>
      <c r="G239" s="67">
        <v>44000</v>
      </c>
      <c r="H239" s="67">
        <f t="shared" si="56"/>
        <v>1000</v>
      </c>
      <c r="I239" s="68">
        <v>5</v>
      </c>
      <c r="J239" s="68">
        <v>0.2</v>
      </c>
      <c r="K239" s="68">
        <v>0</v>
      </c>
      <c r="L239" s="110">
        <f t="shared" si="57"/>
        <v>0</v>
      </c>
      <c r="M239" s="67">
        <f t="shared" si="58"/>
        <v>44000</v>
      </c>
      <c r="N239" s="462">
        <f t="shared" si="43"/>
        <v>1000</v>
      </c>
      <c r="O239" s="238" t="s">
        <v>1932</v>
      </c>
      <c r="P239" s="640">
        <v>1</v>
      </c>
      <c r="Q239" s="327"/>
      <c r="R239" s="23"/>
      <c r="S239" s="10">
        <f t="shared" si="44"/>
        <v>2250</v>
      </c>
      <c r="T239" s="10">
        <f t="shared" si="45"/>
        <v>-1250</v>
      </c>
      <c r="U239" s="10">
        <f t="shared" si="59"/>
        <v>0</v>
      </c>
      <c r="V239" s="10">
        <f t="shared" si="46"/>
        <v>9000</v>
      </c>
      <c r="W239" s="10">
        <f t="shared" si="47"/>
        <v>0</v>
      </c>
      <c r="X239" s="10">
        <f t="shared" si="48"/>
        <v>0</v>
      </c>
    </row>
    <row r="240" spans="1:24" s="9" customFormat="1" ht="13.5" customHeight="1" x14ac:dyDescent="0.2">
      <c r="A240" s="64">
        <f t="shared" si="49"/>
        <v>236</v>
      </c>
      <c r="B240" s="147" t="s">
        <v>1975</v>
      </c>
      <c r="C240" s="641">
        <v>39213</v>
      </c>
      <c r="D240" s="175">
        <v>150000</v>
      </c>
      <c r="E240" s="249"/>
      <c r="F240" s="67">
        <f t="shared" si="42"/>
        <v>150000</v>
      </c>
      <c r="G240" s="67">
        <v>149000</v>
      </c>
      <c r="H240" s="67">
        <f t="shared" si="56"/>
        <v>1000</v>
      </c>
      <c r="I240" s="68">
        <v>5</v>
      </c>
      <c r="J240" s="68">
        <v>0.2</v>
      </c>
      <c r="K240" s="68">
        <v>0</v>
      </c>
      <c r="L240" s="110">
        <f t="shared" si="57"/>
        <v>0</v>
      </c>
      <c r="M240" s="67">
        <f t="shared" si="58"/>
        <v>149000</v>
      </c>
      <c r="N240" s="462">
        <f t="shared" si="43"/>
        <v>1000</v>
      </c>
      <c r="O240" s="238" t="s">
        <v>2590</v>
      </c>
      <c r="P240" s="640">
        <v>1</v>
      </c>
      <c r="Q240" s="327"/>
      <c r="R240" s="23"/>
      <c r="S240" s="10">
        <f t="shared" si="44"/>
        <v>7500</v>
      </c>
      <c r="T240" s="10">
        <f t="shared" si="45"/>
        <v>-6500</v>
      </c>
      <c r="U240" s="10">
        <f t="shared" si="59"/>
        <v>0</v>
      </c>
      <c r="V240" s="10">
        <f t="shared" si="46"/>
        <v>30000</v>
      </c>
      <c r="W240" s="10">
        <f t="shared" si="47"/>
        <v>0</v>
      </c>
      <c r="X240" s="10">
        <f t="shared" si="48"/>
        <v>0</v>
      </c>
    </row>
    <row r="241" spans="1:24" s="9" customFormat="1" ht="13.5" customHeight="1" x14ac:dyDescent="0.2">
      <c r="A241" s="64">
        <f t="shared" si="49"/>
        <v>237</v>
      </c>
      <c r="B241" s="147" t="s">
        <v>2596</v>
      </c>
      <c r="C241" s="641">
        <v>39231</v>
      </c>
      <c r="D241" s="175">
        <v>270000</v>
      </c>
      <c r="E241" s="249"/>
      <c r="F241" s="67">
        <f t="shared" si="42"/>
        <v>270000</v>
      </c>
      <c r="G241" s="67">
        <v>269000</v>
      </c>
      <c r="H241" s="67">
        <f t="shared" si="56"/>
        <v>1000</v>
      </c>
      <c r="I241" s="68">
        <v>5</v>
      </c>
      <c r="J241" s="68">
        <v>0.2</v>
      </c>
      <c r="K241" s="68">
        <v>0</v>
      </c>
      <c r="L241" s="110">
        <f t="shared" si="57"/>
        <v>0</v>
      </c>
      <c r="M241" s="67">
        <f t="shared" si="58"/>
        <v>269000</v>
      </c>
      <c r="N241" s="462">
        <f t="shared" si="43"/>
        <v>1000</v>
      </c>
      <c r="O241" s="238" t="s">
        <v>1932</v>
      </c>
      <c r="P241" s="640">
        <v>2</v>
      </c>
      <c r="Q241" s="327"/>
      <c r="R241" s="23"/>
      <c r="S241" s="10">
        <f t="shared" si="44"/>
        <v>13500</v>
      </c>
      <c r="T241" s="10">
        <f t="shared" si="45"/>
        <v>-12500</v>
      </c>
      <c r="U241" s="10">
        <f t="shared" si="59"/>
        <v>0</v>
      </c>
      <c r="V241" s="10">
        <f t="shared" si="46"/>
        <v>54000</v>
      </c>
      <c r="W241" s="10">
        <f t="shared" si="47"/>
        <v>0</v>
      </c>
      <c r="X241" s="10">
        <f t="shared" si="48"/>
        <v>0</v>
      </c>
    </row>
    <row r="242" spans="1:24" s="9" customFormat="1" ht="13.5" customHeight="1" x14ac:dyDescent="0.2">
      <c r="A242" s="107">
        <f t="shared" si="49"/>
        <v>238</v>
      </c>
      <c r="B242" s="143" t="s">
        <v>1846</v>
      </c>
      <c r="C242" s="648">
        <v>39241</v>
      </c>
      <c r="D242" s="372">
        <v>817273</v>
      </c>
      <c r="E242" s="649"/>
      <c r="F242" s="73">
        <f t="shared" si="42"/>
        <v>817273</v>
      </c>
      <c r="G242" s="73">
        <v>816273</v>
      </c>
      <c r="H242" s="73">
        <f t="shared" si="56"/>
        <v>1000</v>
      </c>
      <c r="I242" s="74">
        <v>5</v>
      </c>
      <c r="J242" s="74">
        <v>0.2</v>
      </c>
      <c r="K242" s="68">
        <v>0</v>
      </c>
      <c r="L242" s="110">
        <f t="shared" si="57"/>
        <v>0</v>
      </c>
      <c r="M242" s="73">
        <f t="shared" si="58"/>
        <v>816273</v>
      </c>
      <c r="N242" s="484">
        <f t="shared" si="43"/>
        <v>1000</v>
      </c>
      <c r="O242" s="650" t="s">
        <v>2597</v>
      </c>
      <c r="P242" s="651">
        <v>1</v>
      </c>
      <c r="Q242" s="327"/>
      <c r="R242" s="23"/>
      <c r="S242" s="10">
        <f t="shared" si="44"/>
        <v>40863.65</v>
      </c>
      <c r="T242" s="10">
        <f t="shared" si="45"/>
        <v>-39863.65</v>
      </c>
      <c r="U242" s="10">
        <f t="shared" si="59"/>
        <v>0</v>
      </c>
      <c r="V242" s="10">
        <f t="shared" si="46"/>
        <v>163454.6</v>
      </c>
      <c r="W242" s="10">
        <f t="shared" si="47"/>
        <v>0</v>
      </c>
      <c r="X242" s="10">
        <f t="shared" si="48"/>
        <v>0</v>
      </c>
    </row>
    <row r="243" spans="1:24" s="9" customFormat="1" ht="13.5" customHeight="1" x14ac:dyDescent="0.2">
      <c r="A243" s="107">
        <f t="shared" si="49"/>
        <v>239</v>
      </c>
      <c r="B243" s="147" t="s">
        <v>1846</v>
      </c>
      <c r="C243" s="641">
        <v>39303</v>
      </c>
      <c r="D243" s="175">
        <v>954545</v>
      </c>
      <c r="E243" s="249"/>
      <c r="F243" s="67">
        <f t="shared" si="42"/>
        <v>954545</v>
      </c>
      <c r="G243" s="67">
        <v>953545</v>
      </c>
      <c r="H243" s="67">
        <f t="shared" si="56"/>
        <v>1000</v>
      </c>
      <c r="I243" s="74">
        <v>5</v>
      </c>
      <c r="J243" s="74">
        <v>0.2</v>
      </c>
      <c r="K243" s="68">
        <v>0</v>
      </c>
      <c r="L243" s="110">
        <f t="shared" si="57"/>
        <v>0</v>
      </c>
      <c r="M243" s="67">
        <f t="shared" si="58"/>
        <v>953545</v>
      </c>
      <c r="N243" s="462">
        <f t="shared" si="43"/>
        <v>1000</v>
      </c>
      <c r="O243" s="145" t="s">
        <v>2598</v>
      </c>
      <c r="P243" s="640">
        <v>1</v>
      </c>
      <c r="Q243" s="652"/>
      <c r="R243" s="23"/>
      <c r="S243" s="10">
        <f t="shared" si="44"/>
        <v>47727.25</v>
      </c>
      <c r="T243" s="10">
        <f t="shared" si="45"/>
        <v>-46727.25</v>
      </c>
      <c r="U243" s="10">
        <f t="shared" si="59"/>
        <v>0</v>
      </c>
      <c r="V243" s="10">
        <f t="shared" si="46"/>
        <v>190909</v>
      </c>
      <c r="W243" s="10">
        <f t="shared" si="47"/>
        <v>0</v>
      </c>
      <c r="X243" s="10">
        <f t="shared" si="48"/>
        <v>0</v>
      </c>
    </row>
    <row r="244" spans="1:24" s="9" customFormat="1" ht="13.5" customHeight="1" x14ac:dyDescent="0.2">
      <c r="A244" s="107">
        <f t="shared" si="49"/>
        <v>240</v>
      </c>
      <c r="B244" s="147" t="s">
        <v>1975</v>
      </c>
      <c r="C244" s="641">
        <v>39310</v>
      </c>
      <c r="D244" s="175">
        <v>310000</v>
      </c>
      <c r="E244" s="249"/>
      <c r="F244" s="67">
        <f t="shared" si="42"/>
        <v>310000</v>
      </c>
      <c r="G244" s="67">
        <v>309000</v>
      </c>
      <c r="H244" s="67">
        <f t="shared" si="56"/>
        <v>1000</v>
      </c>
      <c r="I244" s="74">
        <v>5</v>
      </c>
      <c r="J244" s="74">
        <v>0.2</v>
      </c>
      <c r="K244" s="68">
        <v>0</v>
      </c>
      <c r="L244" s="110">
        <f t="shared" si="57"/>
        <v>0</v>
      </c>
      <c r="M244" s="67">
        <f t="shared" si="58"/>
        <v>309000</v>
      </c>
      <c r="N244" s="462">
        <f t="shared" si="43"/>
        <v>1000</v>
      </c>
      <c r="O244" s="238" t="s">
        <v>2590</v>
      </c>
      <c r="P244" s="640">
        <v>1</v>
      </c>
      <c r="Q244" s="652"/>
      <c r="R244" s="23"/>
      <c r="S244" s="10">
        <f t="shared" si="44"/>
        <v>15500</v>
      </c>
      <c r="T244" s="10">
        <f t="shared" si="45"/>
        <v>-14500</v>
      </c>
      <c r="U244" s="10">
        <f t="shared" si="59"/>
        <v>0</v>
      </c>
      <c r="V244" s="10">
        <f t="shared" si="46"/>
        <v>62000</v>
      </c>
      <c r="W244" s="10">
        <f t="shared" si="47"/>
        <v>0</v>
      </c>
      <c r="X244" s="10">
        <f t="shared" si="48"/>
        <v>0</v>
      </c>
    </row>
    <row r="245" spans="1:24" s="9" customFormat="1" ht="13.5" customHeight="1" x14ac:dyDescent="0.2">
      <c r="A245" s="107">
        <f t="shared" si="49"/>
        <v>241</v>
      </c>
      <c r="B245" s="147" t="s">
        <v>2599</v>
      </c>
      <c r="C245" s="641">
        <v>39310</v>
      </c>
      <c r="D245" s="175">
        <v>310000</v>
      </c>
      <c r="E245" s="249"/>
      <c r="F245" s="67">
        <f t="shared" si="42"/>
        <v>310000</v>
      </c>
      <c r="G245" s="67">
        <v>309000</v>
      </c>
      <c r="H245" s="67">
        <f t="shared" si="56"/>
        <v>1000</v>
      </c>
      <c r="I245" s="74">
        <v>5</v>
      </c>
      <c r="J245" s="74">
        <v>0.2</v>
      </c>
      <c r="K245" s="68">
        <v>0</v>
      </c>
      <c r="L245" s="110">
        <f t="shared" si="57"/>
        <v>0</v>
      </c>
      <c r="M245" s="67">
        <f t="shared" si="58"/>
        <v>309000</v>
      </c>
      <c r="N245" s="462">
        <f t="shared" si="43"/>
        <v>1000</v>
      </c>
      <c r="O245" s="238" t="s">
        <v>2590</v>
      </c>
      <c r="P245" s="640">
        <v>2</v>
      </c>
      <c r="Q245" s="652"/>
      <c r="R245" s="23"/>
      <c r="S245" s="10">
        <f t="shared" si="44"/>
        <v>15500</v>
      </c>
      <c r="T245" s="10">
        <f t="shared" si="45"/>
        <v>-14500</v>
      </c>
      <c r="U245" s="10">
        <f t="shared" si="59"/>
        <v>0</v>
      </c>
      <c r="V245" s="10">
        <f t="shared" si="46"/>
        <v>62000</v>
      </c>
      <c r="W245" s="10">
        <f t="shared" si="47"/>
        <v>0</v>
      </c>
      <c r="X245" s="10">
        <f t="shared" si="48"/>
        <v>0</v>
      </c>
    </row>
    <row r="246" spans="1:24" s="9" customFormat="1" ht="13.5" customHeight="1" x14ac:dyDescent="0.2">
      <c r="A246" s="107">
        <f t="shared" si="49"/>
        <v>242</v>
      </c>
      <c r="B246" s="147" t="s">
        <v>2554</v>
      </c>
      <c r="C246" s="641">
        <v>39340</v>
      </c>
      <c r="D246" s="175">
        <v>270000</v>
      </c>
      <c r="E246" s="249"/>
      <c r="F246" s="67">
        <f t="shared" si="42"/>
        <v>270000</v>
      </c>
      <c r="G246" s="67">
        <v>269000</v>
      </c>
      <c r="H246" s="67">
        <f t="shared" si="56"/>
        <v>1000</v>
      </c>
      <c r="I246" s="74">
        <v>5</v>
      </c>
      <c r="J246" s="74">
        <v>0.2</v>
      </c>
      <c r="K246" s="68">
        <v>0</v>
      </c>
      <c r="L246" s="110">
        <f t="shared" si="57"/>
        <v>0</v>
      </c>
      <c r="M246" s="67">
        <f t="shared" si="58"/>
        <v>269000</v>
      </c>
      <c r="N246" s="462">
        <f t="shared" si="43"/>
        <v>1000</v>
      </c>
      <c r="O246" s="238" t="s">
        <v>1932</v>
      </c>
      <c r="P246" s="640">
        <v>2</v>
      </c>
      <c r="Q246" s="652"/>
      <c r="R246" s="23"/>
      <c r="S246" s="10">
        <f t="shared" si="44"/>
        <v>13500</v>
      </c>
      <c r="T246" s="10">
        <f t="shared" si="45"/>
        <v>-12500</v>
      </c>
      <c r="U246" s="10">
        <f t="shared" si="59"/>
        <v>0</v>
      </c>
      <c r="V246" s="10">
        <f t="shared" si="46"/>
        <v>54000</v>
      </c>
      <c r="W246" s="10">
        <f t="shared" si="47"/>
        <v>0</v>
      </c>
      <c r="X246" s="10">
        <f t="shared" si="48"/>
        <v>0</v>
      </c>
    </row>
    <row r="247" spans="1:24" s="9" customFormat="1" ht="13.5" customHeight="1" x14ac:dyDescent="0.2">
      <c r="A247" s="107">
        <f t="shared" si="49"/>
        <v>243</v>
      </c>
      <c r="B247" s="147" t="s">
        <v>1873</v>
      </c>
      <c r="C247" s="641">
        <v>39340</v>
      </c>
      <c r="D247" s="175">
        <v>152000</v>
      </c>
      <c r="E247" s="249"/>
      <c r="F247" s="67">
        <f t="shared" si="42"/>
        <v>152000</v>
      </c>
      <c r="G247" s="67">
        <v>151000</v>
      </c>
      <c r="H247" s="67">
        <f t="shared" si="56"/>
        <v>1000</v>
      </c>
      <c r="I247" s="74">
        <v>5</v>
      </c>
      <c r="J247" s="74">
        <v>0.2</v>
      </c>
      <c r="K247" s="68">
        <v>0</v>
      </c>
      <c r="L247" s="110">
        <f t="shared" si="57"/>
        <v>0</v>
      </c>
      <c r="M247" s="67">
        <f t="shared" si="58"/>
        <v>151000</v>
      </c>
      <c r="N247" s="462">
        <f t="shared" si="43"/>
        <v>1000</v>
      </c>
      <c r="O247" s="238" t="s">
        <v>1932</v>
      </c>
      <c r="P247" s="640">
        <v>4</v>
      </c>
      <c r="Q247" s="652"/>
      <c r="R247" s="23"/>
      <c r="S247" s="10">
        <f t="shared" si="44"/>
        <v>7600</v>
      </c>
      <c r="T247" s="10">
        <f t="shared" si="45"/>
        <v>-6600</v>
      </c>
      <c r="U247" s="10">
        <f t="shared" si="59"/>
        <v>0</v>
      </c>
      <c r="V247" s="10">
        <f t="shared" si="46"/>
        <v>30400</v>
      </c>
      <c r="W247" s="10">
        <f t="shared" si="47"/>
        <v>0</v>
      </c>
      <c r="X247" s="10">
        <f t="shared" si="48"/>
        <v>0</v>
      </c>
    </row>
    <row r="248" spans="1:24" s="9" customFormat="1" ht="13.5" customHeight="1" x14ac:dyDescent="0.2">
      <c r="A248" s="107">
        <f t="shared" si="49"/>
        <v>244</v>
      </c>
      <c r="B248" s="147" t="s">
        <v>1975</v>
      </c>
      <c r="C248" s="641">
        <v>39345</v>
      </c>
      <c r="D248" s="175">
        <v>140000</v>
      </c>
      <c r="E248" s="249"/>
      <c r="F248" s="67">
        <f t="shared" si="42"/>
        <v>140000</v>
      </c>
      <c r="G248" s="67">
        <v>139000</v>
      </c>
      <c r="H248" s="67">
        <f t="shared" si="56"/>
        <v>1000</v>
      </c>
      <c r="I248" s="74">
        <v>5</v>
      </c>
      <c r="J248" s="74">
        <v>0.2</v>
      </c>
      <c r="K248" s="68">
        <v>0</v>
      </c>
      <c r="L248" s="110">
        <f t="shared" si="57"/>
        <v>0</v>
      </c>
      <c r="M248" s="67">
        <f t="shared" si="58"/>
        <v>139000</v>
      </c>
      <c r="N248" s="462">
        <f t="shared" si="43"/>
        <v>1000</v>
      </c>
      <c r="O248" s="238" t="s">
        <v>2590</v>
      </c>
      <c r="P248" s="640">
        <v>1</v>
      </c>
      <c r="Q248" s="652"/>
      <c r="R248" s="23"/>
      <c r="S248" s="10">
        <f t="shared" si="44"/>
        <v>7000</v>
      </c>
      <c r="T248" s="10">
        <f t="shared" si="45"/>
        <v>-6000</v>
      </c>
      <c r="U248" s="10">
        <f t="shared" si="59"/>
        <v>0</v>
      </c>
      <c r="V248" s="10">
        <f t="shared" si="46"/>
        <v>28000</v>
      </c>
      <c r="W248" s="10">
        <f t="shared" si="47"/>
        <v>0</v>
      </c>
      <c r="X248" s="10">
        <f t="shared" si="48"/>
        <v>0</v>
      </c>
    </row>
    <row r="249" spans="1:24" s="9" customFormat="1" ht="13.5" customHeight="1" x14ac:dyDescent="0.2">
      <c r="A249" s="107">
        <f t="shared" si="49"/>
        <v>245</v>
      </c>
      <c r="B249" s="653" t="s">
        <v>2600</v>
      </c>
      <c r="C249" s="654">
        <v>39345</v>
      </c>
      <c r="D249" s="383">
        <v>440000</v>
      </c>
      <c r="E249" s="655"/>
      <c r="F249" s="91">
        <f t="shared" si="42"/>
        <v>440000</v>
      </c>
      <c r="G249" s="91">
        <v>439000</v>
      </c>
      <c r="H249" s="91">
        <f t="shared" si="56"/>
        <v>1000</v>
      </c>
      <c r="I249" s="74">
        <v>5</v>
      </c>
      <c r="J249" s="74">
        <v>0.2</v>
      </c>
      <c r="K249" s="68">
        <v>0</v>
      </c>
      <c r="L249" s="110">
        <f t="shared" si="57"/>
        <v>0</v>
      </c>
      <c r="M249" s="91">
        <f t="shared" si="58"/>
        <v>439000</v>
      </c>
      <c r="N249" s="512">
        <f t="shared" si="43"/>
        <v>1000</v>
      </c>
      <c r="O249" s="650" t="s">
        <v>2590</v>
      </c>
      <c r="P249" s="656">
        <v>2</v>
      </c>
      <c r="Q249" s="652"/>
      <c r="R249" s="23"/>
      <c r="S249" s="10">
        <f t="shared" si="44"/>
        <v>22000</v>
      </c>
      <c r="T249" s="10">
        <f t="shared" si="45"/>
        <v>-21000</v>
      </c>
      <c r="U249" s="10">
        <f t="shared" si="59"/>
        <v>0</v>
      </c>
      <c r="V249" s="10">
        <f t="shared" si="46"/>
        <v>88000</v>
      </c>
      <c r="W249" s="10">
        <f t="shared" si="47"/>
        <v>0</v>
      </c>
      <c r="X249" s="10">
        <f t="shared" si="48"/>
        <v>0</v>
      </c>
    </row>
    <row r="250" spans="1:24" s="9" customFormat="1" ht="13.5" customHeight="1" x14ac:dyDescent="0.2">
      <c r="A250" s="64">
        <f t="shared" si="49"/>
        <v>246</v>
      </c>
      <c r="B250" s="147" t="s">
        <v>1840</v>
      </c>
      <c r="C250" s="641">
        <v>39370</v>
      </c>
      <c r="D250" s="175">
        <v>1500000</v>
      </c>
      <c r="E250" s="249"/>
      <c r="F250" s="67">
        <f t="shared" si="42"/>
        <v>1500000</v>
      </c>
      <c r="G250" s="67">
        <v>1499000</v>
      </c>
      <c r="H250" s="67">
        <f t="shared" si="56"/>
        <v>1000</v>
      </c>
      <c r="I250" s="74">
        <v>5</v>
      </c>
      <c r="J250" s="74">
        <v>0.2</v>
      </c>
      <c r="K250" s="68">
        <v>0</v>
      </c>
      <c r="L250" s="110">
        <f t="shared" si="57"/>
        <v>0</v>
      </c>
      <c r="M250" s="67">
        <f t="shared" si="58"/>
        <v>1499000</v>
      </c>
      <c r="N250" s="462">
        <f t="shared" si="43"/>
        <v>1000</v>
      </c>
      <c r="O250" s="238" t="s">
        <v>2598</v>
      </c>
      <c r="P250" s="640">
        <v>1</v>
      </c>
      <c r="Q250" s="327"/>
      <c r="R250" s="23"/>
      <c r="S250" s="10">
        <f t="shared" si="44"/>
        <v>75000</v>
      </c>
      <c r="T250" s="10">
        <f t="shared" si="45"/>
        <v>-74000</v>
      </c>
      <c r="U250" s="10">
        <f t="shared" si="59"/>
        <v>0</v>
      </c>
      <c r="V250" s="10">
        <f t="shared" si="46"/>
        <v>300000</v>
      </c>
      <c r="W250" s="10">
        <f t="shared" si="47"/>
        <v>0</v>
      </c>
      <c r="X250" s="10">
        <f t="shared" si="48"/>
        <v>0</v>
      </c>
    </row>
    <row r="251" spans="1:24" s="9" customFormat="1" ht="13.5" customHeight="1" x14ac:dyDescent="0.2">
      <c r="A251" s="64">
        <f t="shared" si="49"/>
        <v>247</v>
      </c>
      <c r="B251" s="147" t="s">
        <v>2562</v>
      </c>
      <c r="C251" s="641">
        <v>39380</v>
      </c>
      <c r="D251" s="175">
        <v>240000</v>
      </c>
      <c r="E251" s="249"/>
      <c r="F251" s="67">
        <f t="shared" si="42"/>
        <v>240000</v>
      </c>
      <c r="G251" s="67">
        <v>239000</v>
      </c>
      <c r="H251" s="67">
        <f t="shared" si="56"/>
        <v>1000</v>
      </c>
      <c r="I251" s="74">
        <v>5</v>
      </c>
      <c r="J251" s="74">
        <v>0.2</v>
      </c>
      <c r="K251" s="68">
        <v>0</v>
      </c>
      <c r="L251" s="110">
        <f t="shared" si="57"/>
        <v>0</v>
      </c>
      <c r="M251" s="67">
        <f t="shared" si="58"/>
        <v>239000</v>
      </c>
      <c r="N251" s="462">
        <f t="shared" si="43"/>
        <v>1000</v>
      </c>
      <c r="O251" s="238" t="s">
        <v>1932</v>
      </c>
      <c r="P251" s="640">
        <v>3</v>
      </c>
      <c r="Q251" s="327"/>
      <c r="R251" s="23"/>
      <c r="S251" s="10">
        <f t="shared" si="44"/>
        <v>12000</v>
      </c>
      <c r="T251" s="10">
        <f t="shared" si="45"/>
        <v>-11000</v>
      </c>
      <c r="U251" s="10">
        <f t="shared" si="59"/>
        <v>0</v>
      </c>
      <c r="V251" s="10">
        <f t="shared" si="46"/>
        <v>48000</v>
      </c>
      <c r="W251" s="10">
        <f t="shared" si="47"/>
        <v>0</v>
      </c>
      <c r="X251" s="10">
        <f t="shared" si="48"/>
        <v>0</v>
      </c>
    </row>
    <row r="252" spans="1:24" s="9" customFormat="1" ht="13.5" customHeight="1" x14ac:dyDescent="0.2">
      <c r="A252" s="64">
        <f t="shared" si="49"/>
        <v>248</v>
      </c>
      <c r="B252" s="147" t="s">
        <v>1855</v>
      </c>
      <c r="C252" s="641">
        <v>39380</v>
      </c>
      <c r="D252" s="175">
        <v>120000</v>
      </c>
      <c r="E252" s="249"/>
      <c r="F252" s="67">
        <f t="shared" si="42"/>
        <v>120000</v>
      </c>
      <c r="G252" s="67">
        <v>119000</v>
      </c>
      <c r="H252" s="67">
        <f t="shared" si="56"/>
        <v>1000</v>
      </c>
      <c r="I252" s="74">
        <v>5</v>
      </c>
      <c r="J252" s="74">
        <v>0.2</v>
      </c>
      <c r="K252" s="68">
        <v>0</v>
      </c>
      <c r="L252" s="110">
        <f t="shared" si="57"/>
        <v>0</v>
      </c>
      <c r="M252" s="67">
        <f t="shared" si="58"/>
        <v>119000</v>
      </c>
      <c r="N252" s="462">
        <f t="shared" si="43"/>
        <v>1000</v>
      </c>
      <c r="O252" s="238" t="s">
        <v>1932</v>
      </c>
      <c r="P252" s="640">
        <v>3</v>
      </c>
      <c r="Q252" s="327"/>
      <c r="R252" s="23"/>
      <c r="S252" s="10">
        <f t="shared" si="44"/>
        <v>6000</v>
      </c>
      <c r="T252" s="10">
        <f t="shared" si="45"/>
        <v>-5000</v>
      </c>
      <c r="U252" s="10">
        <f t="shared" si="59"/>
        <v>0</v>
      </c>
      <c r="V252" s="10">
        <f t="shared" si="46"/>
        <v>24000</v>
      </c>
      <c r="W252" s="10">
        <f t="shared" si="47"/>
        <v>0</v>
      </c>
      <c r="X252" s="10">
        <f t="shared" si="48"/>
        <v>0</v>
      </c>
    </row>
    <row r="253" spans="1:24" s="9" customFormat="1" ht="13.5" customHeight="1" x14ac:dyDescent="0.2">
      <c r="A253" s="64">
        <f t="shared" si="49"/>
        <v>249</v>
      </c>
      <c r="B253" s="147" t="s">
        <v>1873</v>
      </c>
      <c r="C253" s="641">
        <v>39380</v>
      </c>
      <c r="D253" s="175">
        <v>135000</v>
      </c>
      <c r="E253" s="249"/>
      <c r="F253" s="67">
        <f t="shared" si="42"/>
        <v>135000</v>
      </c>
      <c r="G253" s="67">
        <v>134000</v>
      </c>
      <c r="H253" s="67">
        <f t="shared" si="56"/>
        <v>1000</v>
      </c>
      <c r="I253" s="74">
        <v>5</v>
      </c>
      <c r="J253" s="74">
        <v>0.2</v>
      </c>
      <c r="K253" s="68">
        <v>0</v>
      </c>
      <c r="L253" s="110">
        <f t="shared" si="57"/>
        <v>0</v>
      </c>
      <c r="M253" s="67">
        <f t="shared" si="58"/>
        <v>134000</v>
      </c>
      <c r="N253" s="462">
        <f t="shared" si="43"/>
        <v>1000</v>
      </c>
      <c r="O253" s="238" t="s">
        <v>1932</v>
      </c>
      <c r="P253" s="640">
        <v>3</v>
      </c>
      <c r="Q253" s="327"/>
      <c r="R253" s="23"/>
      <c r="S253" s="10">
        <f t="shared" si="44"/>
        <v>6750</v>
      </c>
      <c r="T253" s="10">
        <f t="shared" si="45"/>
        <v>-5750</v>
      </c>
      <c r="U253" s="10">
        <f t="shared" si="59"/>
        <v>0</v>
      </c>
      <c r="V253" s="10">
        <f t="shared" si="46"/>
        <v>27000</v>
      </c>
      <c r="W253" s="10">
        <f t="shared" si="47"/>
        <v>0</v>
      </c>
      <c r="X253" s="10">
        <f t="shared" si="48"/>
        <v>0</v>
      </c>
    </row>
    <row r="254" spans="1:24" s="9" customFormat="1" ht="13.5" customHeight="1" x14ac:dyDescent="0.2">
      <c r="A254" s="64">
        <f t="shared" si="49"/>
        <v>250</v>
      </c>
      <c r="B254" s="147" t="s">
        <v>2562</v>
      </c>
      <c r="C254" s="641">
        <v>39394</v>
      </c>
      <c r="D254" s="175">
        <v>100000</v>
      </c>
      <c r="E254" s="249"/>
      <c r="F254" s="67">
        <f t="shared" si="42"/>
        <v>100000</v>
      </c>
      <c r="G254" s="67">
        <v>99000</v>
      </c>
      <c r="H254" s="67">
        <f t="shared" si="56"/>
        <v>1000</v>
      </c>
      <c r="I254" s="74">
        <v>5</v>
      </c>
      <c r="J254" s="74">
        <v>0.2</v>
      </c>
      <c r="K254" s="68">
        <v>0</v>
      </c>
      <c r="L254" s="110">
        <f t="shared" si="57"/>
        <v>0</v>
      </c>
      <c r="M254" s="67">
        <f t="shared" si="58"/>
        <v>99000</v>
      </c>
      <c r="N254" s="462">
        <f t="shared" si="43"/>
        <v>1000</v>
      </c>
      <c r="O254" s="238" t="s">
        <v>1932</v>
      </c>
      <c r="P254" s="640">
        <v>1</v>
      </c>
      <c r="Q254" s="327"/>
      <c r="R254" s="23"/>
      <c r="S254" s="10">
        <f t="shared" si="44"/>
        <v>5000</v>
      </c>
      <c r="T254" s="10">
        <f t="shared" si="45"/>
        <v>-4000</v>
      </c>
      <c r="U254" s="10">
        <f t="shared" si="59"/>
        <v>0</v>
      </c>
      <c r="V254" s="10">
        <f t="shared" si="46"/>
        <v>20000</v>
      </c>
      <c r="W254" s="10">
        <f t="shared" si="47"/>
        <v>0</v>
      </c>
      <c r="X254" s="10">
        <f t="shared" si="48"/>
        <v>0</v>
      </c>
    </row>
    <row r="255" spans="1:24" s="9" customFormat="1" ht="13.5" customHeight="1" x14ac:dyDescent="0.2">
      <c r="A255" s="64">
        <f t="shared" si="49"/>
        <v>251</v>
      </c>
      <c r="B255" s="147" t="s">
        <v>1855</v>
      </c>
      <c r="C255" s="641">
        <v>39394</v>
      </c>
      <c r="D255" s="175">
        <v>40000</v>
      </c>
      <c r="E255" s="249"/>
      <c r="F255" s="67">
        <f t="shared" si="42"/>
        <v>40000</v>
      </c>
      <c r="G255" s="67">
        <v>39000</v>
      </c>
      <c r="H255" s="67">
        <f t="shared" si="56"/>
        <v>1000</v>
      </c>
      <c r="I255" s="74">
        <v>5</v>
      </c>
      <c r="J255" s="74">
        <v>0.2</v>
      </c>
      <c r="K255" s="68">
        <v>0</v>
      </c>
      <c r="L255" s="110">
        <f t="shared" si="57"/>
        <v>0</v>
      </c>
      <c r="M255" s="67">
        <f t="shared" si="58"/>
        <v>39000</v>
      </c>
      <c r="N255" s="462">
        <f t="shared" si="43"/>
        <v>1000</v>
      </c>
      <c r="O255" s="238" t="s">
        <v>1932</v>
      </c>
      <c r="P255" s="640">
        <v>1</v>
      </c>
      <c r="Q255" s="327"/>
      <c r="R255" s="23"/>
      <c r="S255" s="10">
        <f t="shared" si="44"/>
        <v>2000</v>
      </c>
      <c r="T255" s="10">
        <f t="shared" si="45"/>
        <v>-1000</v>
      </c>
      <c r="U255" s="10">
        <f t="shared" si="59"/>
        <v>0</v>
      </c>
      <c r="V255" s="10">
        <f t="shared" si="46"/>
        <v>8000</v>
      </c>
      <c r="W255" s="10">
        <f t="shared" si="47"/>
        <v>0</v>
      </c>
      <c r="X255" s="10">
        <f t="shared" si="48"/>
        <v>0</v>
      </c>
    </row>
    <row r="256" spans="1:24" s="9" customFormat="1" ht="13.5" customHeight="1" x14ac:dyDescent="0.2">
      <c r="A256" s="64">
        <f t="shared" si="49"/>
        <v>252</v>
      </c>
      <c r="B256" s="147" t="s">
        <v>1873</v>
      </c>
      <c r="C256" s="641">
        <v>39394</v>
      </c>
      <c r="D256" s="175">
        <v>65000</v>
      </c>
      <c r="E256" s="249"/>
      <c r="F256" s="67">
        <f t="shared" si="42"/>
        <v>65000</v>
      </c>
      <c r="G256" s="67">
        <v>64000</v>
      </c>
      <c r="H256" s="67">
        <f t="shared" si="56"/>
        <v>1000</v>
      </c>
      <c r="I256" s="74">
        <v>5</v>
      </c>
      <c r="J256" s="74">
        <v>0.2</v>
      </c>
      <c r="K256" s="68">
        <v>0</v>
      </c>
      <c r="L256" s="110">
        <f t="shared" si="57"/>
        <v>0</v>
      </c>
      <c r="M256" s="67">
        <f t="shared" si="58"/>
        <v>64000</v>
      </c>
      <c r="N256" s="462">
        <f t="shared" si="43"/>
        <v>1000</v>
      </c>
      <c r="O256" s="238" t="s">
        <v>1932</v>
      </c>
      <c r="P256" s="640">
        <v>1</v>
      </c>
      <c r="Q256" s="327"/>
      <c r="R256" s="23"/>
      <c r="S256" s="10">
        <f t="shared" si="44"/>
        <v>3250</v>
      </c>
      <c r="T256" s="10">
        <f t="shared" si="45"/>
        <v>-2250</v>
      </c>
      <c r="U256" s="10">
        <f t="shared" si="59"/>
        <v>0</v>
      </c>
      <c r="V256" s="10">
        <f t="shared" si="46"/>
        <v>13000</v>
      </c>
      <c r="W256" s="10">
        <f t="shared" si="47"/>
        <v>0</v>
      </c>
      <c r="X256" s="10">
        <f t="shared" si="48"/>
        <v>0</v>
      </c>
    </row>
    <row r="257" spans="1:24" s="9" customFormat="1" ht="13.5" customHeight="1" x14ac:dyDescent="0.2">
      <c r="A257" s="89">
        <f t="shared" si="49"/>
        <v>253</v>
      </c>
      <c r="B257" s="653" t="s">
        <v>1938</v>
      </c>
      <c r="C257" s="654">
        <v>39419</v>
      </c>
      <c r="D257" s="383">
        <v>150000</v>
      </c>
      <c r="E257" s="655"/>
      <c r="F257" s="91">
        <f t="shared" si="42"/>
        <v>150000</v>
      </c>
      <c r="G257" s="91">
        <v>149000</v>
      </c>
      <c r="H257" s="91">
        <f t="shared" si="56"/>
        <v>1000</v>
      </c>
      <c r="I257" s="74">
        <v>5</v>
      </c>
      <c r="J257" s="74">
        <v>0.2</v>
      </c>
      <c r="K257" s="68">
        <v>0</v>
      </c>
      <c r="L257" s="110">
        <f t="shared" si="57"/>
        <v>0</v>
      </c>
      <c r="M257" s="91">
        <f t="shared" si="58"/>
        <v>149000</v>
      </c>
      <c r="N257" s="484">
        <f t="shared" si="43"/>
        <v>1000</v>
      </c>
      <c r="O257" s="239" t="s">
        <v>1932</v>
      </c>
      <c r="P257" s="656">
        <v>2</v>
      </c>
      <c r="Q257" s="657"/>
      <c r="R257" s="23"/>
      <c r="S257" s="10">
        <f t="shared" si="44"/>
        <v>7500</v>
      </c>
      <c r="T257" s="10">
        <f t="shared" si="45"/>
        <v>-6500</v>
      </c>
      <c r="U257" s="10">
        <f t="shared" si="59"/>
        <v>0</v>
      </c>
      <c r="V257" s="10">
        <f t="shared" si="46"/>
        <v>30000</v>
      </c>
      <c r="W257" s="10">
        <f t="shared" si="47"/>
        <v>0</v>
      </c>
      <c r="X257" s="10">
        <f t="shared" si="48"/>
        <v>0</v>
      </c>
    </row>
    <row r="258" spans="1:24" s="9" customFormat="1" ht="13.5" customHeight="1" x14ac:dyDescent="0.2">
      <c r="A258" s="64">
        <f t="shared" si="49"/>
        <v>254</v>
      </c>
      <c r="B258" s="147" t="s">
        <v>1846</v>
      </c>
      <c r="C258" s="641">
        <v>39468</v>
      </c>
      <c r="D258" s="175">
        <v>1500000</v>
      </c>
      <c r="E258" s="249"/>
      <c r="F258" s="67">
        <f t="shared" si="42"/>
        <v>1500000</v>
      </c>
      <c r="G258" s="67">
        <v>1499000</v>
      </c>
      <c r="H258" s="67">
        <f t="shared" si="56"/>
        <v>1000</v>
      </c>
      <c r="I258" s="74">
        <v>5</v>
      </c>
      <c r="J258" s="74">
        <v>0.2</v>
      </c>
      <c r="K258" s="68">
        <v>0</v>
      </c>
      <c r="L258" s="110">
        <f t="shared" si="57"/>
        <v>0</v>
      </c>
      <c r="M258" s="67">
        <f t="shared" si="58"/>
        <v>1499000</v>
      </c>
      <c r="N258" s="462">
        <f t="shared" si="43"/>
        <v>1000</v>
      </c>
      <c r="O258" s="238" t="s">
        <v>2601</v>
      </c>
      <c r="P258" s="640">
        <v>3</v>
      </c>
      <c r="Q258" s="327"/>
      <c r="R258" s="23"/>
      <c r="S258" s="10">
        <f t="shared" si="44"/>
        <v>75000</v>
      </c>
      <c r="T258" s="10">
        <f t="shared" si="45"/>
        <v>-74000</v>
      </c>
      <c r="U258" s="10">
        <f t="shared" si="59"/>
        <v>0</v>
      </c>
      <c r="V258" s="10">
        <f t="shared" si="46"/>
        <v>300000</v>
      </c>
      <c r="W258" s="10">
        <f t="shared" si="47"/>
        <v>0</v>
      </c>
      <c r="X258" s="10">
        <f t="shared" si="48"/>
        <v>0</v>
      </c>
    </row>
    <row r="259" spans="1:24" s="9" customFormat="1" ht="13.5" customHeight="1" x14ac:dyDescent="0.2">
      <c r="A259" s="64">
        <f t="shared" si="49"/>
        <v>255</v>
      </c>
      <c r="B259" s="147" t="s">
        <v>1840</v>
      </c>
      <c r="C259" s="641">
        <v>39482</v>
      </c>
      <c r="D259" s="175">
        <v>1527272</v>
      </c>
      <c r="E259" s="249"/>
      <c r="F259" s="67">
        <f t="shared" si="42"/>
        <v>1527272</v>
      </c>
      <c r="G259" s="67">
        <v>1526272</v>
      </c>
      <c r="H259" s="67">
        <f t="shared" si="56"/>
        <v>1000</v>
      </c>
      <c r="I259" s="74">
        <v>5</v>
      </c>
      <c r="J259" s="74">
        <v>0.2</v>
      </c>
      <c r="K259" s="68">
        <v>0</v>
      </c>
      <c r="L259" s="110">
        <f t="shared" si="57"/>
        <v>0</v>
      </c>
      <c r="M259" s="67">
        <f t="shared" si="58"/>
        <v>1526272</v>
      </c>
      <c r="N259" s="462">
        <f t="shared" si="43"/>
        <v>1000</v>
      </c>
      <c r="O259" s="238" t="s">
        <v>2602</v>
      </c>
      <c r="P259" s="640">
        <v>1</v>
      </c>
      <c r="Q259" s="327"/>
      <c r="R259" s="23"/>
      <c r="S259" s="10">
        <f t="shared" si="44"/>
        <v>76363.600000000006</v>
      </c>
      <c r="T259" s="10">
        <f t="shared" si="45"/>
        <v>-75363.600000000006</v>
      </c>
      <c r="U259" s="10">
        <f t="shared" si="59"/>
        <v>0</v>
      </c>
      <c r="V259" s="10">
        <f t="shared" si="46"/>
        <v>305454.40000000002</v>
      </c>
      <c r="W259" s="10">
        <f t="shared" si="47"/>
        <v>0</v>
      </c>
      <c r="X259" s="10">
        <f t="shared" si="48"/>
        <v>0</v>
      </c>
    </row>
    <row r="260" spans="1:24" s="9" customFormat="1" ht="13.5" customHeight="1" x14ac:dyDescent="0.2">
      <c r="A260" s="64">
        <f t="shared" si="49"/>
        <v>256</v>
      </c>
      <c r="B260" s="147" t="s">
        <v>1891</v>
      </c>
      <c r="C260" s="641">
        <v>39508</v>
      </c>
      <c r="D260" s="175">
        <v>110000</v>
      </c>
      <c r="E260" s="249"/>
      <c r="F260" s="67">
        <f t="shared" si="42"/>
        <v>110000</v>
      </c>
      <c r="G260" s="67">
        <v>109000</v>
      </c>
      <c r="H260" s="67">
        <f t="shared" si="56"/>
        <v>1000</v>
      </c>
      <c r="I260" s="74">
        <v>5</v>
      </c>
      <c r="J260" s="74">
        <v>0.2</v>
      </c>
      <c r="K260" s="68">
        <v>0</v>
      </c>
      <c r="L260" s="110">
        <f t="shared" si="57"/>
        <v>0</v>
      </c>
      <c r="M260" s="67">
        <f t="shared" si="58"/>
        <v>109000</v>
      </c>
      <c r="N260" s="462">
        <f t="shared" si="43"/>
        <v>1000</v>
      </c>
      <c r="O260" s="238" t="s">
        <v>1932</v>
      </c>
      <c r="P260" s="640">
        <v>2</v>
      </c>
      <c r="Q260" s="327"/>
      <c r="R260" s="23"/>
      <c r="S260" s="10">
        <f t="shared" si="44"/>
        <v>5500</v>
      </c>
      <c r="T260" s="10">
        <f t="shared" si="45"/>
        <v>-4500</v>
      </c>
      <c r="U260" s="10">
        <f t="shared" si="59"/>
        <v>0</v>
      </c>
      <c r="V260" s="10">
        <f t="shared" si="46"/>
        <v>22000</v>
      </c>
      <c r="W260" s="10">
        <f t="shared" si="47"/>
        <v>0</v>
      </c>
      <c r="X260" s="10">
        <f t="shared" si="48"/>
        <v>0</v>
      </c>
    </row>
    <row r="261" spans="1:24" s="9" customFormat="1" ht="13.5" customHeight="1" x14ac:dyDescent="0.2">
      <c r="A261" s="64">
        <f t="shared" si="49"/>
        <v>257</v>
      </c>
      <c r="B261" s="147" t="s">
        <v>1846</v>
      </c>
      <c r="C261" s="641">
        <v>39521</v>
      </c>
      <c r="D261" s="175">
        <v>1295455</v>
      </c>
      <c r="E261" s="249"/>
      <c r="F261" s="67">
        <f t="shared" ref="F261:F324" si="60">+D261+E261</f>
        <v>1295455</v>
      </c>
      <c r="G261" s="67">
        <v>1294455</v>
      </c>
      <c r="H261" s="67">
        <f t="shared" si="56"/>
        <v>1000</v>
      </c>
      <c r="I261" s="74">
        <v>5</v>
      </c>
      <c r="J261" s="74">
        <v>0.2</v>
      </c>
      <c r="K261" s="68">
        <v>0</v>
      </c>
      <c r="L261" s="110">
        <f t="shared" si="57"/>
        <v>0</v>
      </c>
      <c r="M261" s="67">
        <f t="shared" si="58"/>
        <v>1294455</v>
      </c>
      <c r="N261" s="462">
        <f t="shared" ref="N261:N324" si="61">+F261-M261</f>
        <v>1000</v>
      </c>
      <c r="O261" s="238" t="s">
        <v>2131</v>
      </c>
      <c r="P261" s="640">
        <v>2</v>
      </c>
      <c r="Q261" s="327"/>
      <c r="R261" s="23"/>
      <c r="S261" s="10">
        <f t="shared" ref="S261:S324" si="62">D261*0.05</f>
        <v>64772.75</v>
      </c>
      <c r="T261" s="10">
        <f t="shared" ref="T261:T324" si="63">N261-S261</f>
        <v>-63772.75</v>
      </c>
      <c r="U261" s="10">
        <f t="shared" si="59"/>
        <v>0</v>
      </c>
      <c r="V261" s="10">
        <f t="shared" ref="V261:V324" si="64">F261/I261</f>
        <v>259091</v>
      </c>
      <c r="W261" s="10">
        <f t="shared" ref="W261:W324" si="65">ROUND(IF(H261&lt;=1000,0,V261/12*3),0)</f>
        <v>0</v>
      </c>
      <c r="X261" s="10">
        <f t="shared" ref="X261:X324" si="66">L261-W261</f>
        <v>0</v>
      </c>
    </row>
    <row r="262" spans="1:24" s="9" customFormat="1" ht="13.5" customHeight="1" x14ac:dyDescent="0.2">
      <c r="A262" s="107">
        <f t="shared" ref="A262:A325" si="67">+A261+1</f>
        <v>258</v>
      </c>
      <c r="B262" s="653" t="s">
        <v>1846</v>
      </c>
      <c r="C262" s="654">
        <v>39603</v>
      </c>
      <c r="D262" s="383">
        <v>580000</v>
      </c>
      <c r="E262" s="655"/>
      <c r="F262" s="91">
        <f t="shared" si="60"/>
        <v>580000</v>
      </c>
      <c r="G262" s="91">
        <v>579000</v>
      </c>
      <c r="H262" s="91">
        <f t="shared" si="56"/>
        <v>1000</v>
      </c>
      <c r="I262" s="74">
        <v>5</v>
      </c>
      <c r="J262" s="74">
        <v>0.2</v>
      </c>
      <c r="K262" s="68">
        <v>0</v>
      </c>
      <c r="L262" s="110">
        <f t="shared" si="57"/>
        <v>0</v>
      </c>
      <c r="M262" s="91">
        <f t="shared" si="58"/>
        <v>579000</v>
      </c>
      <c r="N262" s="512">
        <f t="shared" si="61"/>
        <v>1000</v>
      </c>
      <c r="O262" s="239" t="s">
        <v>2601</v>
      </c>
      <c r="P262" s="656">
        <v>1</v>
      </c>
      <c r="Q262" s="657"/>
      <c r="R262" s="23"/>
      <c r="S262" s="10">
        <f t="shared" si="62"/>
        <v>29000</v>
      </c>
      <c r="T262" s="10">
        <f t="shared" si="63"/>
        <v>-28000</v>
      </c>
      <c r="U262" s="10">
        <f t="shared" si="59"/>
        <v>0</v>
      </c>
      <c r="V262" s="10">
        <f t="shared" si="64"/>
        <v>116000</v>
      </c>
      <c r="W262" s="10">
        <f t="shared" si="65"/>
        <v>0</v>
      </c>
      <c r="X262" s="10">
        <f t="shared" si="66"/>
        <v>0</v>
      </c>
    </row>
    <row r="263" spans="1:24" s="9" customFormat="1" ht="13.5" customHeight="1" x14ac:dyDescent="0.2">
      <c r="A263" s="107">
        <f t="shared" si="67"/>
        <v>259</v>
      </c>
      <c r="B263" s="143" t="s">
        <v>1846</v>
      </c>
      <c r="C263" s="648">
        <v>39668</v>
      </c>
      <c r="D263" s="372">
        <v>600000</v>
      </c>
      <c r="E263" s="649"/>
      <c r="F263" s="73">
        <f t="shared" si="60"/>
        <v>600000</v>
      </c>
      <c r="G263" s="73">
        <v>599000</v>
      </c>
      <c r="H263" s="73">
        <f t="shared" si="56"/>
        <v>1000</v>
      </c>
      <c r="I263" s="74">
        <v>5</v>
      </c>
      <c r="J263" s="74">
        <v>0.2</v>
      </c>
      <c r="K263" s="68">
        <v>0</v>
      </c>
      <c r="L263" s="110">
        <f t="shared" si="57"/>
        <v>0</v>
      </c>
      <c r="M263" s="73">
        <f t="shared" si="58"/>
        <v>599000</v>
      </c>
      <c r="N263" s="484">
        <f t="shared" si="61"/>
        <v>1000</v>
      </c>
      <c r="O263" s="650" t="s">
        <v>2601</v>
      </c>
      <c r="P263" s="651">
        <v>1</v>
      </c>
      <c r="Q263" s="652"/>
      <c r="R263" s="23"/>
      <c r="S263" s="10">
        <f t="shared" si="62"/>
        <v>30000</v>
      </c>
      <c r="T263" s="10">
        <f t="shared" si="63"/>
        <v>-29000</v>
      </c>
      <c r="U263" s="10">
        <f t="shared" si="59"/>
        <v>0</v>
      </c>
      <c r="V263" s="10">
        <f t="shared" si="64"/>
        <v>120000</v>
      </c>
      <c r="W263" s="10">
        <f t="shared" si="65"/>
        <v>0</v>
      </c>
      <c r="X263" s="10">
        <f t="shared" si="66"/>
        <v>0</v>
      </c>
    </row>
    <row r="264" spans="1:24" s="9" customFormat="1" ht="13.5" customHeight="1" x14ac:dyDescent="0.2">
      <c r="A264" s="107">
        <f t="shared" si="67"/>
        <v>260</v>
      </c>
      <c r="B264" s="143" t="s">
        <v>2541</v>
      </c>
      <c r="C264" s="648">
        <v>39902</v>
      </c>
      <c r="D264" s="372">
        <v>350000</v>
      </c>
      <c r="E264" s="649"/>
      <c r="F264" s="73">
        <f t="shared" si="60"/>
        <v>350000</v>
      </c>
      <c r="G264" s="73">
        <v>349000</v>
      </c>
      <c r="H264" s="73">
        <f t="shared" si="56"/>
        <v>1000</v>
      </c>
      <c r="I264" s="74">
        <v>5</v>
      </c>
      <c r="J264" s="74">
        <v>0.2</v>
      </c>
      <c r="K264" s="68">
        <v>0</v>
      </c>
      <c r="L264" s="110">
        <f t="shared" si="57"/>
        <v>0</v>
      </c>
      <c r="M264" s="73">
        <f t="shared" si="58"/>
        <v>349000</v>
      </c>
      <c r="N264" s="484">
        <f t="shared" si="61"/>
        <v>1000</v>
      </c>
      <c r="O264" s="650" t="s">
        <v>2590</v>
      </c>
      <c r="P264" s="651">
        <v>1</v>
      </c>
      <c r="Q264" s="652"/>
      <c r="R264" s="23"/>
      <c r="S264" s="10">
        <f t="shared" si="62"/>
        <v>17500</v>
      </c>
      <c r="T264" s="10">
        <f t="shared" si="63"/>
        <v>-16500</v>
      </c>
      <c r="U264" s="10">
        <f t="shared" si="59"/>
        <v>0</v>
      </c>
      <c r="V264" s="10">
        <f t="shared" si="64"/>
        <v>70000</v>
      </c>
      <c r="W264" s="10">
        <f t="shared" si="65"/>
        <v>0</v>
      </c>
      <c r="X264" s="10">
        <f t="shared" si="66"/>
        <v>0</v>
      </c>
    </row>
    <row r="265" spans="1:24" s="9" customFormat="1" ht="13.5" customHeight="1" x14ac:dyDescent="0.2">
      <c r="A265" s="64">
        <f t="shared" si="67"/>
        <v>261</v>
      </c>
      <c r="B265" s="147" t="s">
        <v>2603</v>
      </c>
      <c r="C265" s="641">
        <v>39904</v>
      </c>
      <c r="D265" s="175">
        <v>180000</v>
      </c>
      <c r="E265" s="249"/>
      <c r="F265" s="73">
        <f t="shared" si="60"/>
        <v>180000</v>
      </c>
      <c r="G265" s="67">
        <v>179000</v>
      </c>
      <c r="H265" s="73">
        <f t="shared" si="56"/>
        <v>1000</v>
      </c>
      <c r="I265" s="74">
        <v>5</v>
      </c>
      <c r="J265" s="74">
        <v>0.2</v>
      </c>
      <c r="K265" s="68">
        <v>0</v>
      </c>
      <c r="L265" s="110">
        <f t="shared" si="57"/>
        <v>0</v>
      </c>
      <c r="M265" s="73">
        <f t="shared" si="58"/>
        <v>179000</v>
      </c>
      <c r="N265" s="484">
        <f t="shared" si="61"/>
        <v>1000</v>
      </c>
      <c r="O265" s="238" t="s">
        <v>1932</v>
      </c>
      <c r="P265" s="640">
        <v>1</v>
      </c>
      <c r="Q265" s="327"/>
      <c r="R265" s="23"/>
      <c r="S265" s="10">
        <f t="shared" si="62"/>
        <v>9000</v>
      </c>
      <c r="T265" s="10">
        <f t="shared" si="63"/>
        <v>-8000</v>
      </c>
      <c r="U265" s="10">
        <f t="shared" si="59"/>
        <v>0</v>
      </c>
      <c r="V265" s="10">
        <f t="shared" si="64"/>
        <v>36000</v>
      </c>
      <c r="W265" s="10">
        <f t="shared" si="65"/>
        <v>0</v>
      </c>
      <c r="X265" s="10">
        <f t="shared" si="66"/>
        <v>0</v>
      </c>
    </row>
    <row r="266" spans="1:24" s="9" customFormat="1" ht="13.5" customHeight="1" x14ac:dyDescent="0.2">
      <c r="A266" s="64">
        <f t="shared" si="67"/>
        <v>262</v>
      </c>
      <c r="B266" s="147" t="s">
        <v>2229</v>
      </c>
      <c r="C266" s="641">
        <v>39910</v>
      </c>
      <c r="D266" s="175">
        <v>420000</v>
      </c>
      <c r="E266" s="249"/>
      <c r="F266" s="73">
        <f t="shared" si="60"/>
        <v>420000</v>
      </c>
      <c r="G266" s="67">
        <v>419000</v>
      </c>
      <c r="H266" s="73">
        <f t="shared" si="56"/>
        <v>1000</v>
      </c>
      <c r="I266" s="74">
        <v>5</v>
      </c>
      <c r="J266" s="74">
        <v>0.2</v>
      </c>
      <c r="K266" s="68">
        <v>0</v>
      </c>
      <c r="L266" s="110">
        <f t="shared" si="57"/>
        <v>0</v>
      </c>
      <c r="M266" s="73">
        <f t="shared" si="58"/>
        <v>419000</v>
      </c>
      <c r="N266" s="484">
        <f t="shared" si="61"/>
        <v>1000</v>
      </c>
      <c r="O266" s="650" t="s">
        <v>2590</v>
      </c>
      <c r="P266" s="640">
        <v>1</v>
      </c>
      <c r="Q266" s="327"/>
      <c r="R266" s="23"/>
      <c r="S266" s="10">
        <f t="shared" si="62"/>
        <v>21000</v>
      </c>
      <c r="T266" s="10">
        <f t="shared" si="63"/>
        <v>-20000</v>
      </c>
      <c r="U266" s="10">
        <f t="shared" si="59"/>
        <v>0</v>
      </c>
      <c r="V266" s="10">
        <f t="shared" si="64"/>
        <v>84000</v>
      </c>
      <c r="W266" s="10">
        <f t="shared" si="65"/>
        <v>0</v>
      </c>
      <c r="X266" s="10">
        <f t="shared" si="66"/>
        <v>0</v>
      </c>
    </row>
    <row r="267" spans="1:24" s="9" customFormat="1" ht="13.5" customHeight="1" x14ac:dyDescent="0.2">
      <c r="A267" s="64">
        <f t="shared" si="67"/>
        <v>263</v>
      </c>
      <c r="B267" s="147" t="s">
        <v>1873</v>
      </c>
      <c r="C267" s="641">
        <v>39920</v>
      </c>
      <c r="D267" s="175">
        <v>144000</v>
      </c>
      <c r="E267" s="249"/>
      <c r="F267" s="73">
        <f t="shared" si="60"/>
        <v>144000</v>
      </c>
      <c r="G267" s="67">
        <v>143000</v>
      </c>
      <c r="H267" s="73">
        <f t="shared" si="56"/>
        <v>1000</v>
      </c>
      <c r="I267" s="74">
        <v>5</v>
      </c>
      <c r="J267" s="74">
        <v>0.2</v>
      </c>
      <c r="K267" s="68">
        <v>0</v>
      </c>
      <c r="L267" s="110">
        <f t="shared" si="57"/>
        <v>0</v>
      </c>
      <c r="M267" s="73">
        <f t="shared" si="58"/>
        <v>143000</v>
      </c>
      <c r="N267" s="484">
        <f t="shared" si="61"/>
        <v>1000</v>
      </c>
      <c r="O267" s="145" t="s">
        <v>2177</v>
      </c>
      <c r="P267" s="640">
        <v>3</v>
      </c>
      <c r="Q267" s="327"/>
      <c r="R267" s="23"/>
      <c r="S267" s="10">
        <f t="shared" si="62"/>
        <v>7200</v>
      </c>
      <c r="T267" s="10">
        <f t="shared" si="63"/>
        <v>-6200</v>
      </c>
      <c r="U267" s="10">
        <f t="shared" si="59"/>
        <v>0</v>
      </c>
      <c r="V267" s="10">
        <f t="shared" si="64"/>
        <v>28800</v>
      </c>
      <c r="W267" s="10">
        <f t="shared" si="65"/>
        <v>0</v>
      </c>
      <c r="X267" s="10">
        <f t="shared" si="66"/>
        <v>0</v>
      </c>
    </row>
    <row r="268" spans="1:24" s="9" customFormat="1" ht="13.5" customHeight="1" x14ac:dyDescent="0.2">
      <c r="A268" s="64">
        <f t="shared" si="67"/>
        <v>264</v>
      </c>
      <c r="B268" s="147" t="s">
        <v>2604</v>
      </c>
      <c r="C268" s="641">
        <v>39920</v>
      </c>
      <c r="D268" s="175">
        <v>270000</v>
      </c>
      <c r="E268" s="249"/>
      <c r="F268" s="73">
        <f t="shared" si="60"/>
        <v>270000</v>
      </c>
      <c r="G268" s="67">
        <v>269000</v>
      </c>
      <c r="H268" s="73">
        <f t="shared" si="56"/>
        <v>1000</v>
      </c>
      <c r="I268" s="74">
        <v>5</v>
      </c>
      <c r="J268" s="74">
        <v>0.2</v>
      </c>
      <c r="K268" s="68">
        <v>0</v>
      </c>
      <c r="L268" s="110">
        <f t="shared" si="57"/>
        <v>0</v>
      </c>
      <c r="M268" s="73">
        <f t="shared" si="58"/>
        <v>269000</v>
      </c>
      <c r="N268" s="484">
        <f t="shared" si="61"/>
        <v>1000</v>
      </c>
      <c r="O268" s="145" t="s">
        <v>2177</v>
      </c>
      <c r="P268" s="640">
        <v>1</v>
      </c>
      <c r="Q268" s="327"/>
      <c r="R268" s="23"/>
      <c r="S268" s="10">
        <f t="shared" si="62"/>
        <v>13500</v>
      </c>
      <c r="T268" s="10">
        <f t="shared" si="63"/>
        <v>-12500</v>
      </c>
      <c r="U268" s="10">
        <f t="shared" si="59"/>
        <v>0</v>
      </c>
      <c r="V268" s="10">
        <f t="shared" si="64"/>
        <v>54000</v>
      </c>
      <c r="W268" s="10">
        <f t="shared" si="65"/>
        <v>0</v>
      </c>
      <c r="X268" s="10">
        <f t="shared" si="66"/>
        <v>0</v>
      </c>
    </row>
    <row r="269" spans="1:24" s="9" customFormat="1" ht="13.5" customHeight="1" x14ac:dyDescent="0.2">
      <c r="A269" s="64">
        <f t="shared" si="67"/>
        <v>265</v>
      </c>
      <c r="B269" s="147" t="s">
        <v>2229</v>
      </c>
      <c r="C269" s="641">
        <v>39933</v>
      </c>
      <c r="D269" s="175">
        <v>400000</v>
      </c>
      <c r="E269" s="249"/>
      <c r="F269" s="73">
        <f t="shared" si="60"/>
        <v>400000</v>
      </c>
      <c r="G269" s="67">
        <v>399000</v>
      </c>
      <c r="H269" s="73">
        <f t="shared" si="56"/>
        <v>1000</v>
      </c>
      <c r="I269" s="74">
        <v>5</v>
      </c>
      <c r="J269" s="74">
        <v>0.2</v>
      </c>
      <c r="K269" s="68">
        <v>0</v>
      </c>
      <c r="L269" s="110">
        <f t="shared" si="57"/>
        <v>0</v>
      </c>
      <c r="M269" s="73">
        <f t="shared" si="58"/>
        <v>399000</v>
      </c>
      <c r="N269" s="484">
        <f t="shared" si="61"/>
        <v>1000</v>
      </c>
      <c r="O269" s="650" t="s">
        <v>2590</v>
      </c>
      <c r="P269" s="640">
        <v>1</v>
      </c>
      <c r="Q269" s="327"/>
      <c r="R269" s="23"/>
      <c r="S269" s="10">
        <f t="shared" si="62"/>
        <v>20000</v>
      </c>
      <c r="T269" s="10">
        <f t="shared" si="63"/>
        <v>-19000</v>
      </c>
      <c r="U269" s="10">
        <f t="shared" si="59"/>
        <v>0</v>
      </c>
      <c r="V269" s="10">
        <f t="shared" si="64"/>
        <v>80000</v>
      </c>
      <c r="W269" s="10">
        <f t="shared" si="65"/>
        <v>0</v>
      </c>
      <c r="X269" s="10">
        <f t="shared" si="66"/>
        <v>0</v>
      </c>
    </row>
    <row r="270" spans="1:24" s="9" customFormat="1" ht="13.5" customHeight="1" x14ac:dyDescent="0.2">
      <c r="A270" s="107">
        <f t="shared" si="67"/>
        <v>266</v>
      </c>
      <c r="B270" s="143" t="s">
        <v>2527</v>
      </c>
      <c r="C270" s="648">
        <v>39941</v>
      </c>
      <c r="D270" s="372">
        <v>450000</v>
      </c>
      <c r="E270" s="649"/>
      <c r="F270" s="73">
        <f t="shared" si="60"/>
        <v>450000</v>
      </c>
      <c r="G270" s="73">
        <v>449000</v>
      </c>
      <c r="H270" s="73">
        <f t="shared" si="56"/>
        <v>1000</v>
      </c>
      <c r="I270" s="74">
        <v>5</v>
      </c>
      <c r="J270" s="74">
        <v>0.2</v>
      </c>
      <c r="K270" s="68">
        <v>0</v>
      </c>
      <c r="L270" s="110">
        <f t="shared" si="57"/>
        <v>0</v>
      </c>
      <c r="M270" s="73">
        <f t="shared" si="58"/>
        <v>449000</v>
      </c>
      <c r="N270" s="484">
        <f t="shared" si="61"/>
        <v>1000</v>
      </c>
      <c r="O270" s="650" t="s">
        <v>2590</v>
      </c>
      <c r="P270" s="651">
        <v>1</v>
      </c>
      <c r="Q270" s="652"/>
      <c r="R270" s="23"/>
      <c r="S270" s="10">
        <f t="shared" si="62"/>
        <v>22500</v>
      </c>
      <c r="T270" s="10">
        <f t="shared" si="63"/>
        <v>-21500</v>
      </c>
      <c r="U270" s="10">
        <f t="shared" si="59"/>
        <v>0</v>
      </c>
      <c r="V270" s="10">
        <f t="shared" si="64"/>
        <v>90000</v>
      </c>
      <c r="W270" s="10">
        <f t="shared" si="65"/>
        <v>0</v>
      </c>
      <c r="X270" s="10">
        <f t="shared" si="66"/>
        <v>0</v>
      </c>
    </row>
    <row r="271" spans="1:24" s="9" customFormat="1" ht="13.5" customHeight="1" x14ac:dyDescent="0.2">
      <c r="A271" s="107">
        <f t="shared" si="67"/>
        <v>267</v>
      </c>
      <c r="B271" s="147" t="s">
        <v>2605</v>
      </c>
      <c r="C271" s="641">
        <v>40014</v>
      </c>
      <c r="D271" s="175">
        <v>698750</v>
      </c>
      <c r="E271" s="249"/>
      <c r="F271" s="67">
        <f t="shared" si="60"/>
        <v>698750</v>
      </c>
      <c r="G271" s="67">
        <v>697750</v>
      </c>
      <c r="H271" s="67">
        <f t="shared" si="56"/>
        <v>1000</v>
      </c>
      <c r="I271" s="74">
        <v>5</v>
      </c>
      <c r="J271" s="74">
        <v>0.2</v>
      </c>
      <c r="K271" s="68">
        <v>0</v>
      </c>
      <c r="L271" s="110">
        <f t="shared" si="57"/>
        <v>0</v>
      </c>
      <c r="M271" s="67">
        <f t="shared" si="58"/>
        <v>697750</v>
      </c>
      <c r="N271" s="462">
        <f t="shared" si="61"/>
        <v>1000</v>
      </c>
      <c r="O271" s="238" t="s">
        <v>2606</v>
      </c>
      <c r="P271" s="514">
        <v>1</v>
      </c>
      <c r="Q271" s="327"/>
      <c r="R271" s="23"/>
      <c r="S271" s="10">
        <f t="shared" si="62"/>
        <v>34937.5</v>
      </c>
      <c r="T271" s="10">
        <f t="shared" si="63"/>
        <v>-33937.5</v>
      </c>
      <c r="U271" s="10">
        <f t="shared" si="59"/>
        <v>0</v>
      </c>
      <c r="V271" s="10">
        <f t="shared" si="64"/>
        <v>139750</v>
      </c>
      <c r="W271" s="10">
        <f t="shared" si="65"/>
        <v>0</v>
      </c>
      <c r="X271" s="10">
        <f t="shared" si="66"/>
        <v>0</v>
      </c>
    </row>
    <row r="272" spans="1:24" s="9" customFormat="1" ht="13.5" customHeight="1" x14ac:dyDescent="0.2">
      <c r="A272" s="107">
        <f t="shared" si="67"/>
        <v>268</v>
      </c>
      <c r="B272" s="147" t="s">
        <v>2607</v>
      </c>
      <c r="C272" s="641">
        <v>40015</v>
      </c>
      <c r="D272" s="175">
        <v>1170000</v>
      </c>
      <c r="E272" s="249"/>
      <c r="F272" s="67">
        <f t="shared" si="60"/>
        <v>1170000</v>
      </c>
      <c r="G272" s="67">
        <v>1169000</v>
      </c>
      <c r="H272" s="67">
        <f t="shared" si="56"/>
        <v>1000</v>
      </c>
      <c r="I272" s="74">
        <v>5</v>
      </c>
      <c r="J272" s="74">
        <v>0.2</v>
      </c>
      <c r="K272" s="68">
        <v>0</v>
      </c>
      <c r="L272" s="110">
        <f t="shared" si="57"/>
        <v>0</v>
      </c>
      <c r="M272" s="67">
        <f t="shared" si="58"/>
        <v>1169000</v>
      </c>
      <c r="N272" s="462">
        <f t="shared" si="61"/>
        <v>1000</v>
      </c>
      <c r="O272" s="238" t="s">
        <v>2189</v>
      </c>
      <c r="P272" s="514">
        <v>3</v>
      </c>
      <c r="Q272" s="327"/>
      <c r="R272" s="23"/>
      <c r="S272" s="10">
        <f t="shared" si="62"/>
        <v>58500</v>
      </c>
      <c r="T272" s="10">
        <f t="shared" si="63"/>
        <v>-57500</v>
      </c>
      <c r="U272" s="10">
        <f t="shared" si="59"/>
        <v>0</v>
      </c>
      <c r="V272" s="10">
        <f t="shared" si="64"/>
        <v>234000</v>
      </c>
      <c r="W272" s="10">
        <f t="shared" si="65"/>
        <v>0</v>
      </c>
      <c r="X272" s="10">
        <f t="shared" si="66"/>
        <v>0</v>
      </c>
    </row>
    <row r="273" spans="1:24" s="9" customFormat="1" ht="13.5" customHeight="1" x14ac:dyDescent="0.2">
      <c r="A273" s="107">
        <f t="shared" si="67"/>
        <v>269</v>
      </c>
      <c r="B273" s="147" t="s">
        <v>1873</v>
      </c>
      <c r="C273" s="641">
        <v>40015</v>
      </c>
      <c r="D273" s="175">
        <v>432000</v>
      </c>
      <c r="E273" s="249"/>
      <c r="F273" s="67">
        <f t="shared" si="60"/>
        <v>432000</v>
      </c>
      <c r="G273" s="67">
        <v>431000</v>
      </c>
      <c r="H273" s="67">
        <f t="shared" si="56"/>
        <v>1000</v>
      </c>
      <c r="I273" s="74">
        <v>5</v>
      </c>
      <c r="J273" s="74">
        <v>0.2</v>
      </c>
      <c r="K273" s="68">
        <v>0</v>
      </c>
      <c r="L273" s="110">
        <f t="shared" si="57"/>
        <v>0</v>
      </c>
      <c r="M273" s="67">
        <f t="shared" si="58"/>
        <v>431000</v>
      </c>
      <c r="N273" s="462">
        <f t="shared" si="61"/>
        <v>1000</v>
      </c>
      <c r="O273" s="238" t="s">
        <v>2177</v>
      </c>
      <c r="P273" s="514">
        <v>9</v>
      </c>
      <c r="Q273" s="327"/>
      <c r="R273" s="23"/>
      <c r="S273" s="10">
        <f t="shared" si="62"/>
        <v>21600</v>
      </c>
      <c r="T273" s="10">
        <f t="shared" si="63"/>
        <v>-20600</v>
      </c>
      <c r="U273" s="10">
        <f t="shared" si="59"/>
        <v>0</v>
      </c>
      <c r="V273" s="10">
        <f t="shared" si="64"/>
        <v>86400</v>
      </c>
      <c r="W273" s="10">
        <f t="shared" si="65"/>
        <v>0</v>
      </c>
      <c r="X273" s="10">
        <f t="shared" si="66"/>
        <v>0</v>
      </c>
    </row>
    <row r="274" spans="1:24" s="9" customFormat="1" ht="13.5" customHeight="1" x14ac:dyDescent="0.2">
      <c r="A274" s="107">
        <f t="shared" si="67"/>
        <v>270</v>
      </c>
      <c r="B274" s="147" t="s">
        <v>1858</v>
      </c>
      <c r="C274" s="641">
        <v>40056</v>
      </c>
      <c r="D274" s="175">
        <v>11200000</v>
      </c>
      <c r="E274" s="249"/>
      <c r="F274" s="67">
        <f t="shared" si="60"/>
        <v>11200000</v>
      </c>
      <c r="G274" s="67">
        <v>11199000</v>
      </c>
      <c r="H274" s="67">
        <f t="shared" si="56"/>
        <v>1000</v>
      </c>
      <c r="I274" s="74">
        <v>5</v>
      </c>
      <c r="J274" s="74">
        <v>0.2</v>
      </c>
      <c r="K274" s="68">
        <v>0</v>
      </c>
      <c r="L274" s="110">
        <f t="shared" si="57"/>
        <v>0</v>
      </c>
      <c r="M274" s="67">
        <f t="shared" si="58"/>
        <v>11199000</v>
      </c>
      <c r="N274" s="462">
        <f t="shared" si="61"/>
        <v>1000</v>
      </c>
      <c r="O274" s="238" t="s">
        <v>767</v>
      </c>
      <c r="P274" s="514">
        <v>1</v>
      </c>
      <c r="Q274" s="327"/>
      <c r="R274" s="23"/>
      <c r="S274" s="10">
        <f t="shared" si="62"/>
        <v>560000</v>
      </c>
      <c r="T274" s="10">
        <f t="shared" si="63"/>
        <v>-559000</v>
      </c>
      <c r="U274" s="10">
        <f t="shared" si="59"/>
        <v>0</v>
      </c>
      <c r="V274" s="10">
        <f t="shared" si="64"/>
        <v>2240000</v>
      </c>
      <c r="W274" s="10">
        <f t="shared" si="65"/>
        <v>0</v>
      </c>
      <c r="X274" s="10">
        <f t="shared" si="66"/>
        <v>0</v>
      </c>
    </row>
    <row r="275" spans="1:24" s="9" customFormat="1" ht="13.5" customHeight="1" x14ac:dyDescent="0.2">
      <c r="A275" s="107">
        <f t="shared" si="67"/>
        <v>271</v>
      </c>
      <c r="B275" s="147" t="s">
        <v>2608</v>
      </c>
      <c r="C275" s="641">
        <v>40070</v>
      </c>
      <c r="D275" s="175">
        <v>55000</v>
      </c>
      <c r="E275" s="249"/>
      <c r="F275" s="67">
        <f t="shared" si="60"/>
        <v>55000</v>
      </c>
      <c r="G275" s="67">
        <v>54000</v>
      </c>
      <c r="H275" s="67">
        <f t="shared" si="56"/>
        <v>1000</v>
      </c>
      <c r="I275" s="74">
        <v>5</v>
      </c>
      <c r="J275" s="74">
        <v>0.2</v>
      </c>
      <c r="K275" s="68">
        <v>0</v>
      </c>
      <c r="L275" s="110">
        <f t="shared" si="57"/>
        <v>0</v>
      </c>
      <c r="M275" s="67">
        <f t="shared" si="58"/>
        <v>54000</v>
      </c>
      <c r="N275" s="462">
        <f t="shared" si="61"/>
        <v>1000</v>
      </c>
      <c r="O275" s="238" t="s">
        <v>2177</v>
      </c>
      <c r="P275" s="514">
        <v>1</v>
      </c>
      <c r="Q275" s="327"/>
      <c r="R275" s="23"/>
      <c r="S275" s="10">
        <f t="shared" si="62"/>
        <v>2750</v>
      </c>
      <c r="T275" s="10">
        <f t="shared" si="63"/>
        <v>-1750</v>
      </c>
      <c r="U275" s="10">
        <f t="shared" si="59"/>
        <v>0</v>
      </c>
      <c r="V275" s="10">
        <f t="shared" si="64"/>
        <v>11000</v>
      </c>
      <c r="W275" s="10">
        <f t="shared" si="65"/>
        <v>0</v>
      </c>
      <c r="X275" s="10">
        <f t="shared" si="66"/>
        <v>0</v>
      </c>
    </row>
    <row r="276" spans="1:24" s="9" customFormat="1" ht="13.5" customHeight="1" x14ac:dyDescent="0.2">
      <c r="A276" s="64">
        <f t="shared" si="67"/>
        <v>272</v>
      </c>
      <c r="B276" s="147" t="s">
        <v>2609</v>
      </c>
      <c r="C276" s="641">
        <v>40085</v>
      </c>
      <c r="D276" s="175">
        <v>750000</v>
      </c>
      <c r="E276" s="249"/>
      <c r="F276" s="67">
        <f t="shared" si="60"/>
        <v>750000</v>
      </c>
      <c r="G276" s="67">
        <v>749000</v>
      </c>
      <c r="H276" s="67">
        <f t="shared" si="56"/>
        <v>1000</v>
      </c>
      <c r="I276" s="68">
        <v>5</v>
      </c>
      <c r="J276" s="68">
        <v>0.2</v>
      </c>
      <c r="K276" s="68">
        <v>0</v>
      </c>
      <c r="L276" s="110">
        <f t="shared" si="57"/>
        <v>0</v>
      </c>
      <c r="M276" s="67">
        <f t="shared" si="58"/>
        <v>749000</v>
      </c>
      <c r="N276" s="462">
        <f t="shared" si="61"/>
        <v>1000</v>
      </c>
      <c r="O276" s="238" t="s">
        <v>767</v>
      </c>
      <c r="P276" s="514">
        <v>1</v>
      </c>
      <c r="Q276" s="327"/>
      <c r="R276" s="23"/>
      <c r="S276" s="10">
        <f t="shared" si="62"/>
        <v>37500</v>
      </c>
      <c r="T276" s="10">
        <f t="shared" si="63"/>
        <v>-36500</v>
      </c>
      <c r="U276" s="10">
        <f t="shared" si="59"/>
        <v>0</v>
      </c>
      <c r="V276" s="10">
        <f t="shared" si="64"/>
        <v>150000</v>
      </c>
      <c r="W276" s="10">
        <f t="shared" si="65"/>
        <v>0</v>
      </c>
      <c r="X276" s="10">
        <f t="shared" si="66"/>
        <v>0</v>
      </c>
    </row>
    <row r="277" spans="1:24" s="9" customFormat="1" ht="13.5" customHeight="1" x14ac:dyDescent="0.2">
      <c r="A277" s="64">
        <f t="shared" si="67"/>
        <v>273</v>
      </c>
      <c r="B277" s="147" t="s">
        <v>1846</v>
      </c>
      <c r="C277" s="641">
        <v>40086</v>
      </c>
      <c r="D277" s="175">
        <v>850000</v>
      </c>
      <c r="E277" s="249"/>
      <c r="F277" s="67">
        <f t="shared" si="60"/>
        <v>850000</v>
      </c>
      <c r="G277" s="67">
        <v>849000</v>
      </c>
      <c r="H277" s="67">
        <f t="shared" si="56"/>
        <v>1000</v>
      </c>
      <c r="I277" s="68">
        <v>5</v>
      </c>
      <c r="J277" s="68">
        <v>0.2</v>
      </c>
      <c r="K277" s="68">
        <v>0</v>
      </c>
      <c r="L277" s="110">
        <f t="shared" si="57"/>
        <v>0</v>
      </c>
      <c r="M277" s="67">
        <f t="shared" si="58"/>
        <v>849000</v>
      </c>
      <c r="N277" s="462">
        <f t="shared" si="61"/>
        <v>1000</v>
      </c>
      <c r="O277" s="238" t="s">
        <v>2601</v>
      </c>
      <c r="P277" s="514">
        <v>1</v>
      </c>
      <c r="Q277" s="327"/>
      <c r="R277" s="23"/>
      <c r="S277" s="10">
        <f t="shared" si="62"/>
        <v>42500</v>
      </c>
      <c r="T277" s="10">
        <f t="shared" si="63"/>
        <v>-41500</v>
      </c>
      <c r="U277" s="10">
        <f t="shared" si="59"/>
        <v>0</v>
      </c>
      <c r="V277" s="10">
        <f t="shared" si="64"/>
        <v>170000</v>
      </c>
      <c r="W277" s="10">
        <f t="shared" si="65"/>
        <v>0</v>
      </c>
      <c r="X277" s="10">
        <f t="shared" si="66"/>
        <v>0</v>
      </c>
    </row>
    <row r="278" spans="1:24" s="9" customFormat="1" ht="13.5" customHeight="1" x14ac:dyDescent="0.2">
      <c r="A278" s="64">
        <f t="shared" si="67"/>
        <v>274</v>
      </c>
      <c r="B278" s="147" t="s">
        <v>2472</v>
      </c>
      <c r="C278" s="641">
        <v>40116</v>
      </c>
      <c r="D278" s="175">
        <v>2130000</v>
      </c>
      <c r="E278" s="249"/>
      <c r="F278" s="67">
        <f t="shared" si="60"/>
        <v>2130000</v>
      </c>
      <c r="G278" s="67">
        <v>2129000</v>
      </c>
      <c r="H278" s="67">
        <f t="shared" si="56"/>
        <v>1000</v>
      </c>
      <c r="I278" s="68">
        <v>5</v>
      </c>
      <c r="J278" s="68">
        <v>0.2</v>
      </c>
      <c r="K278" s="68">
        <v>0</v>
      </c>
      <c r="L278" s="110">
        <f t="shared" si="57"/>
        <v>0</v>
      </c>
      <c r="M278" s="67">
        <f t="shared" si="58"/>
        <v>2129000</v>
      </c>
      <c r="N278" s="462">
        <f t="shared" si="61"/>
        <v>1000</v>
      </c>
      <c r="O278" s="145" t="s">
        <v>2189</v>
      </c>
      <c r="P278" s="658">
        <v>4</v>
      </c>
      <c r="Q278" s="327"/>
      <c r="R278" s="23"/>
      <c r="S278" s="10">
        <f t="shared" si="62"/>
        <v>106500</v>
      </c>
      <c r="T278" s="10">
        <f t="shared" si="63"/>
        <v>-105500</v>
      </c>
      <c r="U278" s="10">
        <f t="shared" si="59"/>
        <v>0</v>
      </c>
      <c r="V278" s="10">
        <f t="shared" si="64"/>
        <v>426000</v>
      </c>
      <c r="W278" s="10">
        <f t="shared" si="65"/>
        <v>0</v>
      </c>
      <c r="X278" s="10">
        <f t="shared" si="66"/>
        <v>0</v>
      </c>
    </row>
    <row r="279" spans="1:24" s="9" customFormat="1" ht="13.5" customHeight="1" x14ac:dyDescent="0.2">
      <c r="A279" s="292">
        <f t="shared" si="67"/>
        <v>275</v>
      </c>
      <c r="B279" s="642" t="s">
        <v>2610</v>
      </c>
      <c r="C279" s="643">
        <v>40116</v>
      </c>
      <c r="D279" s="310">
        <v>0</v>
      </c>
      <c r="E279" s="644"/>
      <c r="F279" s="295">
        <f t="shared" si="60"/>
        <v>0</v>
      </c>
      <c r="G279" s="295"/>
      <c r="H279" s="295"/>
      <c r="I279" s="296">
        <v>5</v>
      </c>
      <c r="J279" s="296">
        <v>0.2</v>
      </c>
      <c r="K279" s="68">
        <v>0</v>
      </c>
      <c r="L279" s="287"/>
      <c r="M279" s="295"/>
      <c r="N279" s="468">
        <f t="shared" si="61"/>
        <v>0</v>
      </c>
      <c r="O279" s="645" t="s">
        <v>2014</v>
      </c>
      <c r="P279" s="659">
        <v>1</v>
      </c>
      <c r="Q279" s="637"/>
      <c r="R279" s="23"/>
      <c r="S279" s="291">
        <f t="shared" si="62"/>
        <v>0</v>
      </c>
      <c r="T279" s="291">
        <f t="shared" si="63"/>
        <v>0</v>
      </c>
      <c r="U279" s="291"/>
      <c r="V279" s="291">
        <f t="shared" si="64"/>
        <v>0</v>
      </c>
      <c r="W279" s="10">
        <f t="shared" si="65"/>
        <v>0</v>
      </c>
      <c r="X279" s="10">
        <f t="shared" si="66"/>
        <v>0</v>
      </c>
    </row>
    <row r="280" spans="1:24" s="9" customFormat="1" ht="13.5" customHeight="1" x14ac:dyDescent="0.2">
      <c r="A280" s="64">
        <f t="shared" si="67"/>
        <v>276</v>
      </c>
      <c r="B280" s="147" t="s">
        <v>1838</v>
      </c>
      <c r="C280" s="641">
        <v>40116</v>
      </c>
      <c r="D280" s="175">
        <v>3300000</v>
      </c>
      <c r="E280" s="249"/>
      <c r="F280" s="67">
        <f t="shared" si="60"/>
        <v>3300000</v>
      </c>
      <c r="G280" s="67">
        <v>3299000</v>
      </c>
      <c r="H280" s="67">
        <f t="shared" ref="H280:H343" si="68">+F280-G280</f>
        <v>1000</v>
      </c>
      <c r="I280" s="68">
        <v>5</v>
      </c>
      <c r="J280" s="68">
        <v>0.2</v>
      </c>
      <c r="K280" s="68">
        <v>0</v>
      </c>
      <c r="L280" s="110">
        <f t="shared" ref="L280:L343" si="69">ROUND(IF(F280*J280*K280/12&gt;=H280,H280-1000,F280*J280*K280/12),0)</f>
        <v>0</v>
      </c>
      <c r="M280" s="67">
        <f t="shared" ref="M280:M343" si="70">+G280+L280</f>
        <v>3299000</v>
      </c>
      <c r="N280" s="462">
        <f t="shared" si="61"/>
        <v>1000</v>
      </c>
      <c r="O280" s="145" t="s">
        <v>767</v>
      </c>
      <c r="P280" s="514">
        <v>1</v>
      </c>
      <c r="Q280" s="327"/>
      <c r="R280" s="23"/>
      <c r="S280" s="10">
        <f t="shared" si="62"/>
        <v>165000</v>
      </c>
      <c r="T280" s="10">
        <f t="shared" si="63"/>
        <v>-164000</v>
      </c>
      <c r="U280" s="10">
        <f t="shared" ref="U280:U343" si="71">N280-1000</f>
        <v>0</v>
      </c>
      <c r="V280" s="10">
        <f t="shared" si="64"/>
        <v>660000</v>
      </c>
      <c r="W280" s="10">
        <f t="shared" si="65"/>
        <v>0</v>
      </c>
      <c r="X280" s="10">
        <f t="shared" si="66"/>
        <v>0</v>
      </c>
    </row>
    <row r="281" spans="1:24" s="9" customFormat="1" ht="13.5" customHeight="1" x14ac:dyDescent="0.2">
      <c r="A281" s="64">
        <f t="shared" si="67"/>
        <v>277</v>
      </c>
      <c r="B281" s="147" t="s">
        <v>2611</v>
      </c>
      <c r="C281" s="641">
        <v>40117</v>
      </c>
      <c r="D281" s="175">
        <v>350000</v>
      </c>
      <c r="E281" s="249"/>
      <c r="F281" s="67">
        <f t="shared" si="60"/>
        <v>350000</v>
      </c>
      <c r="G281" s="67">
        <v>349000</v>
      </c>
      <c r="H281" s="67">
        <f t="shared" si="68"/>
        <v>1000</v>
      </c>
      <c r="I281" s="68">
        <v>5</v>
      </c>
      <c r="J281" s="68">
        <v>0.2</v>
      </c>
      <c r="K281" s="68">
        <v>0</v>
      </c>
      <c r="L281" s="110">
        <f t="shared" si="69"/>
        <v>0</v>
      </c>
      <c r="M281" s="67">
        <f t="shared" si="70"/>
        <v>349000</v>
      </c>
      <c r="N281" s="462">
        <f t="shared" si="61"/>
        <v>1000</v>
      </c>
      <c r="O281" s="145" t="s">
        <v>2177</v>
      </c>
      <c r="P281" s="514">
        <v>2</v>
      </c>
      <c r="Q281" s="327"/>
      <c r="R281" s="23"/>
      <c r="S281" s="10">
        <f t="shared" si="62"/>
        <v>17500</v>
      </c>
      <c r="T281" s="10">
        <f t="shared" si="63"/>
        <v>-16500</v>
      </c>
      <c r="U281" s="10">
        <f t="shared" si="71"/>
        <v>0</v>
      </c>
      <c r="V281" s="10">
        <f t="shared" si="64"/>
        <v>70000</v>
      </c>
      <c r="W281" s="10">
        <f t="shared" si="65"/>
        <v>0</v>
      </c>
      <c r="X281" s="10">
        <f t="shared" si="66"/>
        <v>0</v>
      </c>
    </row>
    <row r="282" spans="1:24" s="9" customFormat="1" ht="13.5" customHeight="1" x14ac:dyDescent="0.2">
      <c r="A282" s="64">
        <f t="shared" si="67"/>
        <v>278</v>
      </c>
      <c r="B282" s="147" t="s">
        <v>2063</v>
      </c>
      <c r="C282" s="641">
        <v>40117</v>
      </c>
      <c r="D282" s="175">
        <v>1044000</v>
      </c>
      <c r="E282" s="249"/>
      <c r="F282" s="67">
        <f t="shared" si="60"/>
        <v>1044000</v>
      </c>
      <c r="G282" s="67">
        <v>1043000</v>
      </c>
      <c r="H282" s="67">
        <f t="shared" si="68"/>
        <v>1000</v>
      </c>
      <c r="I282" s="68">
        <v>5</v>
      </c>
      <c r="J282" s="68">
        <v>0.2</v>
      </c>
      <c r="K282" s="68">
        <v>0</v>
      </c>
      <c r="L282" s="110">
        <f t="shared" si="69"/>
        <v>0</v>
      </c>
      <c r="M282" s="67">
        <f t="shared" si="70"/>
        <v>1043000</v>
      </c>
      <c r="N282" s="462">
        <f t="shared" si="61"/>
        <v>1000</v>
      </c>
      <c r="O282" s="145" t="s">
        <v>2177</v>
      </c>
      <c r="P282" s="514">
        <v>18</v>
      </c>
      <c r="Q282" s="327"/>
      <c r="R282" s="23"/>
      <c r="S282" s="10">
        <f t="shared" si="62"/>
        <v>52200</v>
      </c>
      <c r="T282" s="10">
        <f t="shared" si="63"/>
        <v>-51200</v>
      </c>
      <c r="U282" s="10">
        <f t="shared" si="71"/>
        <v>0</v>
      </c>
      <c r="V282" s="10">
        <f t="shared" si="64"/>
        <v>208800</v>
      </c>
      <c r="W282" s="10">
        <f t="shared" si="65"/>
        <v>0</v>
      </c>
      <c r="X282" s="10">
        <f t="shared" si="66"/>
        <v>0</v>
      </c>
    </row>
    <row r="283" spans="1:24" s="9" customFormat="1" ht="13.5" customHeight="1" x14ac:dyDescent="0.2">
      <c r="A283" s="64">
        <f t="shared" si="67"/>
        <v>279</v>
      </c>
      <c r="B283" s="147" t="s">
        <v>1873</v>
      </c>
      <c r="C283" s="641">
        <v>40117</v>
      </c>
      <c r="D283" s="175">
        <v>900000</v>
      </c>
      <c r="E283" s="249"/>
      <c r="F283" s="67">
        <f t="shared" si="60"/>
        <v>900000</v>
      </c>
      <c r="G283" s="67">
        <v>899000</v>
      </c>
      <c r="H283" s="67">
        <f t="shared" si="68"/>
        <v>1000</v>
      </c>
      <c r="I283" s="68">
        <v>5</v>
      </c>
      <c r="J283" s="68">
        <v>0.2</v>
      </c>
      <c r="K283" s="68">
        <v>0</v>
      </c>
      <c r="L283" s="110">
        <f t="shared" si="69"/>
        <v>0</v>
      </c>
      <c r="M283" s="67">
        <f t="shared" si="70"/>
        <v>899000</v>
      </c>
      <c r="N283" s="462">
        <f t="shared" si="61"/>
        <v>1000</v>
      </c>
      <c r="O283" s="145" t="s">
        <v>2177</v>
      </c>
      <c r="P283" s="514">
        <v>50</v>
      </c>
      <c r="Q283" s="327"/>
      <c r="R283" s="23"/>
      <c r="S283" s="10">
        <f t="shared" si="62"/>
        <v>45000</v>
      </c>
      <c r="T283" s="10">
        <f t="shared" si="63"/>
        <v>-44000</v>
      </c>
      <c r="U283" s="10">
        <f t="shared" si="71"/>
        <v>0</v>
      </c>
      <c r="V283" s="10">
        <f t="shared" si="64"/>
        <v>180000</v>
      </c>
      <c r="W283" s="10">
        <f t="shared" si="65"/>
        <v>0</v>
      </c>
      <c r="X283" s="10">
        <f t="shared" si="66"/>
        <v>0</v>
      </c>
    </row>
    <row r="284" spans="1:24" s="9" customFormat="1" ht="13.5" customHeight="1" x14ac:dyDescent="0.2">
      <c r="A284" s="64">
        <f t="shared" si="67"/>
        <v>280</v>
      </c>
      <c r="B284" s="147" t="s">
        <v>2612</v>
      </c>
      <c r="C284" s="641">
        <v>40117</v>
      </c>
      <c r="D284" s="175">
        <v>480000</v>
      </c>
      <c r="E284" s="249"/>
      <c r="F284" s="67">
        <f t="shared" si="60"/>
        <v>480000</v>
      </c>
      <c r="G284" s="67">
        <v>479000</v>
      </c>
      <c r="H284" s="67">
        <f t="shared" si="68"/>
        <v>1000</v>
      </c>
      <c r="I284" s="68">
        <v>5</v>
      </c>
      <c r="J284" s="68">
        <v>0.2</v>
      </c>
      <c r="K284" s="68">
        <v>0</v>
      </c>
      <c r="L284" s="110">
        <f t="shared" si="69"/>
        <v>0</v>
      </c>
      <c r="M284" s="67">
        <f t="shared" si="70"/>
        <v>479000</v>
      </c>
      <c r="N284" s="462">
        <f t="shared" si="61"/>
        <v>1000</v>
      </c>
      <c r="O284" s="145" t="s">
        <v>2177</v>
      </c>
      <c r="P284" s="514">
        <v>10</v>
      </c>
      <c r="Q284" s="327"/>
      <c r="R284" s="23"/>
      <c r="S284" s="10">
        <f t="shared" si="62"/>
        <v>24000</v>
      </c>
      <c r="T284" s="10">
        <f t="shared" si="63"/>
        <v>-23000</v>
      </c>
      <c r="U284" s="10">
        <f t="shared" si="71"/>
        <v>0</v>
      </c>
      <c r="V284" s="10">
        <f t="shared" si="64"/>
        <v>96000</v>
      </c>
      <c r="W284" s="10">
        <f t="shared" si="65"/>
        <v>0</v>
      </c>
      <c r="X284" s="10">
        <f t="shared" si="66"/>
        <v>0</v>
      </c>
    </row>
    <row r="285" spans="1:24" s="9" customFormat="1" ht="13.5" customHeight="1" x14ac:dyDescent="0.2">
      <c r="A285" s="64">
        <f t="shared" si="67"/>
        <v>281</v>
      </c>
      <c r="B285" s="147" t="s">
        <v>2613</v>
      </c>
      <c r="C285" s="641">
        <v>40117</v>
      </c>
      <c r="D285" s="175">
        <v>240000</v>
      </c>
      <c r="E285" s="249"/>
      <c r="F285" s="67">
        <f t="shared" si="60"/>
        <v>240000</v>
      </c>
      <c r="G285" s="67">
        <v>239000</v>
      </c>
      <c r="H285" s="67">
        <f t="shared" si="68"/>
        <v>1000</v>
      </c>
      <c r="I285" s="68">
        <v>5</v>
      </c>
      <c r="J285" s="68">
        <v>0.2</v>
      </c>
      <c r="K285" s="68">
        <v>0</v>
      </c>
      <c r="L285" s="110">
        <f t="shared" si="69"/>
        <v>0</v>
      </c>
      <c r="M285" s="67">
        <f t="shared" si="70"/>
        <v>239000</v>
      </c>
      <c r="N285" s="462">
        <f t="shared" si="61"/>
        <v>1000</v>
      </c>
      <c r="O285" s="145" t="s">
        <v>2177</v>
      </c>
      <c r="P285" s="514">
        <v>2</v>
      </c>
      <c r="Q285" s="327"/>
      <c r="R285" s="23"/>
      <c r="S285" s="10">
        <f t="shared" si="62"/>
        <v>12000</v>
      </c>
      <c r="T285" s="10">
        <f t="shared" si="63"/>
        <v>-11000</v>
      </c>
      <c r="U285" s="10">
        <f t="shared" si="71"/>
        <v>0</v>
      </c>
      <c r="V285" s="10">
        <f t="shared" si="64"/>
        <v>48000</v>
      </c>
      <c r="W285" s="10">
        <f t="shared" si="65"/>
        <v>0</v>
      </c>
      <c r="X285" s="10">
        <f t="shared" si="66"/>
        <v>0</v>
      </c>
    </row>
    <row r="286" spans="1:24" s="9" customFormat="1" ht="13.5" customHeight="1" x14ac:dyDescent="0.2">
      <c r="A286" s="64">
        <f t="shared" si="67"/>
        <v>282</v>
      </c>
      <c r="B286" s="147" t="s">
        <v>1956</v>
      </c>
      <c r="C286" s="641">
        <v>40117</v>
      </c>
      <c r="D286" s="175">
        <v>384000</v>
      </c>
      <c r="E286" s="249"/>
      <c r="F286" s="67">
        <f t="shared" si="60"/>
        <v>384000</v>
      </c>
      <c r="G286" s="67">
        <v>383000</v>
      </c>
      <c r="H286" s="67">
        <f t="shared" si="68"/>
        <v>1000</v>
      </c>
      <c r="I286" s="68">
        <v>5</v>
      </c>
      <c r="J286" s="68">
        <v>0.2</v>
      </c>
      <c r="K286" s="68">
        <v>0</v>
      </c>
      <c r="L286" s="110">
        <f t="shared" si="69"/>
        <v>0</v>
      </c>
      <c r="M286" s="67">
        <f t="shared" si="70"/>
        <v>383000</v>
      </c>
      <c r="N286" s="462">
        <f t="shared" si="61"/>
        <v>1000</v>
      </c>
      <c r="O286" s="145" t="s">
        <v>2177</v>
      </c>
      <c r="P286" s="514">
        <v>12</v>
      </c>
      <c r="Q286" s="327"/>
      <c r="R286" s="23"/>
      <c r="S286" s="10">
        <f t="shared" si="62"/>
        <v>19200</v>
      </c>
      <c r="T286" s="10">
        <f t="shared" si="63"/>
        <v>-18200</v>
      </c>
      <c r="U286" s="10">
        <f t="shared" si="71"/>
        <v>0</v>
      </c>
      <c r="V286" s="10">
        <f t="shared" si="64"/>
        <v>76800</v>
      </c>
      <c r="W286" s="10">
        <f t="shared" si="65"/>
        <v>0</v>
      </c>
      <c r="X286" s="10">
        <f t="shared" si="66"/>
        <v>0</v>
      </c>
    </row>
    <row r="287" spans="1:24" s="9" customFormat="1" ht="13.5" customHeight="1" x14ac:dyDescent="0.2">
      <c r="A287" s="64">
        <f t="shared" si="67"/>
        <v>283</v>
      </c>
      <c r="B287" s="147" t="s">
        <v>2611</v>
      </c>
      <c r="C287" s="641">
        <v>40117</v>
      </c>
      <c r="D287" s="175">
        <v>350000</v>
      </c>
      <c r="E287" s="249"/>
      <c r="F287" s="67">
        <f t="shared" si="60"/>
        <v>350000</v>
      </c>
      <c r="G287" s="67">
        <v>349000</v>
      </c>
      <c r="H287" s="67">
        <f t="shared" si="68"/>
        <v>1000</v>
      </c>
      <c r="I287" s="68">
        <v>5</v>
      </c>
      <c r="J287" s="68">
        <v>0.2</v>
      </c>
      <c r="K287" s="68">
        <v>0</v>
      </c>
      <c r="L287" s="110">
        <f t="shared" si="69"/>
        <v>0</v>
      </c>
      <c r="M287" s="67">
        <f t="shared" si="70"/>
        <v>349000</v>
      </c>
      <c r="N287" s="462">
        <f t="shared" si="61"/>
        <v>1000</v>
      </c>
      <c r="O287" s="145" t="s">
        <v>2177</v>
      </c>
      <c r="P287" s="514">
        <v>2</v>
      </c>
      <c r="Q287" s="327"/>
      <c r="R287" s="23"/>
      <c r="S287" s="10">
        <f t="shared" si="62"/>
        <v>17500</v>
      </c>
      <c r="T287" s="10">
        <f t="shared" si="63"/>
        <v>-16500</v>
      </c>
      <c r="U287" s="10">
        <f t="shared" si="71"/>
        <v>0</v>
      </c>
      <c r="V287" s="10">
        <f t="shared" si="64"/>
        <v>70000</v>
      </c>
      <c r="W287" s="10">
        <f t="shared" si="65"/>
        <v>0</v>
      </c>
      <c r="X287" s="10">
        <f t="shared" si="66"/>
        <v>0</v>
      </c>
    </row>
    <row r="288" spans="1:24" s="9" customFormat="1" ht="13.5" customHeight="1" x14ac:dyDescent="0.2">
      <c r="A288" s="64">
        <f t="shared" si="67"/>
        <v>284</v>
      </c>
      <c r="B288" s="147" t="s">
        <v>2604</v>
      </c>
      <c r="C288" s="641">
        <v>40117</v>
      </c>
      <c r="D288" s="175">
        <v>230000</v>
      </c>
      <c r="E288" s="249"/>
      <c r="F288" s="67">
        <f t="shared" si="60"/>
        <v>230000</v>
      </c>
      <c r="G288" s="67">
        <v>229000</v>
      </c>
      <c r="H288" s="67">
        <f t="shared" si="68"/>
        <v>1000</v>
      </c>
      <c r="I288" s="68">
        <v>5</v>
      </c>
      <c r="J288" s="68">
        <v>0.2</v>
      </c>
      <c r="K288" s="68">
        <v>0</v>
      </c>
      <c r="L288" s="110">
        <f t="shared" si="69"/>
        <v>0</v>
      </c>
      <c r="M288" s="67">
        <f t="shared" si="70"/>
        <v>229000</v>
      </c>
      <c r="N288" s="462">
        <f t="shared" si="61"/>
        <v>1000</v>
      </c>
      <c r="O288" s="145" t="s">
        <v>2177</v>
      </c>
      <c r="P288" s="514">
        <v>1</v>
      </c>
      <c r="Q288" s="327"/>
      <c r="R288" s="23"/>
      <c r="S288" s="10">
        <f t="shared" si="62"/>
        <v>11500</v>
      </c>
      <c r="T288" s="10">
        <f t="shared" si="63"/>
        <v>-10500</v>
      </c>
      <c r="U288" s="10">
        <f t="shared" si="71"/>
        <v>0</v>
      </c>
      <c r="V288" s="10">
        <f t="shared" si="64"/>
        <v>46000</v>
      </c>
      <c r="W288" s="10">
        <f t="shared" si="65"/>
        <v>0</v>
      </c>
      <c r="X288" s="10">
        <f t="shared" si="66"/>
        <v>0</v>
      </c>
    </row>
    <row r="289" spans="1:24" s="9" customFormat="1" ht="13.5" customHeight="1" x14ac:dyDescent="0.2">
      <c r="A289" s="64">
        <f t="shared" si="67"/>
        <v>285</v>
      </c>
      <c r="B289" s="147" t="s">
        <v>2614</v>
      </c>
      <c r="C289" s="641">
        <v>40123</v>
      </c>
      <c r="D289" s="175">
        <v>350000</v>
      </c>
      <c r="E289" s="249"/>
      <c r="F289" s="67">
        <f t="shared" si="60"/>
        <v>350000</v>
      </c>
      <c r="G289" s="67">
        <v>349000</v>
      </c>
      <c r="H289" s="67">
        <f t="shared" si="68"/>
        <v>1000</v>
      </c>
      <c r="I289" s="68">
        <v>5</v>
      </c>
      <c r="J289" s="68">
        <v>0.2</v>
      </c>
      <c r="K289" s="68">
        <v>0</v>
      </c>
      <c r="L289" s="110">
        <f t="shared" si="69"/>
        <v>0</v>
      </c>
      <c r="M289" s="67">
        <f t="shared" si="70"/>
        <v>349000</v>
      </c>
      <c r="N289" s="462">
        <f t="shared" si="61"/>
        <v>1000</v>
      </c>
      <c r="O289" s="145" t="s">
        <v>2177</v>
      </c>
      <c r="P289" s="514">
        <v>2</v>
      </c>
      <c r="Q289" s="327"/>
      <c r="R289" s="23"/>
      <c r="S289" s="10">
        <f t="shared" si="62"/>
        <v>17500</v>
      </c>
      <c r="T289" s="10">
        <f t="shared" si="63"/>
        <v>-16500</v>
      </c>
      <c r="U289" s="10">
        <f t="shared" si="71"/>
        <v>0</v>
      </c>
      <c r="V289" s="10">
        <f t="shared" si="64"/>
        <v>70000</v>
      </c>
      <c r="W289" s="10">
        <f t="shared" si="65"/>
        <v>0</v>
      </c>
      <c r="X289" s="10">
        <f t="shared" si="66"/>
        <v>0</v>
      </c>
    </row>
    <row r="290" spans="1:24" s="9" customFormat="1" ht="13.5" customHeight="1" x14ac:dyDescent="0.2">
      <c r="A290" s="64">
        <f t="shared" si="67"/>
        <v>286</v>
      </c>
      <c r="B290" s="147" t="s">
        <v>2615</v>
      </c>
      <c r="C290" s="641">
        <v>40123</v>
      </c>
      <c r="D290" s="175">
        <v>390000</v>
      </c>
      <c r="E290" s="249"/>
      <c r="F290" s="67">
        <f t="shared" si="60"/>
        <v>390000</v>
      </c>
      <c r="G290" s="67">
        <v>389000</v>
      </c>
      <c r="H290" s="67">
        <f t="shared" si="68"/>
        <v>1000</v>
      </c>
      <c r="I290" s="68">
        <v>5</v>
      </c>
      <c r="J290" s="68">
        <v>0.2</v>
      </c>
      <c r="K290" s="68">
        <v>0</v>
      </c>
      <c r="L290" s="110">
        <f t="shared" si="69"/>
        <v>0</v>
      </c>
      <c r="M290" s="67">
        <f t="shared" si="70"/>
        <v>389000</v>
      </c>
      <c r="N290" s="462">
        <f t="shared" si="61"/>
        <v>1000</v>
      </c>
      <c r="O290" s="145" t="s">
        <v>2189</v>
      </c>
      <c r="P290" s="514">
        <v>1</v>
      </c>
      <c r="Q290" s="327"/>
      <c r="R290" s="23"/>
      <c r="S290" s="10">
        <f t="shared" si="62"/>
        <v>19500</v>
      </c>
      <c r="T290" s="10">
        <f t="shared" si="63"/>
        <v>-18500</v>
      </c>
      <c r="U290" s="10">
        <f t="shared" si="71"/>
        <v>0</v>
      </c>
      <c r="V290" s="10">
        <f t="shared" si="64"/>
        <v>78000</v>
      </c>
      <c r="W290" s="10">
        <f t="shared" si="65"/>
        <v>0</v>
      </c>
      <c r="X290" s="10">
        <f t="shared" si="66"/>
        <v>0</v>
      </c>
    </row>
    <row r="291" spans="1:24" s="9" customFormat="1" ht="13.5" customHeight="1" x14ac:dyDescent="0.2">
      <c r="A291" s="64">
        <f t="shared" si="67"/>
        <v>287</v>
      </c>
      <c r="B291" s="147" t="s">
        <v>2616</v>
      </c>
      <c r="C291" s="641">
        <v>40147</v>
      </c>
      <c r="D291" s="175">
        <v>665000</v>
      </c>
      <c r="E291" s="249"/>
      <c r="F291" s="67">
        <f t="shared" si="60"/>
        <v>665000</v>
      </c>
      <c r="G291" s="67">
        <v>664000</v>
      </c>
      <c r="H291" s="67">
        <f t="shared" si="68"/>
        <v>1000</v>
      </c>
      <c r="I291" s="68">
        <v>5</v>
      </c>
      <c r="J291" s="68">
        <v>0.2</v>
      </c>
      <c r="K291" s="68">
        <v>0</v>
      </c>
      <c r="L291" s="110">
        <f t="shared" si="69"/>
        <v>0</v>
      </c>
      <c r="M291" s="67">
        <f t="shared" si="70"/>
        <v>664000</v>
      </c>
      <c r="N291" s="462">
        <f t="shared" si="61"/>
        <v>1000</v>
      </c>
      <c r="O291" s="145" t="s">
        <v>2617</v>
      </c>
      <c r="P291" s="514">
        <v>1</v>
      </c>
      <c r="Q291" s="327"/>
      <c r="R291" s="23"/>
      <c r="S291" s="10">
        <f t="shared" si="62"/>
        <v>33250</v>
      </c>
      <c r="T291" s="10">
        <f t="shared" si="63"/>
        <v>-32250</v>
      </c>
      <c r="U291" s="10">
        <f t="shared" si="71"/>
        <v>0</v>
      </c>
      <c r="V291" s="10">
        <f t="shared" si="64"/>
        <v>133000</v>
      </c>
      <c r="W291" s="10">
        <f t="shared" si="65"/>
        <v>0</v>
      </c>
      <c r="X291" s="10">
        <f t="shared" si="66"/>
        <v>0</v>
      </c>
    </row>
    <row r="292" spans="1:24" s="9" customFormat="1" ht="13.5" customHeight="1" x14ac:dyDescent="0.2">
      <c r="A292" s="64">
        <f t="shared" si="67"/>
        <v>288</v>
      </c>
      <c r="B292" s="147" t="s">
        <v>2618</v>
      </c>
      <c r="C292" s="641">
        <v>40151</v>
      </c>
      <c r="D292" s="175">
        <v>320000</v>
      </c>
      <c r="E292" s="249"/>
      <c r="F292" s="67">
        <f t="shared" si="60"/>
        <v>320000</v>
      </c>
      <c r="G292" s="67">
        <v>319000</v>
      </c>
      <c r="H292" s="67">
        <f t="shared" si="68"/>
        <v>1000</v>
      </c>
      <c r="I292" s="68">
        <v>5</v>
      </c>
      <c r="J292" s="68">
        <v>0.2</v>
      </c>
      <c r="K292" s="68">
        <v>0</v>
      </c>
      <c r="L292" s="110">
        <f t="shared" si="69"/>
        <v>0</v>
      </c>
      <c r="M292" s="67">
        <f t="shared" si="70"/>
        <v>319000</v>
      </c>
      <c r="N292" s="462">
        <f t="shared" si="61"/>
        <v>1000</v>
      </c>
      <c r="O292" s="145" t="s">
        <v>2619</v>
      </c>
      <c r="P292" s="514">
        <v>1</v>
      </c>
      <c r="Q292" s="327"/>
      <c r="R292" s="23"/>
      <c r="S292" s="10">
        <f t="shared" si="62"/>
        <v>16000</v>
      </c>
      <c r="T292" s="10">
        <f t="shared" si="63"/>
        <v>-15000</v>
      </c>
      <c r="U292" s="10">
        <f t="shared" si="71"/>
        <v>0</v>
      </c>
      <c r="V292" s="10">
        <f t="shared" si="64"/>
        <v>64000</v>
      </c>
      <c r="W292" s="10">
        <f t="shared" si="65"/>
        <v>0</v>
      </c>
      <c r="X292" s="10">
        <f t="shared" si="66"/>
        <v>0</v>
      </c>
    </row>
    <row r="293" spans="1:24" s="9" customFormat="1" ht="13.5" customHeight="1" x14ac:dyDescent="0.2">
      <c r="A293" s="64">
        <f t="shared" si="67"/>
        <v>289</v>
      </c>
      <c r="B293" s="147" t="s">
        <v>2604</v>
      </c>
      <c r="C293" s="641">
        <v>40176</v>
      </c>
      <c r="D293" s="175">
        <v>270000</v>
      </c>
      <c r="E293" s="249"/>
      <c r="F293" s="67">
        <f t="shared" si="60"/>
        <v>270000</v>
      </c>
      <c r="G293" s="67">
        <v>269000</v>
      </c>
      <c r="H293" s="67">
        <f t="shared" si="68"/>
        <v>1000</v>
      </c>
      <c r="I293" s="68">
        <v>5</v>
      </c>
      <c r="J293" s="68">
        <v>0.2</v>
      </c>
      <c r="K293" s="68">
        <v>0</v>
      </c>
      <c r="L293" s="110">
        <f t="shared" si="69"/>
        <v>0</v>
      </c>
      <c r="M293" s="67">
        <f t="shared" si="70"/>
        <v>269000</v>
      </c>
      <c r="N293" s="462">
        <f t="shared" si="61"/>
        <v>1000</v>
      </c>
      <c r="O293" s="145" t="s">
        <v>2177</v>
      </c>
      <c r="P293" s="514">
        <v>1</v>
      </c>
      <c r="Q293" s="327"/>
      <c r="R293" s="23"/>
      <c r="S293" s="10">
        <f t="shared" si="62"/>
        <v>13500</v>
      </c>
      <c r="T293" s="10">
        <f t="shared" si="63"/>
        <v>-12500</v>
      </c>
      <c r="U293" s="10">
        <f t="shared" si="71"/>
        <v>0</v>
      </c>
      <c r="V293" s="10">
        <f t="shared" si="64"/>
        <v>54000</v>
      </c>
      <c r="W293" s="10">
        <f t="shared" si="65"/>
        <v>0</v>
      </c>
      <c r="X293" s="10">
        <f t="shared" si="66"/>
        <v>0</v>
      </c>
    </row>
    <row r="294" spans="1:24" s="9" customFormat="1" ht="13.5" customHeight="1" x14ac:dyDescent="0.2">
      <c r="A294" s="64">
        <f t="shared" si="67"/>
        <v>290</v>
      </c>
      <c r="B294" s="147" t="s">
        <v>1846</v>
      </c>
      <c r="C294" s="641">
        <v>40176</v>
      </c>
      <c r="D294" s="175">
        <v>1467000</v>
      </c>
      <c r="E294" s="249"/>
      <c r="F294" s="67">
        <f t="shared" si="60"/>
        <v>1467000</v>
      </c>
      <c r="G294" s="67">
        <v>1466000</v>
      </c>
      <c r="H294" s="67">
        <f t="shared" si="68"/>
        <v>1000</v>
      </c>
      <c r="I294" s="68">
        <v>5</v>
      </c>
      <c r="J294" s="68">
        <v>0.2</v>
      </c>
      <c r="K294" s="68">
        <v>0</v>
      </c>
      <c r="L294" s="110">
        <f t="shared" si="69"/>
        <v>0</v>
      </c>
      <c r="M294" s="67">
        <f t="shared" si="70"/>
        <v>1466000</v>
      </c>
      <c r="N294" s="462">
        <f t="shared" si="61"/>
        <v>1000</v>
      </c>
      <c r="O294" s="145" t="s">
        <v>2601</v>
      </c>
      <c r="P294" s="514">
        <v>2</v>
      </c>
      <c r="Q294" s="327"/>
      <c r="R294" s="23"/>
      <c r="S294" s="10">
        <f t="shared" si="62"/>
        <v>73350</v>
      </c>
      <c r="T294" s="10">
        <f t="shared" si="63"/>
        <v>-72350</v>
      </c>
      <c r="U294" s="10">
        <f t="shared" si="71"/>
        <v>0</v>
      </c>
      <c r="V294" s="10">
        <f t="shared" si="64"/>
        <v>293400</v>
      </c>
      <c r="W294" s="10">
        <f t="shared" si="65"/>
        <v>0</v>
      </c>
      <c r="X294" s="10">
        <f t="shared" si="66"/>
        <v>0</v>
      </c>
    </row>
    <row r="295" spans="1:24" s="9" customFormat="1" ht="13.5" customHeight="1" x14ac:dyDescent="0.2">
      <c r="A295" s="64">
        <f t="shared" si="67"/>
        <v>291</v>
      </c>
      <c r="B295" s="147" t="s">
        <v>1846</v>
      </c>
      <c r="C295" s="641">
        <v>40176</v>
      </c>
      <c r="D295" s="175">
        <v>705000</v>
      </c>
      <c r="E295" s="249"/>
      <c r="F295" s="67">
        <f t="shared" si="60"/>
        <v>705000</v>
      </c>
      <c r="G295" s="67">
        <v>704000</v>
      </c>
      <c r="H295" s="67">
        <f t="shared" si="68"/>
        <v>1000</v>
      </c>
      <c r="I295" s="68">
        <v>5</v>
      </c>
      <c r="J295" s="68">
        <v>0.2</v>
      </c>
      <c r="K295" s="68">
        <v>0</v>
      </c>
      <c r="L295" s="110">
        <f t="shared" si="69"/>
        <v>0</v>
      </c>
      <c r="M295" s="67">
        <f t="shared" si="70"/>
        <v>704000</v>
      </c>
      <c r="N295" s="462">
        <f t="shared" si="61"/>
        <v>1000</v>
      </c>
      <c r="O295" s="145" t="s">
        <v>2601</v>
      </c>
      <c r="P295" s="514">
        <v>1</v>
      </c>
      <c r="Q295" s="327"/>
      <c r="R295" s="23"/>
      <c r="S295" s="10">
        <f t="shared" si="62"/>
        <v>35250</v>
      </c>
      <c r="T295" s="10">
        <f t="shared" si="63"/>
        <v>-34250</v>
      </c>
      <c r="U295" s="10">
        <f t="shared" si="71"/>
        <v>0</v>
      </c>
      <c r="V295" s="10">
        <f t="shared" si="64"/>
        <v>141000</v>
      </c>
      <c r="W295" s="10">
        <f t="shared" si="65"/>
        <v>0</v>
      </c>
      <c r="X295" s="10">
        <f t="shared" si="66"/>
        <v>0</v>
      </c>
    </row>
    <row r="296" spans="1:24" s="9" customFormat="1" ht="13.5" customHeight="1" x14ac:dyDescent="0.2">
      <c r="A296" s="64">
        <f t="shared" si="67"/>
        <v>292</v>
      </c>
      <c r="B296" s="147" t="s">
        <v>1975</v>
      </c>
      <c r="C296" s="641">
        <v>40185</v>
      </c>
      <c r="D296" s="175">
        <v>1810000</v>
      </c>
      <c r="E296" s="249"/>
      <c r="F296" s="67">
        <f t="shared" si="60"/>
        <v>1810000</v>
      </c>
      <c r="G296" s="67">
        <v>1809000</v>
      </c>
      <c r="H296" s="67">
        <f t="shared" si="68"/>
        <v>1000</v>
      </c>
      <c r="I296" s="68">
        <v>5</v>
      </c>
      <c r="J296" s="68">
        <v>0.2</v>
      </c>
      <c r="K296" s="68">
        <v>0</v>
      </c>
      <c r="L296" s="110">
        <f t="shared" si="69"/>
        <v>0</v>
      </c>
      <c r="M296" s="67">
        <f t="shared" si="70"/>
        <v>1809000</v>
      </c>
      <c r="N296" s="462">
        <f t="shared" si="61"/>
        <v>1000</v>
      </c>
      <c r="O296" s="238" t="s">
        <v>2458</v>
      </c>
      <c r="P296" s="514">
        <v>5</v>
      </c>
      <c r="Q296" s="327"/>
      <c r="R296" s="23"/>
      <c r="S296" s="10">
        <f t="shared" si="62"/>
        <v>90500</v>
      </c>
      <c r="T296" s="10">
        <f t="shared" si="63"/>
        <v>-89500</v>
      </c>
      <c r="U296" s="10">
        <f t="shared" si="71"/>
        <v>0</v>
      </c>
      <c r="V296" s="10">
        <f t="shared" si="64"/>
        <v>362000</v>
      </c>
      <c r="W296" s="10">
        <f t="shared" si="65"/>
        <v>0</v>
      </c>
      <c r="X296" s="10">
        <f t="shared" si="66"/>
        <v>0</v>
      </c>
    </row>
    <row r="297" spans="1:24" s="9" customFormat="1" ht="13.5" customHeight="1" x14ac:dyDescent="0.2">
      <c r="A297" s="64">
        <f t="shared" si="67"/>
        <v>293</v>
      </c>
      <c r="B297" s="147" t="s">
        <v>1975</v>
      </c>
      <c r="C297" s="641">
        <v>40198</v>
      </c>
      <c r="D297" s="175">
        <v>390000</v>
      </c>
      <c r="E297" s="249"/>
      <c r="F297" s="67">
        <f t="shared" si="60"/>
        <v>390000</v>
      </c>
      <c r="G297" s="67">
        <v>389000</v>
      </c>
      <c r="H297" s="67">
        <f t="shared" si="68"/>
        <v>1000</v>
      </c>
      <c r="I297" s="68">
        <v>5</v>
      </c>
      <c r="J297" s="68">
        <v>0.2</v>
      </c>
      <c r="K297" s="68">
        <v>0</v>
      </c>
      <c r="L297" s="110">
        <f t="shared" si="69"/>
        <v>0</v>
      </c>
      <c r="M297" s="67">
        <f t="shared" si="70"/>
        <v>389000</v>
      </c>
      <c r="N297" s="462">
        <f t="shared" si="61"/>
        <v>1000</v>
      </c>
      <c r="O297" s="238" t="s">
        <v>2189</v>
      </c>
      <c r="P297" s="514">
        <v>1</v>
      </c>
      <c r="Q297" s="327"/>
      <c r="R297" s="23"/>
      <c r="S297" s="10">
        <f t="shared" si="62"/>
        <v>19500</v>
      </c>
      <c r="T297" s="10">
        <f t="shared" si="63"/>
        <v>-18500</v>
      </c>
      <c r="U297" s="10">
        <f t="shared" si="71"/>
        <v>0</v>
      </c>
      <c r="V297" s="10">
        <f t="shared" si="64"/>
        <v>78000</v>
      </c>
      <c r="W297" s="10">
        <f t="shared" si="65"/>
        <v>0</v>
      </c>
      <c r="X297" s="10">
        <f t="shared" si="66"/>
        <v>0</v>
      </c>
    </row>
    <row r="298" spans="1:24" s="9" customFormat="1" ht="13.5" customHeight="1" x14ac:dyDescent="0.2">
      <c r="A298" s="64">
        <f t="shared" si="67"/>
        <v>294</v>
      </c>
      <c r="B298" s="147" t="s">
        <v>2527</v>
      </c>
      <c r="C298" s="641">
        <v>40199</v>
      </c>
      <c r="D298" s="175">
        <v>900000</v>
      </c>
      <c r="E298" s="249"/>
      <c r="F298" s="67">
        <f t="shared" si="60"/>
        <v>900000</v>
      </c>
      <c r="G298" s="67">
        <v>899000</v>
      </c>
      <c r="H298" s="67">
        <f t="shared" si="68"/>
        <v>1000</v>
      </c>
      <c r="I298" s="68">
        <v>5</v>
      </c>
      <c r="J298" s="68">
        <v>0.2</v>
      </c>
      <c r="K298" s="68">
        <v>0</v>
      </c>
      <c r="L298" s="110">
        <f t="shared" si="69"/>
        <v>0</v>
      </c>
      <c r="M298" s="67">
        <f t="shared" si="70"/>
        <v>899000</v>
      </c>
      <c r="N298" s="462">
        <f t="shared" si="61"/>
        <v>1000</v>
      </c>
      <c r="O298" s="238" t="s">
        <v>2458</v>
      </c>
      <c r="P298" s="514">
        <v>2</v>
      </c>
      <c r="Q298" s="327"/>
      <c r="R298" s="23"/>
      <c r="S298" s="10">
        <f t="shared" si="62"/>
        <v>45000</v>
      </c>
      <c r="T298" s="10">
        <f t="shared" si="63"/>
        <v>-44000</v>
      </c>
      <c r="U298" s="10">
        <f t="shared" si="71"/>
        <v>0</v>
      </c>
      <c r="V298" s="10">
        <f t="shared" si="64"/>
        <v>180000</v>
      </c>
      <c r="W298" s="10">
        <f t="shared" si="65"/>
        <v>0</v>
      </c>
      <c r="X298" s="10">
        <f t="shared" si="66"/>
        <v>0</v>
      </c>
    </row>
    <row r="299" spans="1:24" s="9" customFormat="1" ht="13.5" customHeight="1" x14ac:dyDescent="0.2">
      <c r="A299" s="64">
        <f t="shared" si="67"/>
        <v>295</v>
      </c>
      <c r="B299" s="147" t="s">
        <v>2620</v>
      </c>
      <c r="C299" s="641">
        <v>40199</v>
      </c>
      <c r="D299" s="175">
        <v>480000</v>
      </c>
      <c r="E299" s="249"/>
      <c r="F299" s="67">
        <f t="shared" si="60"/>
        <v>480000</v>
      </c>
      <c r="G299" s="67">
        <v>479000</v>
      </c>
      <c r="H299" s="67">
        <f t="shared" si="68"/>
        <v>1000</v>
      </c>
      <c r="I299" s="68">
        <v>5</v>
      </c>
      <c r="J299" s="68">
        <v>0.2</v>
      </c>
      <c r="K299" s="68">
        <v>0</v>
      </c>
      <c r="L299" s="110">
        <f t="shared" si="69"/>
        <v>0</v>
      </c>
      <c r="M299" s="67">
        <f t="shared" si="70"/>
        <v>479000</v>
      </c>
      <c r="N299" s="462">
        <f t="shared" si="61"/>
        <v>1000</v>
      </c>
      <c r="O299" s="238" t="s">
        <v>2458</v>
      </c>
      <c r="P299" s="514">
        <v>1</v>
      </c>
      <c r="Q299" s="327"/>
      <c r="R299" s="23"/>
      <c r="S299" s="10">
        <f t="shared" si="62"/>
        <v>24000</v>
      </c>
      <c r="T299" s="10">
        <f t="shared" si="63"/>
        <v>-23000</v>
      </c>
      <c r="U299" s="10">
        <f t="shared" si="71"/>
        <v>0</v>
      </c>
      <c r="V299" s="10">
        <f t="shared" si="64"/>
        <v>96000</v>
      </c>
      <c r="W299" s="10">
        <f t="shared" si="65"/>
        <v>0</v>
      </c>
      <c r="X299" s="10">
        <f t="shared" si="66"/>
        <v>0</v>
      </c>
    </row>
    <row r="300" spans="1:24" s="9" customFormat="1" ht="13.5" customHeight="1" x14ac:dyDescent="0.2">
      <c r="A300" s="64">
        <f t="shared" si="67"/>
        <v>296</v>
      </c>
      <c r="B300" s="147" t="s">
        <v>2621</v>
      </c>
      <c r="C300" s="641">
        <v>40199</v>
      </c>
      <c r="D300" s="175">
        <v>200000</v>
      </c>
      <c r="E300" s="249"/>
      <c r="F300" s="67">
        <f t="shared" si="60"/>
        <v>200000</v>
      </c>
      <c r="G300" s="67">
        <v>199000</v>
      </c>
      <c r="H300" s="67">
        <f t="shared" si="68"/>
        <v>1000</v>
      </c>
      <c r="I300" s="68">
        <v>5</v>
      </c>
      <c r="J300" s="68">
        <v>0.2</v>
      </c>
      <c r="K300" s="68">
        <v>0</v>
      </c>
      <c r="L300" s="110">
        <f t="shared" si="69"/>
        <v>0</v>
      </c>
      <c r="M300" s="67">
        <f t="shared" si="70"/>
        <v>199000</v>
      </c>
      <c r="N300" s="462">
        <f t="shared" si="61"/>
        <v>1000</v>
      </c>
      <c r="O300" s="238" t="s">
        <v>2458</v>
      </c>
      <c r="P300" s="514">
        <v>1</v>
      </c>
      <c r="Q300" s="327"/>
      <c r="R300" s="23"/>
      <c r="S300" s="10">
        <f t="shared" si="62"/>
        <v>10000</v>
      </c>
      <c r="T300" s="10">
        <f t="shared" si="63"/>
        <v>-9000</v>
      </c>
      <c r="U300" s="10">
        <f t="shared" si="71"/>
        <v>0</v>
      </c>
      <c r="V300" s="10">
        <f t="shared" si="64"/>
        <v>40000</v>
      </c>
      <c r="W300" s="10">
        <f t="shared" si="65"/>
        <v>0</v>
      </c>
      <c r="X300" s="10">
        <f t="shared" si="66"/>
        <v>0</v>
      </c>
    </row>
    <row r="301" spans="1:24" s="9" customFormat="1" ht="13.5" customHeight="1" x14ac:dyDescent="0.2">
      <c r="A301" s="64">
        <f t="shared" si="67"/>
        <v>297</v>
      </c>
      <c r="B301" s="147" t="s">
        <v>1846</v>
      </c>
      <c r="C301" s="641">
        <v>40207</v>
      </c>
      <c r="D301" s="175">
        <v>2812000</v>
      </c>
      <c r="E301" s="249"/>
      <c r="F301" s="67">
        <f t="shared" si="60"/>
        <v>2812000</v>
      </c>
      <c r="G301" s="67">
        <v>2811000</v>
      </c>
      <c r="H301" s="67">
        <f t="shared" si="68"/>
        <v>1000</v>
      </c>
      <c r="I301" s="68">
        <v>5</v>
      </c>
      <c r="J301" s="68">
        <v>0.2</v>
      </c>
      <c r="K301" s="68">
        <v>0</v>
      </c>
      <c r="L301" s="110">
        <f t="shared" si="69"/>
        <v>0</v>
      </c>
      <c r="M301" s="67">
        <f t="shared" si="70"/>
        <v>2811000</v>
      </c>
      <c r="N301" s="462">
        <f t="shared" si="61"/>
        <v>1000</v>
      </c>
      <c r="O301" s="238" t="s">
        <v>2601</v>
      </c>
      <c r="P301" s="514">
        <v>4</v>
      </c>
      <c r="Q301" s="327"/>
      <c r="R301" s="23"/>
      <c r="S301" s="10">
        <f t="shared" si="62"/>
        <v>140600</v>
      </c>
      <c r="T301" s="10">
        <f t="shared" si="63"/>
        <v>-139600</v>
      </c>
      <c r="U301" s="10">
        <f t="shared" si="71"/>
        <v>0</v>
      </c>
      <c r="V301" s="10">
        <f t="shared" si="64"/>
        <v>562400</v>
      </c>
      <c r="W301" s="10">
        <f t="shared" si="65"/>
        <v>0</v>
      </c>
      <c r="X301" s="10">
        <f t="shared" si="66"/>
        <v>0</v>
      </c>
    </row>
    <row r="302" spans="1:24" s="9" customFormat="1" ht="13.5" customHeight="1" x14ac:dyDescent="0.2">
      <c r="A302" s="64">
        <f t="shared" si="67"/>
        <v>298</v>
      </c>
      <c r="B302" s="147" t="s">
        <v>1858</v>
      </c>
      <c r="C302" s="641">
        <v>40209</v>
      </c>
      <c r="D302" s="175">
        <v>4200000</v>
      </c>
      <c r="E302" s="249"/>
      <c r="F302" s="67">
        <f t="shared" si="60"/>
        <v>4200000</v>
      </c>
      <c r="G302" s="67">
        <v>4199000</v>
      </c>
      <c r="H302" s="67">
        <f t="shared" si="68"/>
        <v>1000</v>
      </c>
      <c r="I302" s="68">
        <v>5</v>
      </c>
      <c r="J302" s="68">
        <v>0.2</v>
      </c>
      <c r="K302" s="68">
        <v>0</v>
      </c>
      <c r="L302" s="110">
        <f t="shared" si="69"/>
        <v>0</v>
      </c>
      <c r="M302" s="67">
        <f t="shared" si="70"/>
        <v>4199000</v>
      </c>
      <c r="N302" s="462">
        <f t="shared" si="61"/>
        <v>1000</v>
      </c>
      <c r="O302" s="238" t="s">
        <v>767</v>
      </c>
      <c r="P302" s="514">
        <v>3</v>
      </c>
      <c r="Q302" s="327"/>
      <c r="R302" s="23"/>
      <c r="S302" s="10">
        <f t="shared" si="62"/>
        <v>210000</v>
      </c>
      <c r="T302" s="10">
        <f t="shared" si="63"/>
        <v>-209000</v>
      </c>
      <c r="U302" s="10">
        <f t="shared" si="71"/>
        <v>0</v>
      </c>
      <c r="V302" s="10">
        <f t="shared" si="64"/>
        <v>840000</v>
      </c>
      <c r="W302" s="10">
        <f t="shared" si="65"/>
        <v>0</v>
      </c>
      <c r="X302" s="10">
        <f t="shared" si="66"/>
        <v>0</v>
      </c>
    </row>
    <row r="303" spans="1:24" s="9" customFormat="1" ht="13.5" customHeight="1" x14ac:dyDescent="0.2">
      <c r="A303" s="64">
        <f t="shared" si="67"/>
        <v>299</v>
      </c>
      <c r="B303" s="147" t="s">
        <v>2622</v>
      </c>
      <c r="C303" s="641">
        <v>40209</v>
      </c>
      <c r="D303" s="175">
        <v>180000</v>
      </c>
      <c r="E303" s="249"/>
      <c r="F303" s="67">
        <f t="shared" si="60"/>
        <v>180000</v>
      </c>
      <c r="G303" s="67">
        <v>179000</v>
      </c>
      <c r="H303" s="67">
        <f t="shared" si="68"/>
        <v>1000</v>
      </c>
      <c r="I303" s="68">
        <v>5</v>
      </c>
      <c r="J303" s="68">
        <v>0.2</v>
      </c>
      <c r="K303" s="68">
        <v>0</v>
      </c>
      <c r="L303" s="110">
        <f t="shared" si="69"/>
        <v>0</v>
      </c>
      <c r="M303" s="67">
        <f t="shared" si="70"/>
        <v>179000</v>
      </c>
      <c r="N303" s="462">
        <f t="shared" si="61"/>
        <v>1000</v>
      </c>
      <c r="O303" s="238" t="s">
        <v>2177</v>
      </c>
      <c r="P303" s="514">
        <v>1</v>
      </c>
      <c r="Q303" s="327"/>
      <c r="R303" s="23"/>
      <c r="S303" s="10">
        <f t="shared" si="62"/>
        <v>9000</v>
      </c>
      <c r="T303" s="10">
        <f t="shared" si="63"/>
        <v>-8000</v>
      </c>
      <c r="U303" s="10">
        <f t="shared" si="71"/>
        <v>0</v>
      </c>
      <c r="V303" s="10">
        <f t="shared" si="64"/>
        <v>36000</v>
      </c>
      <c r="W303" s="10">
        <f t="shared" si="65"/>
        <v>0</v>
      </c>
      <c r="X303" s="10">
        <f t="shared" si="66"/>
        <v>0</v>
      </c>
    </row>
    <row r="304" spans="1:24" s="9" customFormat="1" ht="13.5" customHeight="1" x14ac:dyDescent="0.2">
      <c r="A304" s="64">
        <f t="shared" si="67"/>
        <v>300</v>
      </c>
      <c r="B304" s="147" t="s">
        <v>2017</v>
      </c>
      <c r="C304" s="641">
        <v>40209</v>
      </c>
      <c r="D304" s="175">
        <v>100000</v>
      </c>
      <c r="E304" s="249"/>
      <c r="F304" s="67">
        <f t="shared" si="60"/>
        <v>100000</v>
      </c>
      <c r="G304" s="67">
        <v>99000</v>
      </c>
      <c r="H304" s="67">
        <f t="shared" si="68"/>
        <v>1000</v>
      </c>
      <c r="I304" s="68">
        <v>5</v>
      </c>
      <c r="J304" s="68">
        <v>0.2</v>
      </c>
      <c r="K304" s="68">
        <v>0</v>
      </c>
      <c r="L304" s="110">
        <f t="shared" si="69"/>
        <v>0</v>
      </c>
      <c r="M304" s="67">
        <f t="shared" si="70"/>
        <v>99000</v>
      </c>
      <c r="N304" s="462">
        <f t="shared" si="61"/>
        <v>1000</v>
      </c>
      <c r="O304" s="238" t="s">
        <v>2177</v>
      </c>
      <c r="P304" s="514">
        <v>1</v>
      </c>
      <c r="Q304" s="327"/>
      <c r="R304" s="23"/>
      <c r="S304" s="10">
        <f t="shared" si="62"/>
        <v>5000</v>
      </c>
      <c r="T304" s="10">
        <f t="shared" si="63"/>
        <v>-4000</v>
      </c>
      <c r="U304" s="10">
        <f t="shared" si="71"/>
        <v>0</v>
      </c>
      <c r="V304" s="10">
        <f t="shared" si="64"/>
        <v>20000</v>
      </c>
      <c r="W304" s="10">
        <f t="shared" si="65"/>
        <v>0</v>
      </c>
      <c r="X304" s="10">
        <f t="shared" si="66"/>
        <v>0</v>
      </c>
    </row>
    <row r="305" spans="1:24" s="9" customFormat="1" ht="13.5" customHeight="1" x14ac:dyDescent="0.2">
      <c r="A305" s="64">
        <f t="shared" si="67"/>
        <v>301</v>
      </c>
      <c r="B305" s="147" t="s">
        <v>1855</v>
      </c>
      <c r="C305" s="641">
        <v>40209</v>
      </c>
      <c r="D305" s="175">
        <v>55000</v>
      </c>
      <c r="E305" s="249"/>
      <c r="F305" s="67">
        <f t="shared" si="60"/>
        <v>55000</v>
      </c>
      <c r="G305" s="67">
        <v>54000</v>
      </c>
      <c r="H305" s="67">
        <f t="shared" si="68"/>
        <v>1000</v>
      </c>
      <c r="I305" s="68">
        <v>5</v>
      </c>
      <c r="J305" s="68">
        <v>0.2</v>
      </c>
      <c r="K305" s="68">
        <v>0</v>
      </c>
      <c r="L305" s="110">
        <f t="shared" si="69"/>
        <v>0</v>
      </c>
      <c r="M305" s="67">
        <f t="shared" si="70"/>
        <v>54000</v>
      </c>
      <c r="N305" s="462">
        <f t="shared" si="61"/>
        <v>1000</v>
      </c>
      <c r="O305" s="238" t="s">
        <v>2177</v>
      </c>
      <c r="P305" s="514">
        <v>1</v>
      </c>
      <c r="Q305" s="327"/>
      <c r="R305" s="23"/>
      <c r="S305" s="10">
        <f t="shared" si="62"/>
        <v>2750</v>
      </c>
      <c r="T305" s="10">
        <f t="shared" si="63"/>
        <v>-1750</v>
      </c>
      <c r="U305" s="10">
        <f t="shared" si="71"/>
        <v>0</v>
      </c>
      <c r="V305" s="10">
        <f t="shared" si="64"/>
        <v>11000</v>
      </c>
      <c r="W305" s="10">
        <f t="shared" si="65"/>
        <v>0</v>
      </c>
      <c r="X305" s="10">
        <f t="shared" si="66"/>
        <v>0</v>
      </c>
    </row>
    <row r="306" spans="1:24" s="9" customFormat="1" ht="13.5" customHeight="1" x14ac:dyDescent="0.2">
      <c r="A306" s="64">
        <f t="shared" si="67"/>
        <v>302</v>
      </c>
      <c r="B306" s="147" t="s">
        <v>1873</v>
      </c>
      <c r="C306" s="641">
        <v>40209</v>
      </c>
      <c r="D306" s="175">
        <v>75000</v>
      </c>
      <c r="E306" s="249"/>
      <c r="F306" s="67">
        <f t="shared" si="60"/>
        <v>75000</v>
      </c>
      <c r="G306" s="67">
        <v>74000</v>
      </c>
      <c r="H306" s="67">
        <f t="shared" si="68"/>
        <v>1000</v>
      </c>
      <c r="I306" s="68">
        <v>5</v>
      </c>
      <c r="J306" s="68">
        <v>0.2</v>
      </c>
      <c r="K306" s="68">
        <v>0</v>
      </c>
      <c r="L306" s="110">
        <f t="shared" si="69"/>
        <v>0</v>
      </c>
      <c r="M306" s="67">
        <f t="shared" si="70"/>
        <v>74000</v>
      </c>
      <c r="N306" s="462">
        <f t="shared" si="61"/>
        <v>1000</v>
      </c>
      <c r="O306" s="238" t="s">
        <v>2177</v>
      </c>
      <c r="P306" s="514">
        <v>1</v>
      </c>
      <c r="Q306" s="327"/>
      <c r="R306" s="23"/>
      <c r="S306" s="10">
        <f t="shared" si="62"/>
        <v>3750</v>
      </c>
      <c r="T306" s="10">
        <f t="shared" si="63"/>
        <v>-2750</v>
      </c>
      <c r="U306" s="10">
        <f t="shared" si="71"/>
        <v>0</v>
      </c>
      <c r="V306" s="10">
        <f t="shared" si="64"/>
        <v>15000</v>
      </c>
      <c r="W306" s="10">
        <f t="shared" si="65"/>
        <v>0</v>
      </c>
      <c r="X306" s="10">
        <f t="shared" si="66"/>
        <v>0</v>
      </c>
    </row>
    <row r="307" spans="1:24" s="9" customFormat="1" ht="13.5" customHeight="1" x14ac:dyDescent="0.2">
      <c r="A307" s="64">
        <f t="shared" si="67"/>
        <v>303</v>
      </c>
      <c r="B307" s="147" t="s">
        <v>2412</v>
      </c>
      <c r="C307" s="641">
        <v>40209</v>
      </c>
      <c r="D307" s="175">
        <v>480000</v>
      </c>
      <c r="E307" s="249"/>
      <c r="F307" s="67">
        <f t="shared" si="60"/>
        <v>480000</v>
      </c>
      <c r="G307" s="67">
        <v>479000</v>
      </c>
      <c r="H307" s="67">
        <f t="shared" si="68"/>
        <v>1000</v>
      </c>
      <c r="I307" s="68">
        <v>5</v>
      </c>
      <c r="J307" s="68">
        <v>0.2</v>
      </c>
      <c r="K307" s="68">
        <v>0</v>
      </c>
      <c r="L307" s="110">
        <f t="shared" si="69"/>
        <v>0</v>
      </c>
      <c r="M307" s="67">
        <f t="shared" si="70"/>
        <v>479000</v>
      </c>
      <c r="N307" s="462">
        <f t="shared" si="61"/>
        <v>1000</v>
      </c>
      <c r="O307" s="238" t="s">
        <v>2177</v>
      </c>
      <c r="P307" s="514">
        <v>6</v>
      </c>
      <c r="Q307" s="327"/>
      <c r="R307" s="23"/>
      <c r="S307" s="10">
        <f t="shared" si="62"/>
        <v>24000</v>
      </c>
      <c r="T307" s="10">
        <f t="shared" si="63"/>
        <v>-23000</v>
      </c>
      <c r="U307" s="10">
        <f t="shared" si="71"/>
        <v>0</v>
      </c>
      <c r="V307" s="10">
        <f t="shared" si="64"/>
        <v>96000</v>
      </c>
      <c r="W307" s="10">
        <f t="shared" si="65"/>
        <v>0</v>
      </c>
      <c r="X307" s="10">
        <f t="shared" si="66"/>
        <v>0</v>
      </c>
    </row>
    <row r="308" spans="1:24" s="9" customFormat="1" ht="13.5" customHeight="1" x14ac:dyDescent="0.2">
      <c r="A308" s="64">
        <f t="shared" si="67"/>
        <v>304</v>
      </c>
      <c r="B308" s="147" t="s">
        <v>1855</v>
      </c>
      <c r="C308" s="641">
        <v>40209</v>
      </c>
      <c r="D308" s="175">
        <v>440000</v>
      </c>
      <c r="E308" s="249"/>
      <c r="F308" s="67">
        <f t="shared" si="60"/>
        <v>440000</v>
      </c>
      <c r="G308" s="67">
        <v>439000</v>
      </c>
      <c r="H308" s="67">
        <f t="shared" si="68"/>
        <v>1000</v>
      </c>
      <c r="I308" s="68">
        <v>5</v>
      </c>
      <c r="J308" s="68">
        <v>0.2</v>
      </c>
      <c r="K308" s="68">
        <v>0</v>
      </c>
      <c r="L308" s="110">
        <f t="shared" si="69"/>
        <v>0</v>
      </c>
      <c r="M308" s="67">
        <f t="shared" si="70"/>
        <v>439000</v>
      </c>
      <c r="N308" s="462">
        <f t="shared" si="61"/>
        <v>1000</v>
      </c>
      <c r="O308" s="238" t="s">
        <v>2177</v>
      </c>
      <c r="P308" s="514">
        <v>8</v>
      </c>
      <c r="Q308" s="327"/>
      <c r="R308" s="23"/>
      <c r="S308" s="10">
        <f t="shared" si="62"/>
        <v>22000</v>
      </c>
      <c r="T308" s="10">
        <f t="shared" si="63"/>
        <v>-21000</v>
      </c>
      <c r="U308" s="10">
        <f t="shared" si="71"/>
        <v>0</v>
      </c>
      <c r="V308" s="10">
        <f t="shared" si="64"/>
        <v>88000</v>
      </c>
      <c r="W308" s="10">
        <f t="shared" si="65"/>
        <v>0</v>
      </c>
      <c r="X308" s="10">
        <f t="shared" si="66"/>
        <v>0</v>
      </c>
    </row>
    <row r="309" spans="1:24" s="9" customFormat="1" ht="13.5" customHeight="1" x14ac:dyDescent="0.2">
      <c r="A309" s="64">
        <f t="shared" si="67"/>
        <v>305</v>
      </c>
      <c r="B309" s="147" t="s">
        <v>1873</v>
      </c>
      <c r="C309" s="641">
        <v>40209</v>
      </c>
      <c r="D309" s="175">
        <v>600000</v>
      </c>
      <c r="E309" s="249"/>
      <c r="F309" s="67">
        <f t="shared" si="60"/>
        <v>600000</v>
      </c>
      <c r="G309" s="67">
        <v>599000</v>
      </c>
      <c r="H309" s="67">
        <f t="shared" si="68"/>
        <v>1000</v>
      </c>
      <c r="I309" s="68">
        <v>5</v>
      </c>
      <c r="J309" s="68">
        <v>0.2</v>
      </c>
      <c r="K309" s="68">
        <v>0</v>
      </c>
      <c r="L309" s="110">
        <f t="shared" si="69"/>
        <v>0</v>
      </c>
      <c r="M309" s="67">
        <f t="shared" si="70"/>
        <v>599000</v>
      </c>
      <c r="N309" s="462">
        <f t="shared" si="61"/>
        <v>1000</v>
      </c>
      <c r="O309" s="238" t="s">
        <v>2177</v>
      </c>
      <c r="P309" s="514">
        <v>8</v>
      </c>
      <c r="Q309" s="327"/>
      <c r="R309" s="23"/>
      <c r="S309" s="10">
        <f t="shared" si="62"/>
        <v>30000</v>
      </c>
      <c r="T309" s="10">
        <f t="shared" si="63"/>
        <v>-29000</v>
      </c>
      <c r="U309" s="10">
        <f t="shared" si="71"/>
        <v>0</v>
      </c>
      <c r="V309" s="10">
        <f t="shared" si="64"/>
        <v>120000</v>
      </c>
      <c r="W309" s="10">
        <f t="shared" si="65"/>
        <v>0</v>
      </c>
      <c r="X309" s="10">
        <f t="shared" si="66"/>
        <v>0</v>
      </c>
    </row>
    <row r="310" spans="1:24" s="9" customFormat="1" ht="13.5" customHeight="1" x14ac:dyDescent="0.2">
      <c r="A310" s="831">
        <f t="shared" si="67"/>
        <v>306</v>
      </c>
      <c r="B310" s="834" t="s">
        <v>2623</v>
      </c>
      <c r="C310" s="827">
        <v>40209</v>
      </c>
      <c r="D310" s="821">
        <v>200000</v>
      </c>
      <c r="E310" s="828">
        <v>-200000</v>
      </c>
      <c r="F310" s="822">
        <f t="shared" si="60"/>
        <v>0</v>
      </c>
      <c r="G310" s="822">
        <v>199000</v>
      </c>
      <c r="H310" s="822"/>
      <c r="I310" s="823">
        <v>5</v>
      </c>
      <c r="J310" s="823">
        <v>0.2</v>
      </c>
      <c r="K310" s="823">
        <v>0</v>
      </c>
      <c r="L310" s="824"/>
      <c r="M310" s="822"/>
      <c r="N310" s="825">
        <f t="shared" si="61"/>
        <v>0</v>
      </c>
      <c r="O310" s="829" t="s">
        <v>2177</v>
      </c>
      <c r="P310" s="830">
        <v>2</v>
      </c>
      <c r="Q310" s="833" t="s">
        <v>3089</v>
      </c>
      <c r="R310" s="23"/>
      <c r="S310" s="10">
        <f t="shared" si="62"/>
        <v>10000</v>
      </c>
      <c r="T310" s="10">
        <f t="shared" si="63"/>
        <v>-10000</v>
      </c>
      <c r="U310" s="10">
        <f t="shared" si="71"/>
        <v>-1000</v>
      </c>
      <c r="V310" s="10">
        <f t="shared" si="64"/>
        <v>0</v>
      </c>
      <c r="W310" s="10">
        <f t="shared" si="65"/>
        <v>0</v>
      </c>
      <c r="X310" s="10">
        <f t="shared" si="66"/>
        <v>0</v>
      </c>
    </row>
    <row r="311" spans="1:24" s="9" customFormat="1" ht="13.5" customHeight="1" x14ac:dyDescent="0.2">
      <c r="A311" s="64">
        <f t="shared" si="67"/>
        <v>307</v>
      </c>
      <c r="B311" s="147" t="s">
        <v>2624</v>
      </c>
      <c r="C311" s="641">
        <v>40209</v>
      </c>
      <c r="D311" s="175">
        <v>75000</v>
      </c>
      <c r="E311" s="249"/>
      <c r="F311" s="67">
        <f t="shared" si="60"/>
        <v>75000</v>
      </c>
      <c r="G311" s="67">
        <v>74000</v>
      </c>
      <c r="H311" s="67">
        <f t="shared" si="68"/>
        <v>1000</v>
      </c>
      <c r="I311" s="68">
        <v>5</v>
      </c>
      <c r="J311" s="68">
        <v>0.2</v>
      </c>
      <c r="K311" s="68">
        <v>0</v>
      </c>
      <c r="L311" s="110">
        <f t="shared" si="69"/>
        <v>0</v>
      </c>
      <c r="M311" s="67">
        <f t="shared" si="70"/>
        <v>74000</v>
      </c>
      <c r="N311" s="462">
        <f t="shared" si="61"/>
        <v>1000</v>
      </c>
      <c r="O311" s="238" t="s">
        <v>2177</v>
      </c>
      <c r="P311" s="514">
        <v>1</v>
      </c>
      <c r="Q311" s="327"/>
      <c r="R311" s="23"/>
      <c r="S311" s="10">
        <f t="shared" si="62"/>
        <v>3750</v>
      </c>
      <c r="T311" s="10">
        <f t="shared" si="63"/>
        <v>-2750</v>
      </c>
      <c r="U311" s="10">
        <f t="shared" si="71"/>
        <v>0</v>
      </c>
      <c r="V311" s="10">
        <f t="shared" si="64"/>
        <v>15000</v>
      </c>
      <c r="W311" s="10">
        <f t="shared" si="65"/>
        <v>0</v>
      </c>
      <c r="X311" s="10">
        <f t="shared" si="66"/>
        <v>0</v>
      </c>
    </row>
    <row r="312" spans="1:24" s="9" customFormat="1" ht="13.5" customHeight="1" x14ac:dyDescent="0.2">
      <c r="A312" s="64">
        <f t="shared" si="67"/>
        <v>308</v>
      </c>
      <c r="B312" s="147" t="s">
        <v>2625</v>
      </c>
      <c r="C312" s="641">
        <v>40209</v>
      </c>
      <c r="D312" s="175">
        <v>180000</v>
      </c>
      <c r="E312" s="249"/>
      <c r="F312" s="67">
        <f t="shared" si="60"/>
        <v>180000</v>
      </c>
      <c r="G312" s="67">
        <v>179000</v>
      </c>
      <c r="H312" s="67">
        <f t="shared" si="68"/>
        <v>1000</v>
      </c>
      <c r="I312" s="68">
        <v>5</v>
      </c>
      <c r="J312" s="68">
        <v>0.2</v>
      </c>
      <c r="K312" s="68">
        <v>0</v>
      </c>
      <c r="L312" s="110">
        <f t="shared" si="69"/>
        <v>0</v>
      </c>
      <c r="M312" s="67">
        <f t="shared" si="70"/>
        <v>179000</v>
      </c>
      <c r="N312" s="462">
        <f t="shared" si="61"/>
        <v>1000</v>
      </c>
      <c r="O312" s="238" t="s">
        <v>2177</v>
      </c>
      <c r="P312" s="514">
        <v>1</v>
      </c>
      <c r="Q312" s="327"/>
      <c r="R312" s="23"/>
      <c r="S312" s="10">
        <f t="shared" si="62"/>
        <v>9000</v>
      </c>
      <c r="T312" s="10">
        <f t="shared" si="63"/>
        <v>-8000</v>
      </c>
      <c r="U312" s="10">
        <f t="shared" si="71"/>
        <v>0</v>
      </c>
      <c r="V312" s="10">
        <f t="shared" si="64"/>
        <v>36000</v>
      </c>
      <c r="W312" s="10">
        <f t="shared" si="65"/>
        <v>0</v>
      </c>
      <c r="X312" s="10">
        <f t="shared" si="66"/>
        <v>0</v>
      </c>
    </row>
    <row r="313" spans="1:24" s="9" customFormat="1" ht="13.5" customHeight="1" x14ac:dyDescent="0.2">
      <c r="A313" s="64">
        <f t="shared" si="67"/>
        <v>309</v>
      </c>
      <c r="B313" s="147" t="s">
        <v>2626</v>
      </c>
      <c r="C313" s="641">
        <v>40209</v>
      </c>
      <c r="D313" s="175">
        <v>190000</v>
      </c>
      <c r="E313" s="249"/>
      <c r="F313" s="67">
        <f t="shared" si="60"/>
        <v>190000</v>
      </c>
      <c r="G313" s="67">
        <v>189000</v>
      </c>
      <c r="H313" s="67">
        <f t="shared" si="68"/>
        <v>1000</v>
      </c>
      <c r="I313" s="68">
        <v>5</v>
      </c>
      <c r="J313" s="68">
        <v>0.2</v>
      </c>
      <c r="K313" s="68">
        <v>0</v>
      </c>
      <c r="L313" s="110">
        <f t="shared" si="69"/>
        <v>0</v>
      </c>
      <c r="M313" s="67">
        <f t="shared" si="70"/>
        <v>189000</v>
      </c>
      <c r="N313" s="462">
        <f t="shared" si="61"/>
        <v>1000</v>
      </c>
      <c r="O313" s="238" t="s">
        <v>2177</v>
      </c>
      <c r="P313" s="514">
        <v>2</v>
      </c>
      <c r="Q313" s="327"/>
      <c r="R313" s="23"/>
      <c r="S313" s="10">
        <f t="shared" si="62"/>
        <v>9500</v>
      </c>
      <c r="T313" s="10">
        <f t="shared" si="63"/>
        <v>-8500</v>
      </c>
      <c r="U313" s="10">
        <f t="shared" si="71"/>
        <v>0</v>
      </c>
      <c r="V313" s="10">
        <f t="shared" si="64"/>
        <v>38000</v>
      </c>
      <c r="W313" s="10">
        <f t="shared" si="65"/>
        <v>0</v>
      </c>
      <c r="X313" s="10">
        <f t="shared" si="66"/>
        <v>0</v>
      </c>
    </row>
    <row r="314" spans="1:24" s="9" customFormat="1" ht="13.5" customHeight="1" x14ac:dyDescent="0.2">
      <c r="A314" s="64">
        <f t="shared" si="67"/>
        <v>310</v>
      </c>
      <c r="B314" s="147" t="s">
        <v>2604</v>
      </c>
      <c r="C314" s="641">
        <v>40229</v>
      </c>
      <c r="D314" s="175">
        <v>540000</v>
      </c>
      <c r="E314" s="249"/>
      <c r="F314" s="67">
        <f t="shared" si="60"/>
        <v>540000</v>
      </c>
      <c r="G314" s="67">
        <v>539000</v>
      </c>
      <c r="H314" s="67">
        <f t="shared" si="68"/>
        <v>1000</v>
      </c>
      <c r="I314" s="68">
        <v>5</v>
      </c>
      <c r="J314" s="68">
        <v>0.2</v>
      </c>
      <c r="K314" s="68">
        <v>0</v>
      </c>
      <c r="L314" s="110">
        <f t="shared" si="69"/>
        <v>0</v>
      </c>
      <c r="M314" s="67">
        <f t="shared" si="70"/>
        <v>539000</v>
      </c>
      <c r="N314" s="462">
        <f t="shared" si="61"/>
        <v>1000</v>
      </c>
      <c r="O314" s="238" t="s">
        <v>2177</v>
      </c>
      <c r="P314" s="514">
        <v>2</v>
      </c>
      <c r="Q314" s="327"/>
      <c r="R314" s="23"/>
      <c r="S314" s="10">
        <f t="shared" si="62"/>
        <v>27000</v>
      </c>
      <c r="T314" s="10">
        <f t="shared" si="63"/>
        <v>-26000</v>
      </c>
      <c r="U314" s="10">
        <f t="shared" si="71"/>
        <v>0</v>
      </c>
      <c r="V314" s="10">
        <f t="shared" si="64"/>
        <v>108000</v>
      </c>
      <c r="W314" s="10">
        <f t="shared" si="65"/>
        <v>0</v>
      </c>
      <c r="X314" s="10">
        <f t="shared" si="66"/>
        <v>0</v>
      </c>
    </row>
    <row r="315" spans="1:24" s="9" customFormat="1" ht="13.5" customHeight="1" x14ac:dyDescent="0.2">
      <c r="A315" s="64">
        <f t="shared" si="67"/>
        <v>311</v>
      </c>
      <c r="B315" s="147" t="s">
        <v>1953</v>
      </c>
      <c r="C315" s="641">
        <v>40238</v>
      </c>
      <c r="D315" s="175">
        <v>160000</v>
      </c>
      <c r="E315" s="249"/>
      <c r="F315" s="67">
        <f t="shared" si="60"/>
        <v>160000</v>
      </c>
      <c r="G315" s="67">
        <v>159000</v>
      </c>
      <c r="H315" s="67">
        <f t="shared" si="68"/>
        <v>1000</v>
      </c>
      <c r="I315" s="68">
        <v>5</v>
      </c>
      <c r="J315" s="68">
        <v>0.2</v>
      </c>
      <c r="K315" s="68">
        <v>0</v>
      </c>
      <c r="L315" s="110">
        <f t="shared" si="69"/>
        <v>0</v>
      </c>
      <c r="M315" s="67">
        <f t="shared" si="70"/>
        <v>159000</v>
      </c>
      <c r="N315" s="462">
        <f t="shared" si="61"/>
        <v>1000</v>
      </c>
      <c r="O315" s="238" t="s">
        <v>2177</v>
      </c>
      <c r="P315" s="514">
        <v>1</v>
      </c>
      <c r="Q315" s="327"/>
      <c r="R315" s="23"/>
      <c r="S315" s="10">
        <f t="shared" si="62"/>
        <v>8000</v>
      </c>
      <c r="T315" s="10">
        <f t="shared" si="63"/>
        <v>-7000</v>
      </c>
      <c r="U315" s="10">
        <f t="shared" si="71"/>
        <v>0</v>
      </c>
      <c r="V315" s="10">
        <f t="shared" si="64"/>
        <v>32000</v>
      </c>
      <c r="W315" s="10">
        <f t="shared" si="65"/>
        <v>0</v>
      </c>
      <c r="X315" s="10">
        <f t="shared" si="66"/>
        <v>0</v>
      </c>
    </row>
    <row r="316" spans="1:24" s="9" customFormat="1" ht="13.5" customHeight="1" x14ac:dyDescent="0.2">
      <c r="A316" s="64">
        <f t="shared" si="67"/>
        <v>312</v>
      </c>
      <c r="B316" s="147" t="s">
        <v>1855</v>
      </c>
      <c r="C316" s="641">
        <v>40238</v>
      </c>
      <c r="D316" s="175">
        <v>110000</v>
      </c>
      <c r="E316" s="249"/>
      <c r="F316" s="67">
        <f t="shared" si="60"/>
        <v>110000</v>
      </c>
      <c r="G316" s="67">
        <v>109000</v>
      </c>
      <c r="H316" s="67">
        <f t="shared" si="68"/>
        <v>1000</v>
      </c>
      <c r="I316" s="68">
        <v>5</v>
      </c>
      <c r="J316" s="68">
        <v>0.2</v>
      </c>
      <c r="K316" s="68">
        <v>0</v>
      </c>
      <c r="L316" s="110">
        <f t="shared" si="69"/>
        <v>0</v>
      </c>
      <c r="M316" s="67">
        <f t="shared" si="70"/>
        <v>109000</v>
      </c>
      <c r="N316" s="462">
        <f t="shared" si="61"/>
        <v>1000</v>
      </c>
      <c r="O316" s="238" t="s">
        <v>2177</v>
      </c>
      <c r="P316" s="640">
        <v>2</v>
      </c>
      <c r="Q316" s="327"/>
      <c r="R316" s="23"/>
      <c r="S316" s="10">
        <f t="shared" si="62"/>
        <v>5500</v>
      </c>
      <c r="T316" s="10">
        <f t="shared" si="63"/>
        <v>-4500</v>
      </c>
      <c r="U316" s="10">
        <f t="shared" si="71"/>
        <v>0</v>
      </c>
      <c r="V316" s="10">
        <f t="shared" si="64"/>
        <v>22000</v>
      </c>
      <c r="W316" s="10">
        <f t="shared" si="65"/>
        <v>0</v>
      </c>
      <c r="X316" s="10">
        <f t="shared" si="66"/>
        <v>0</v>
      </c>
    </row>
    <row r="317" spans="1:24" s="9" customFormat="1" ht="13.5" customHeight="1" x14ac:dyDescent="0.2">
      <c r="A317" s="64">
        <f t="shared" si="67"/>
        <v>313</v>
      </c>
      <c r="B317" s="147" t="s">
        <v>1873</v>
      </c>
      <c r="C317" s="641">
        <v>40238</v>
      </c>
      <c r="D317" s="175">
        <v>110000</v>
      </c>
      <c r="E317" s="249"/>
      <c r="F317" s="67">
        <f t="shared" si="60"/>
        <v>110000</v>
      </c>
      <c r="G317" s="67">
        <v>109000</v>
      </c>
      <c r="H317" s="67">
        <f t="shared" si="68"/>
        <v>1000</v>
      </c>
      <c r="I317" s="68">
        <v>5</v>
      </c>
      <c r="J317" s="68">
        <v>0.2</v>
      </c>
      <c r="K317" s="68">
        <v>0</v>
      </c>
      <c r="L317" s="110">
        <f t="shared" si="69"/>
        <v>0</v>
      </c>
      <c r="M317" s="67">
        <f t="shared" si="70"/>
        <v>109000</v>
      </c>
      <c r="N317" s="462">
        <f t="shared" si="61"/>
        <v>1000</v>
      </c>
      <c r="O317" s="238" t="s">
        <v>2177</v>
      </c>
      <c r="P317" s="640">
        <v>2</v>
      </c>
      <c r="Q317" s="327"/>
      <c r="R317" s="23"/>
      <c r="S317" s="10">
        <f t="shared" si="62"/>
        <v>5500</v>
      </c>
      <c r="T317" s="10">
        <f t="shared" si="63"/>
        <v>-4500</v>
      </c>
      <c r="U317" s="10">
        <f t="shared" si="71"/>
        <v>0</v>
      </c>
      <c r="V317" s="10">
        <f t="shared" si="64"/>
        <v>22000</v>
      </c>
      <c r="W317" s="10">
        <f t="shared" si="65"/>
        <v>0</v>
      </c>
      <c r="X317" s="10">
        <f t="shared" si="66"/>
        <v>0</v>
      </c>
    </row>
    <row r="318" spans="1:24" s="9" customFormat="1" ht="13.5" customHeight="1" x14ac:dyDescent="0.2">
      <c r="A318" s="64">
        <f t="shared" si="67"/>
        <v>314</v>
      </c>
      <c r="B318" s="147" t="s">
        <v>2472</v>
      </c>
      <c r="C318" s="641">
        <v>40249</v>
      </c>
      <c r="D318" s="175">
        <v>1040000</v>
      </c>
      <c r="E318" s="249"/>
      <c r="F318" s="67">
        <f t="shared" si="60"/>
        <v>1040000</v>
      </c>
      <c r="G318" s="67">
        <v>1039000</v>
      </c>
      <c r="H318" s="67">
        <f t="shared" si="68"/>
        <v>1000</v>
      </c>
      <c r="I318" s="68">
        <v>5</v>
      </c>
      <c r="J318" s="68">
        <v>0.2</v>
      </c>
      <c r="K318" s="68">
        <v>0</v>
      </c>
      <c r="L318" s="110">
        <f t="shared" si="69"/>
        <v>0</v>
      </c>
      <c r="M318" s="67">
        <f t="shared" si="70"/>
        <v>1039000</v>
      </c>
      <c r="N318" s="462">
        <f t="shared" si="61"/>
        <v>1000</v>
      </c>
      <c r="O318" s="238" t="s">
        <v>2189</v>
      </c>
      <c r="P318" s="640">
        <v>2</v>
      </c>
      <c r="Q318" s="327"/>
      <c r="R318" s="23"/>
      <c r="S318" s="10">
        <f t="shared" si="62"/>
        <v>52000</v>
      </c>
      <c r="T318" s="10">
        <f t="shared" si="63"/>
        <v>-51000</v>
      </c>
      <c r="U318" s="10">
        <f t="shared" si="71"/>
        <v>0</v>
      </c>
      <c r="V318" s="10">
        <f t="shared" si="64"/>
        <v>208000</v>
      </c>
      <c r="W318" s="10">
        <f t="shared" si="65"/>
        <v>0</v>
      </c>
      <c r="X318" s="10">
        <f t="shared" si="66"/>
        <v>0</v>
      </c>
    </row>
    <row r="319" spans="1:24" s="9" customFormat="1" ht="13.5" customHeight="1" x14ac:dyDescent="0.2">
      <c r="A319" s="64">
        <f t="shared" si="67"/>
        <v>315</v>
      </c>
      <c r="B319" s="147" t="s">
        <v>2627</v>
      </c>
      <c r="C319" s="641">
        <v>40252</v>
      </c>
      <c r="D319" s="175">
        <v>617273</v>
      </c>
      <c r="E319" s="249"/>
      <c r="F319" s="67">
        <f t="shared" si="60"/>
        <v>617273</v>
      </c>
      <c r="G319" s="67">
        <v>616273</v>
      </c>
      <c r="H319" s="67">
        <f t="shared" si="68"/>
        <v>1000</v>
      </c>
      <c r="I319" s="68">
        <v>5</v>
      </c>
      <c r="J319" s="68">
        <v>0.2</v>
      </c>
      <c r="K319" s="68">
        <v>0</v>
      </c>
      <c r="L319" s="110">
        <f t="shared" si="69"/>
        <v>0</v>
      </c>
      <c r="M319" s="67">
        <f t="shared" si="70"/>
        <v>616273</v>
      </c>
      <c r="N319" s="462">
        <f t="shared" si="61"/>
        <v>1000</v>
      </c>
      <c r="O319" s="238" t="s">
        <v>2628</v>
      </c>
      <c r="P319" s="640">
        <v>2</v>
      </c>
      <c r="Q319" s="327"/>
      <c r="R319" s="23"/>
      <c r="S319" s="10">
        <f t="shared" si="62"/>
        <v>30863.65</v>
      </c>
      <c r="T319" s="10">
        <f t="shared" si="63"/>
        <v>-29863.65</v>
      </c>
      <c r="U319" s="10">
        <f t="shared" si="71"/>
        <v>0</v>
      </c>
      <c r="V319" s="10">
        <f t="shared" si="64"/>
        <v>123454.6</v>
      </c>
      <c r="W319" s="10">
        <f t="shared" si="65"/>
        <v>0</v>
      </c>
      <c r="X319" s="10">
        <f t="shared" si="66"/>
        <v>0</v>
      </c>
    </row>
    <row r="320" spans="1:24" s="9" customFormat="1" ht="13.5" customHeight="1" x14ac:dyDescent="0.2">
      <c r="A320" s="64">
        <f t="shared" si="67"/>
        <v>316</v>
      </c>
      <c r="B320" s="147" t="s">
        <v>2629</v>
      </c>
      <c r="C320" s="641">
        <v>40259</v>
      </c>
      <c r="D320" s="175">
        <v>3000000</v>
      </c>
      <c r="E320" s="249"/>
      <c r="F320" s="67">
        <f t="shared" si="60"/>
        <v>3000000</v>
      </c>
      <c r="G320" s="67">
        <v>2999000</v>
      </c>
      <c r="H320" s="67">
        <f t="shared" si="68"/>
        <v>1000</v>
      </c>
      <c r="I320" s="68">
        <v>5</v>
      </c>
      <c r="J320" s="68">
        <v>0.2</v>
      </c>
      <c r="K320" s="68">
        <v>0</v>
      </c>
      <c r="L320" s="110">
        <f t="shared" si="69"/>
        <v>0</v>
      </c>
      <c r="M320" s="67">
        <f t="shared" si="70"/>
        <v>2999000</v>
      </c>
      <c r="N320" s="462">
        <f t="shared" si="61"/>
        <v>1000</v>
      </c>
      <c r="O320" s="238" t="s">
        <v>2425</v>
      </c>
      <c r="P320" s="640">
        <v>1</v>
      </c>
      <c r="Q320" s="327"/>
      <c r="R320" s="23"/>
      <c r="S320" s="10">
        <f t="shared" si="62"/>
        <v>150000</v>
      </c>
      <c r="T320" s="10">
        <f t="shared" si="63"/>
        <v>-149000</v>
      </c>
      <c r="U320" s="10">
        <f t="shared" si="71"/>
        <v>0</v>
      </c>
      <c r="V320" s="10">
        <f t="shared" si="64"/>
        <v>600000</v>
      </c>
      <c r="W320" s="10">
        <f t="shared" si="65"/>
        <v>0</v>
      </c>
      <c r="X320" s="10">
        <f t="shared" si="66"/>
        <v>0</v>
      </c>
    </row>
    <row r="321" spans="1:24" s="9" customFormat="1" ht="13.5" customHeight="1" x14ac:dyDescent="0.2">
      <c r="A321" s="64">
        <f t="shared" si="67"/>
        <v>317</v>
      </c>
      <c r="B321" s="147" t="s">
        <v>2630</v>
      </c>
      <c r="C321" s="641">
        <v>40266</v>
      </c>
      <c r="D321" s="175">
        <v>350000</v>
      </c>
      <c r="E321" s="249"/>
      <c r="F321" s="67">
        <f t="shared" si="60"/>
        <v>350000</v>
      </c>
      <c r="G321" s="67">
        <v>349000</v>
      </c>
      <c r="H321" s="67">
        <f t="shared" si="68"/>
        <v>1000</v>
      </c>
      <c r="I321" s="68">
        <v>5</v>
      </c>
      <c r="J321" s="68">
        <v>0.2</v>
      </c>
      <c r="K321" s="68">
        <v>0</v>
      </c>
      <c r="L321" s="110">
        <f t="shared" si="69"/>
        <v>0</v>
      </c>
      <c r="M321" s="67">
        <f t="shared" si="70"/>
        <v>349000</v>
      </c>
      <c r="N321" s="462">
        <f t="shared" si="61"/>
        <v>1000</v>
      </c>
      <c r="O321" s="238" t="s">
        <v>2631</v>
      </c>
      <c r="P321" s="640">
        <v>1</v>
      </c>
      <c r="Q321" s="327"/>
      <c r="R321" s="23"/>
      <c r="S321" s="10">
        <f t="shared" si="62"/>
        <v>17500</v>
      </c>
      <c r="T321" s="10">
        <f t="shared" si="63"/>
        <v>-16500</v>
      </c>
      <c r="U321" s="10">
        <f t="shared" si="71"/>
        <v>0</v>
      </c>
      <c r="V321" s="10">
        <f t="shared" si="64"/>
        <v>70000</v>
      </c>
      <c r="W321" s="10">
        <f t="shared" si="65"/>
        <v>0</v>
      </c>
      <c r="X321" s="10">
        <f t="shared" si="66"/>
        <v>0</v>
      </c>
    </row>
    <row r="322" spans="1:24" s="9" customFormat="1" ht="13.5" customHeight="1" x14ac:dyDescent="0.2">
      <c r="A322" s="64">
        <f t="shared" si="67"/>
        <v>318</v>
      </c>
      <c r="B322" s="147" t="s">
        <v>2632</v>
      </c>
      <c r="C322" s="641">
        <v>40266</v>
      </c>
      <c r="D322" s="175">
        <v>210000</v>
      </c>
      <c r="E322" s="249"/>
      <c r="F322" s="67">
        <f t="shared" si="60"/>
        <v>210000</v>
      </c>
      <c r="G322" s="67">
        <v>209000</v>
      </c>
      <c r="H322" s="67">
        <f t="shared" si="68"/>
        <v>1000</v>
      </c>
      <c r="I322" s="68">
        <v>5</v>
      </c>
      <c r="J322" s="68">
        <v>0.2</v>
      </c>
      <c r="K322" s="68">
        <v>0</v>
      </c>
      <c r="L322" s="110">
        <f t="shared" si="69"/>
        <v>0</v>
      </c>
      <c r="M322" s="67">
        <f t="shared" si="70"/>
        <v>209000</v>
      </c>
      <c r="N322" s="462">
        <f t="shared" si="61"/>
        <v>1000</v>
      </c>
      <c r="O322" s="238" t="s">
        <v>2631</v>
      </c>
      <c r="P322" s="640">
        <v>1</v>
      </c>
      <c r="Q322" s="327"/>
      <c r="R322" s="23"/>
      <c r="S322" s="10">
        <f t="shared" si="62"/>
        <v>10500</v>
      </c>
      <c r="T322" s="10">
        <f t="shared" si="63"/>
        <v>-9500</v>
      </c>
      <c r="U322" s="10">
        <f t="shared" si="71"/>
        <v>0</v>
      </c>
      <c r="V322" s="10">
        <f t="shared" si="64"/>
        <v>42000</v>
      </c>
      <c r="W322" s="10">
        <f t="shared" si="65"/>
        <v>0</v>
      </c>
      <c r="X322" s="10">
        <f t="shared" si="66"/>
        <v>0</v>
      </c>
    </row>
    <row r="323" spans="1:24" s="9" customFormat="1" ht="13.5" customHeight="1" x14ac:dyDescent="0.2">
      <c r="A323" s="64">
        <f t="shared" si="67"/>
        <v>319</v>
      </c>
      <c r="B323" s="147" t="s">
        <v>2633</v>
      </c>
      <c r="C323" s="641">
        <v>40266</v>
      </c>
      <c r="D323" s="175">
        <v>450000</v>
      </c>
      <c r="E323" s="249"/>
      <c r="F323" s="67">
        <f t="shared" si="60"/>
        <v>450000</v>
      </c>
      <c r="G323" s="67">
        <v>449000</v>
      </c>
      <c r="H323" s="67">
        <f t="shared" si="68"/>
        <v>1000</v>
      </c>
      <c r="I323" s="68">
        <v>5</v>
      </c>
      <c r="J323" s="68">
        <v>0.2</v>
      </c>
      <c r="K323" s="68">
        <v>0</v>
      </c>
      <c r="L323" s="110">
        <f t="shared" si="69"/>
        <v>0</v>
      </c>
      <c r="M323" s="67">
        <f t="shared" si="70"/>
        <v>449000</v>
      </c>
      <c r="N323" s="462">
        <f t="shared" si="61"/>
        <v>1000</v>
      </c>
      <c r="O323" s="238" t="s">
        <v>2631</v>
      </c>
      <c r="P323" s="640">
        <v>1</v>
      </c>
      <c r="Q323" s="327"/>
      <c r="R323" s="23"/>
      <c r="S323" s="10">
        <f t="shared" si="62"/>
        <v>22500</v>
      </c>
      <c r="T323" s="10">
        <f t="shared" si="63"/>
        <v>-21500</v>
      </c>
      <c r="U323" s="10">
        <f t="shared" si="71"/>
        <v>0</v>
      </c>
      <c r="V323" s="10">
        <f t="shared" si="64"/>
        <v>90000</v>
      </c>
      <c r="W323" s="10">
        <f t="shared" si="65"/>
        <v>0</v>
      </c>
      <c r="X323" s="10">
        <f t="shared" si="66"/>
        <v>0</v>
      </c>
    </row>
    <row r="324" spans="1:24" s="9" customFormat="1" ht="13.5" customHeight="1" x14ac:dyDescent="0.2">
      <c r="A324" s="64">
        <f t="shared" si="67"/>
        <v>320</v>
      </c>
      <c r="B324" s="147" t="s">
        <v>2634</v>
      </c>
      <c r="C324" s="641">
        <v>40266</v>
      </c>
      <c r="D324" s="175">
        <v>280000</v>
      </c>
      <c r="E324" s="249"/>
      <c r="F324" s="67">
        <f t="shared" si="60"/>
        <v>280000</v>
      </c>
      <c r="G324" s="67">
        <v>279000</v>
      </c>
      <c r="H324" s="67">
        <f t="shared" si="68"/>
        <v>1000</v>
      </c>
      <c r="I324" s="68">
        <v>5</v>
      </c>
      <c r="J324" s="68">
        <v>0.2</v>
      </c>
      <c r="K324" s="68">
        <v>0</v>
      </c>
      <c r="L324" s="110">
        <f t="shared" si="69"/>
        <v>0</v>
      </c>
      <c r="M324" s="67">
        <f t="shared" si="70"/>
        <v>279000</v>
      </c>
      <c r="N324" s="462">
        <f t="shared" si="61"/>
        <v>1000</v>
      </c>
      <c r="O324" s="238" t="s">
        <v>2631</v>
      </c>
      <c r="P324" s="640">
        <v>1</v>
      </c>
      <c r="Q324" s="327"/>
      <c r="R324" s="23"/>
      <c r="S324" s="10">
        <f t="shared" si="62"/>
        <v>14000</v>
      </c>
      <c r="T324" s="10">
        <f t="shared" si="63"/>
        <v>-13000</v>
      </c>
      <c r="U324" s="10">
        <f t="shared" si="71"/>
        <v>0</v>
      </c>
      <c r="V324" s="10">
        <f t="shared" si="64"/>
        <v>56000</v>
      </c>
      <c r="W324" s="10">
        <f t="shared" si="65"/>
        <v>0</v>
      </c>
      <c r="X324" s="10">
        <f t="shared" si="66"/>
        <v>0</v>
      </c>
    </row>
    <row r="325" spans="1:24" s="9" customFormat="1" ht="13.5" customHeight="1" x14ac:dyDescent="0.2">
      <c r="A325" s="64">
        <f t="shared" si="67"/>
        <v>321</v>
      </c>
      <c r="B325" s="147" t="s">
        <v>2635</v>
      </c>
      <c r="C325" s="641">
        <v>40268</v>
      </c>
      <c r="D325" s="175">
        <v>270000</v>
      </c>
      <c r="E325" s="249"/>
      <c r="F325" s="67">
        <f t="shared" ref="F325:F388" si="72">+D325+E325</f>
        <v>270000</v>
      </c>
      <c r="G325" s="67">
        <v>269000</v>
      </c>
      <c r="H325" s="67">
        <f t="shared" si="68"/>
        <v>1000</v>
      </c>
      <c r="I325" s="68">
        <v>5</v>
      </c>
      <c r="J325" s="68">
        <v>0.2</v>
      </c>
      <c r="K325" s="68">
        <v>0</v>
      </c>
      <c r="L325" s="110">
        <f t="shared" si="69"/>
        <v>0</v>
      </c>
      <c r="M325" s="67">
        <f t="shared" si="70"/>
        <v>269000</v>
      </c>
      <c r="N325" s="462">
        <f t="shared" ref="N325:N388" si="73">+F325-M325</f>
        <v>1000</v>
      </c>
      <c r="O325" s="238" t="s">
        <v>1965</v>
      </c>
      <c r="P325" s="640">
        <v>1</v>
      </c>
      <c r="Q325" s="327"/>
      <c r="R325" s="23"/>
      <c r="S325" s="10">
        <f t="shared" ref="S325:S388" si="74">D325*0.05</f>
        <v>13500</v>
      </c>
      <c r="T325" s="10">
        <f t="shared" ref="T325:T388" si="75">N325-S325</f>
        <v>-12500</v>
      </c>
      <c r="U325" s="10">
        <f t="shared" si="71"/>
        <v>0</v>
      </c>
      <c r="V325" s="10">
        <f t="shared" ref="V325:V388" si="76">F325/I325</f>
        <v>54000</v>
      </c>
      <c r="W325" s="10">
        <f t="shared" ref="W325:W388" si="77">ROUND(IF(H325&lt;=1000,0,V325/12*3),0)</f>
        <v>0</v>
      </c>
      <c r="X325" s="10">
        <f t="shared" ref="X325:X388" si="78">L325-W325</f>
        <v>0</v>
      </c>
    </row>
    <row r="326" spans="1:24" s="9" customFormat="1" ht="13.5" customHeight="1" x14ac:dyDescent="0.2">
      <c r="A326" s="64">
        <f t="shared" ref="A326:A389" si="79">+A325+1</f>
        <v>322</v>
      </c>
      <c r="B326" s="147" t="s">
        <v>2636</v>
      </c>
      <c r="C326" s="641">
        <v>40283</v>
      </c>
      <c r="D326" s="175">
        <v>356728</v>
      </c>
      <c r="E326" s="249"/>
      <c r="F326" s="67">
        <f t="shared" si="72"/>
        <v>356728</v>
      </c>
      <c r="G326" s="67">
        <v>355728</v>
      </c>
      <c r="H326" s="67">
        <f t="shared" si="68"/>
        <v>1000</v>
      </c>
      <c r="I326" s="68">
        <v>5</v>
      </c>
      <c r="J326" s="68">
        <v>0.2</v>
      </c>
      <c r="K326" s="68">
        <v>0</v>
      </c>
      <c r="L326" s="110">
        <f t="shared" si="69"/>
        <v>0</v>
      </c>
      <c r="M326" s="67">
        <f t="shared" si="70"/>
        <v>355728</v>
      </c>
      <c r="N326" s="462">
        <f t="shared" si="73"/>
        <v>1000</v>
      </c>
      <c r="O326" s="238" t="s">
        <v>2637</v>
      </c>
      <c r="P326" s="640">
        <v>2</v>
      </c>
      <c r="Q326" s="327"/>
      <c r="R326" s="23"/>
      <c r="S326" s="10">
        <f t="shared" si="74"/>
        <v>17836.400000000001</v>
      </c>
      <c r="T326" s="10">
        <f t="shared" si="75"/>
        <v>-16836.400000000001</v>
      </c>
      <c r="U326" s="10">
        <f t="shared" si="71"/>
        <v>0</v>
      </c>
      <c r="V326" s="10">
        <f t="shared" si="76"/>
        <v>71345.600000000006</v>
      </c>
      <c r="W326" s="10">
        <f t="shared" si="77"/>
        <v>0</v>
      </c>
      <c r="X326" s="10">
        <f t="shared" si="78"/>
        <v>0</v>
      </c>
    </row>
    <row r="327" spans="1:24" s="9" customFormat="1" ht="13.5" customHeight="1" x14ac:dyDescent="0.2">
      <c r="A327" s="64">
        <f t="shared" si="79"/>
        <v>323</v>
      </c>
      <c r="B327" s="147" t="s">
        <v>2562</v>
      </c>
      <c r="C327" s="641">
        <v>40338</v>
      </c>
      <c r="D327" s="175">
        <v>240000</v>
      </c>
      <c r="E327" s="249"/>
      <c r="F327" s="67">
        <f t="shared" si="72"/>
        <v>240000</v>
      </c>
      <c r="G327" s="67">
        <v>239000</v>
      </c>
      <c r="H327" s="67">
        <f t="shared" si="68"/>
        <v>1000</v>
      </c>
      <c r="I327" s="68">
        <v>5</v>
      </c>
      <c r="J327" s="68">
        <v>0.2</v>
      </c>
      <c r="K327" s="68">
        <v>0</v>
      </c>
      <c r="L327" s="110">
        <f t="shared" si="69"/>
        <v>0</v>
      </c>
      <c r="M327" s="67">
        <f t="shared" si="70"/>
        <v>239000</v>
      </c>
      <c r="N327" s="462">
        <f t="shared" si="73"/>
        <v>1000</v>
      </c>
      <c r="O327" s="238" t="s">
        <v>2177</v>
      </c>
      <c r="P327" s="640">
        <v>3</v>
      </c>
      <c r="Q327" s="327"/>
      <c r="R327" s="23"/>
      <c r="S327" s="10">
        <f t="shared" si="74"/>
        <v>12000</v>
      </c>
      <c r="T327" s="10">
        <f t="shared" si="75"/>
        <v>-11000</v>
      </c>
      <c r="U327" s="10">
        <f t="shared" si="71"/>
        <v>0</v>
      </c>
      <c r="V327" s="10">
        <f t="shared" si="76"/>
        <v>48000</v>
      </c>
      <c r="W327" s="10">
        <f t="shared" si="77"/>
        <v>0</v>
      </c>
      <c r="X327" s="10">
        <f t="shared" si="78"/>
        <v>0</v>
      </c>
    </row>
    <row r="328" spans="1:24" s="9" customFormat="1" ht="13.5" customHeight="1" x14ac:dyDescent="0.2">
      <c r="A328" s="64">
        <f t="shared" si="79"/>
        <v>324</v>
      </c>
      <c r="B328" s="147" t="s">
        <v>1855</v>
      </c>
      <c r="C328" s="641">
        <v>40338</v>
      </c>
      <c r="D328" s="175">
        <v>165000</v>
      </c>
      <c r="E328" s="249"/>
      <c r="F328" s="67">
        <f t="shared" si="72"/>
        <v>165000</v>
      </c>
      <c r="G328" s="67">
        <v>164000</v>
      </c>
      <c r="H328" s="67">
        <f t="shared" si="68"/>
        <v>1000</v>
      </c>
      <c r="I328" s="68">
        <v>5</v>
      </c>
      <c r="J328" s="68">
        <v>0.2</v>
      </c>
      <c r="K328" s="68">
        <v>0</v>
      </c>
      <c r="L328" s="110">
        <f t="shared" si="69"/>
        <v>0</v>
      </c>
      <c r="M328" s="67">
        <f t="shared" si="70"/>
        <v>164000</v>
      </c>
      <c r="N328" s="462">
        <f t="shared" si="73"/>
        <v>1000</v>
      </c>
      <c r="O328" s="238" t="s">
        <v>2177</v>
      </c>
      <c r="P328" s="640">
        <v>3</v>
      </c>
      <c r="Q328" s="327"/>
      <c r="R328" s="23"/>
      <c r="S328" s="10">
        <f t="shared" si="74"/>
        <v>8250</v>
      </c>
      <c r="T328" s="10">
        <f t="shared" si="75"/>
        <v>-7250</v>
      </c>
      <c r="U328" s="10">
        <f t="shared" si="71"/>
        <v>0</v>
      </c>
      <c r="V328" s="10">
        <f t="shared" si="76"/>
        <v>33000</v>
      </c>
      <c r="W328" s="10">
        <f t="shared" si="77"/>
        <v>0</v>
      </c>
      <c r="X328" s="10">
        <f t="shared" si="78"/>
        <v>0</v>
      </c>
    </row>
    <row r="329" spans="1:24" s="9" customFormat="1" ht="13.5" customHeight="1" x14ac:dyDescent="0.2">
      <c r="A329" s="64">
        <f t="shared" si="79"/>
        <v>325</v>
      </c>
      <c r="B329" s="147" t="s">
        <v>1873</v>
      </c>
      <c r="C329" s="641">
        <v>40338</v>
      </c>
      <c r="D329" s="175">
        <v>225000</v>
      </c>
      <c r="E329" s="249"/>
      <c r="F329" s="67">
        <f t="shared" si="72"/>
        <v>225000</v>
      </c>
      <c r="G329" s="67">
        <v>224000</v>
      </c>
      <c r="H329" s="67">
        <f t="shared" si="68"/>
        <v>1000</v>
      </c>
      <c r="I329" s="68">
        <v>5</v>
      </c>
      <c r="J329" s="68">
        <v>0.2</v>
      </c>
      <c r="K329" s="68">
        <v>0</v>
      </c>
      <c r="L329" s="110">
        <f t="shared" si="69"/>
        <v>0</v>
      </c>
      <c r="M329" s="67">
        <f t="shared" si="70"/>
        <v>224000</v>
      </c>
      <c r="N329" s="462">
        <f t="shared" si="73"/>
        <v>1000</v>
      </c>
      <c r="O329" s="238" t="s">
        <v>2177</v>
      </c>
      <c r="P329" s="640">
        <v>3</v>
      </c>
      <c r="Q329" s="327"/>
      <c r="R329" s="23"/>
      <c r="S329" s="10">
        <f t="shared" si="74"/>
        <v>11250</v>
      </c>
      <c r="T329" s="10">
        <f t="shared" si="75"/>
        <v>-10250</v>
      </c>
      <c r="U329" s="10">
        <f t="shared" si="71"/>
        <v>0</v>
      </c>
      <c r="V329" s="10">
        <f t="shared" si="76"/>
        <v>45000</v>
      </c>
      <c r="W329" s="10">
        <f t="shared" si="77"/>
        <v>0</v>
      </c>
      <c r="X329" s="10">
        <f t="shared" si="78"/>
        <v>0</v>
      </c>
    </row>
    <row r="330" spans="1:24" s="9" customFormat="1" ht="13.5" customHeight="1" x14ac:dyDescent="0.2">
      <c r="A330" s="64">
        <f t="shared" si="79"/>
        <v>326</v>
      </c>
      <c r="B330" s="147" t="s">
        <v>2638</v>
      </c>
      <c r="C330" s="641">
        <v>40352</v>
      </c>
      <c r="D330" s="175">
        <v>900000</v>
      </c>
      <c r="E330" s="249"/>
      <c r="F330" s="67">
        <f t="shared" si="72"/>
        <v>900000</v>
      </c>
      <c r="G330" s="67">
        <v>899000</v>
      </c>
      <c r="H330" s="67">
        <f t="shared" si="68"/>
        <v>1000</v>
      </c>
      <c r="I330" s="68">
        <v>5</v>
      </c>
      <c r="J330" s="68">
        <v>0.2</v>
      </c>
      <c r="K330" s="68">
        <v>0</v>
      </c>
      <c r="L330" s="110">
        <f t="shared" si="69"/>
        <v>0</v>
      </c>
      <c r="M330" s="67">
        <f t="shared" si="70"/>
        <v>899000</v>
      </c>
      <c r="N330" s="462">
        <f t="shared" si="73"/>
        <v>1000</v>
      </c>
      <c r="O330" s="238" t="s">
        <v>2458</v>
      </c>
      <c r="P330" s="640">
        <v>2</v>
      </c>
      <c r="Q330" s="327"/>
      <c r="R330" s="23"/>
      <c r="S330" s="10">
        <f t="shared" si="74"/>
        <v>45000</v>
      </c>
      <c r="T330" s="10">
        <f t="shared" si="75"/>
        <v>-44000</v>
      </c>
      <c r="U330" s="10">
        <f t="shared" si="71"/>
        <v>0</v>
      </c>
      <c r="V330" s="10">
        <f t="shared" si="76"/>
        <v>180000</v>
      </c>
      <c r="W330" s="10">
        <f t="shared" si="77"/>
        <v>0</v>
      </c>
      <c r="X330" s="10">
        <f t="shared" si="78"/>
        <v>0</v>
      </c>
    </row>
    <row r="331" spans="1:24" s="9" customFormat="1" ht="13.5" customHeight="1" x14ac:dyDescent="0.2">
      <c r="A331" s="64">
        <f t="shared" si="79"/>
        <v>327</v>
      </c>
      <c r="B331" s="147" t="s">
        <v>1846</v>
      </c>
      <c r="C331" s="641">
        <v>40354</v>
      </c>
      <c r="D331" s="175">
        <v>519000</v>
      </c>
      <c r="E331" s="249"/>
      <c r="F331" s="67">
        <f t="shared" si="72"/>
        <v>519000</v>
      </c>
      <c r="G331" s="67">
        <v>518000</v>
      </c>
      <c r="H331" s="67">
        <f t="shared" si="68"/>
        <v>1000</v>
      </c>
      <c r="I331" s="68">
        <v>5</v>
      </c>
      <c r="J331" s="68">
        <v>0.2</v>
      </c>
      <c r="K331" s="68">
        <v>0</v>
      </c>
      <c r="L331" s="110">
        <f t="shared" si="69"/>
        <v>0</v>
      </c>
      <c r="M331" s="67">
        <f t="shared" si="70"/>
        <v>518000</v>
      </c>
      <c r="N331" s="462">
        <f t="shared" si="73"/>
        <v>1000</v>
      </c>
      <c r="O331" s="238" t="s">
        <v>2601</v>
      </c>
      <c r="P331" s="640">
        <v>1</v>
      </c>
      <c r="Q331" s="327"/>
      <c r="R331" s="23"/>
      <c r="S331" s="10">
        <f t="shared" si="74"/>
        <v>25950</v>
      </c>
      <c r="T331" s="10">
        <f t="shared" si="75"/>
        <v>-24950</v>
      </c>
      <c r="U331" s="10">
        <f t="shared" si="71"/>
        <v>0</v>
      </c>
      <c r="V331" s="10">
        <f t="shared" si="76"/>
        <v>103800</v>
      </c>
      <c r="W331" s="10">
        <f t="shared" si="77"/>
        <v>0</v>
      </c>
      <c r="X331" s="10">
        <f t="shared" si="78"/>
        <v>0</v>
      </c>
    </row>
    <row r="332" spans="1:24" s="9" customFormat="1" ht="13.5" customHeight="1" x14ac:dyDescent="0.2">
      <c r="A332" s="64">
        <f t="shared" si="79"/>
        <v>328</v>
      </c>
      <c r="B332" s="147" t="s">
        <v>1846</v>
      </c>
      <c r="C332" s="641">
        <v>40357</v>
      </c>
      <c r="D332" s="175">
        <v>2968000</v>
      </c>
      <c r="E332" s="249"/>
      <c r="F332" s="67">
        <f t="shared" si="72"/>
        <v>2968000</v>
      </c>
      <c r="G332" s="67">
        <v>2967000</v>
      </c>
      <c r="H332" s="67">
        <f t="shared" si="68"/>
        <v>1000</v>
      </c>
      <c r="I332" s="68">
        <v>5</v>
      </c>
      <c r="J332" s="68">
        <v>0.2</v>
      </c>
      <c r="K332" s="68">
        <v>0</v>
      </c>
      <c r="L332" s="110">
        <f t="shared" si="69"/>
        <v>0</v>
      </c>
      <c r="M332" s="67">
        <f t="shared" si="70"/>
        <v>2967000</v>
      </c>
      <c r="N332" s="462">
        <f t="shared" si="73"/>
        <v>1000</v>
      </c>
      <c r="O332" s="238" t="s">
        <v>2601</v>
      </c>
      <c r="P332" s="640">
        <v>4</v>
      </c>
      <c r="Q332" s="327"/>
      <c r="R332" s="23"/>
      <c r="S332" s="10">
        <f t="shared" si="74"/>
        <v>148400</v>
      </c>
      <c r="T332" s="10">
        <f t="shared" si="75"/>
        <v>-147400</v>
      </c>
      <c r="U332" s="10">
        <f t="shared" si="71"/>
        <v>0</v>
      </c>
      <c r="V332" s="10">
        <f t="shared" si="76"/>
        <v>593600</v>
      </c>
      <c r="W332" s="10">
        <f t="shared" si="77"/>
        <v>0</v>
      </c>
      <c r="X332" s="10">
        <f t="shared" si="78"/>
        <v>0</v>
      </c>
    </row>
    <row r="333" spans="1:24" s="9" customFormat="1" ht="13.5" customHeight="1" x14ac:dyDescent="0.2">
      <c r="A333" s="64">
        <f t="shared" si="79"/>
        <v>329</v>
      </c>
      <c r="B333" s="147" t="s">
        <v>1891</v>
      </c>
      <c r="C333" s="641">
        <v>40357</v>
      </c>
      <c r="D333" s="175">
        <v>960000</v>
      </c>
      <c r="E333" s="249"/>
      <c r="F333" s="67">
        <f t="shared" si="72"/>
        <v>960000</v>
      </c>
      <c r="G333" s="67">
        <v>959000</v>
      </c>
      <c r="H333" s="67">
        <f t="shared" si="68"/>
        <v>1000</v>
      </c>
      <c r="I333" s="68">
        <v>5</v>
      </c>
      <c r="J333" s="68">
        <v>0.2</v>
      </c>
      <c r="K333" s="68">
        <v>0</v>
      </c>
      <c r="L333" s="110">
        <f t="shared" si="69"/>
        <v>0</v>
      </c>
      <c r="M333" s="67">
        <f t="shared" si="70"/>
        <v>959000</v>
      </c>
      <c r="N333" s="462">
        <f t="shared" si="73"/>
        <v>1000</v>
      </c>
      <c r="O333" s="238" t="s">
        <v>2177</v>
      </c>
      <c r="P333" s="640">
        <v>20</v>
      </c>
      <c r="Q333" s="327"/>
      <c r="R333" s="23"/>
      <c r="S333" s="10">
        <f t="shared" si="74"/>
        <v>48000</v>
      </c>
      <c r="T333" s="10">
        <f t="shared" si="75"/>
        <v>-47000</v>
      </c>
      <c r="U333" s="10">
        <f t="shared" si="71"/>
        <v>0</v>
      </c>
      <c r="V333" s="10">
        <f t="shared" si="76"/>
        <v>192000</v>
      </c>
      <c r="W333" s="10">
        <f t="shared" si="77"/>
        <v>0</v>
      </c>
      <c r="X333" s="10">
        <f t="shared" si="78"/>
        <v>0</v>
      </c>
    </row>
    <row r="334" spans="1:24" s="9" customFormat="1" ht="13.5" customHeight="1" x14ac:dyDescent="0.2">
      <c r="A334" s="64">
        <f t="shared" si="79"/>
        <v>330</v>
      </c>
      <c r="B334" s="147" t="s">
        <v>2639</v>
      </c>
      <c r="C334" s="641">
        <v>40359</v>
      </c>
      <c r="D334" s="175">
        <v>2880000</v>
      </c>
      <c r="E334" s="249"/>
      <c r="F334" s="67">
        <f t="shared" si="72"/>
        <v>2880000</v>
      </c>
      <c r="G334" s="67">
        <v>2879000</v>
      </c>
      <c r="H334" s="67">
        <f t="shared" si="68"/>
        <v>1000</v>
      </c>
      <c r="I334" s="68">
        <v>5</v>
      </c>
      <c r="J334" s="68">
        <v>0.2</v>
      </c>
      <c r="K334" s="68">
        <v>0</v>
      </c>
      <c r="L334" s="110">
        <f t="shared" si="69"/>
        <v>0</v>
      </c>
      <c r="M334" s="67">
        <f t="shared" si="70"/>
        <v>2879000</v>
      </c>
      <c r="N334" s="462">
        <f t="shared" si="73"/>
        <v>1000</v>
      </c>
      <c r="O334" s="238" t="s">
        <v>2640</v>
      </c>
      <c r="P334" s="640">
        <v>8</v>
      </c>
      <c r="Q334" s="327"/>
      <c r="R334" s="23"/>
      <c r="S334" s="10">
        <f t="shared" si="74"/>
        <v>144000</v>
      </c>
      <c r="T334" s="10">
        <f t="shared" si="75"/>
        <v>-143000</v>
      </c>
      <c r="U334" s="10">
        <f t="shared" si="71"/>
        <v>0</v>
      </c>
      <c r="V334" s="10">
        <f t="shared" si="76"/>
        <v>576000</v>
      </c>
      <c r="W334" s="10">
        <f t="shared" si="77"/>
        <v>0</v>
      </c>
      <c r="X334" s="10">
        <f t="shared" si="78"/>
        <v>0</v>
      </c>
    </row>
    <row r="335" spans="1:24" s="9" customFormat="1" ht="13.5" customHeight="1" x14ac:dyDescent="0.2">
      <c r="A335" s="64">
        <f t="shared" si="79"/>
        <v>331</v>
      </c>
      <c r="B335" s="147" t="s">
        <v>2641</v>
      </c>
      <c r="C335" s="641">
        <v>40359</v>
      </c>
      <c r="D335" s="175">
        <v>760000</v>
      </c>
      <c r="E335" s="249"/>
      <c r="F335" s="67">
        <f t="shared" si="72"/>
        <v>760000</v>
      </c>
      <c r="G335" s="67">
        <v>759000</v>
      </c>
      <c r="H335" s="67">
        <f t="shared" si="68"/>
        <v>1000</v>
      </c>
      <c r="I335" s="68">
        <v>5</v>
      </c>
      <c r="J335" s="68">
        <v>0.2</v>
      </c>
      <c r="K335" s="68">
        <v>0</v>
      </c>
      <c r="L335" s="110">
        <f t="shared" si="69"/>
        <v>0</v>
      </c>
      <c r="M335" s="67">
        <f t="shared" si="70"/>
        <v>759000</v>
      </c>
      <c r="N335" s="462">
        <f t="shared" si="73"/>
        <v>1000</v>
      </c>
      <c r="O335" s="238" t="s">
        <v>2640</v>
      </c>
      <c r="P335" s="640">
        <v>2</v>
      </c>
      <c r="Q335" s="327"/>
      <c r="R335" s="23"/>
      <c r="S335" s="10">
        <f t="shared" si="74"/>
        <v>38000</v>
      </c>
      <c r="T335" s="10">
        <f t="shared" si="75"/>
        <v>-37000</v>
      </c>
      <c r="U335" s="10">
        <f t="shared" si="71"/>
        <v>0</v>
      </c>
      <c r="V335" s="10">
        <f t="shared" si="76"/>
        <v>152000</v>
      </c>
      <c r="W335" s="10">
        <f t="shared" si="77"/>
        <v>0</v>
      </c>
      <c r="X335" s="10">
        <f t="shared" si="78"/>
        <v>0</v>
      </c>
    </row>
    <row r="336" spans="1:24" s="9" customFormat="1" ht="13.5" customHeight="1" x14ac:dyDescent="0.2">
      <c r="A336" s="64">
        <f t="shared" si="79"/>
        <v>332</v>
      </c>
      <c r="B336" s="147" t="s">
        <v>2511</v>
      </c>
      <c r="C336" s="641">
        <v>40359</v>
      </c>
      <c r="D336" s="175">
        <v>1360000</v>
      </c>
      <c r="E336" s="249"/>
      <c r="F336" s="67">
        <f t="shared" si="72"/>
        <v>1360000</v>
      </c>
      <c r="G336" s="67">
        <v>1359000</v>
      </c>
      <c r="H336" s="67">
        <f t="shared" si="68"/>
        <v>1000</v>
      </c>
      <c r="I336" s="68">
        <v>5</v>
      </c>
      <c r="J336" s="68">
        <v>0.2</v>
      </c>
      <c r="K336" s="68">
        <v>0</v>
      </c>
      <c r="L336" s="110">
        <f t="shared" si="69"/>
        <v>0</v>
      </c>
      <c r="M336" s="67">
        <f t="shared" si="70"/>
        <v>1359000</v>
      </c>
      <c r="N336" s="462">
        <f t="shared" si="73"/>
        <v>1000</v>
      </c>
      <c r="O336" s="238" t="s">
        <v>2640</v>
      </c>
      <c r="P336" s="640">
        <v>2</v>
      </c>
      <c r="Q336" s="327"/>
      <c r="R336" s="23"/>
      <c r="S336" s="10">
        <f t="shared" si="74"/>
        <v>68000</v>
      </c>
      <c r="T336" s="10">
        <f t="shared" si="75"/>
        <v>-67000</v>
      </c>
      <c r="U336" s="10">
        <f t="shared" si="71"/>
        <v>0</v>
      </c>
      <c r="V336" s="10">
        <f t="shared" si="76"/>
        <v>272000</v>
      </c>
      <c r="W336" s="10">
        <f t="shared" si="77"/>
        <v>0</v>
      </c>
      <c r="X336" s="10">
        <f t="shared" si="78"/>
        <v>0</v>
      </c>
    </row>
    <row r="337" spans="1:24" s="9" customFormat="1" ht="13.5" customHeight="1" x14ac:dyDescent="0.2">
      <c r="A337" s="64">
        <f t="shared" si="79"/>
        <v>333</v>
      </c>
      <c r="B337" s="147" t="s">
        <v>2642</v>
      </c>
      <c r="C337" s="641">
        <v>40359</v>
      </c>
      <c r="D337" s="175">
        <v>500000</v>
      </c>
      <c r="E337" s="249"/>
      <c r="F337" s="67">
        <f t="shared" si="72"/>
        <v>500000</v>
      </c>
      <c r="G337" s="67">
        <v>499000</v>
      </c>
      <c r="H337" s="67">
        <f t="shared" si="68"/>
        <v>1000</v>
      </c>
      <c r="I337" s="68">
        <v>5</v>
      </c>
      <c r="J337" s="68">
        <v>0.2</v>
      </c>
      <c r="K337" s="68">
        <v>0</v>
      </c>
      <c r="L337" s="110">
        <f t="shared" si="69"/>
        <v>0</v>
      </c>
      <c r="M337" s="67">
        <f t="shared" si="70"/>
        <v>499000</v>
      </c>
      <c r="N337" s="462">
        <f t="shared" si="73"/>
        <v>1000</v>
      </c>
      <c r="O337" s="238" t="s">
        <v>1965</v>
      </c>
      <c r="P337" s="640">
        <v>1</v>
      </c>
      <c r="Q337" s="327"/>
      <c r="R337" s="23"/>
      <c r="S337" s="10">
        <f t="shared" si="74"/>
        <v>25000</v>
      </c>
      <c r="T337" s="10">
        <f t="shared" si="75"/>
        <v>-24000</v>
      </c>
      <c r="U337" s="10">
        <f t="shared" si="71"/>
        <v>0</v>
      </c>
      <c r="V337" s="10">
        <f t="shared" si="76"/>
        <v>100000</v>
      </c>
      <c r="W337" s="10">
        <f t="shared" si="77"/>
        <v>0</v>
      </c>
      <c r="X337" s="10">
        <f t="shared" si="78"/>
        <v>0</v>
      </c>
    </row>
    <row r="338" spans="1:24" s="9" customFormat="1" ht="13.5" customHeight="1" x14ac:dyDescent="0.2">
      <c r="A338" s="64">
        <f t="shared" si="79"/>
        <v>334</v>
      </c>
      <c r="B338" s="147" t="s">
        <v>2527</v>
      </c>
      <c r="C338" s="641">
        <v>40386</v>
      </c>
      <c r="D338" s="175">
        <v>450000</v>
      </c>
      <c r="E338" s="249"/>
      <c r="F338" s="67">
        <f t="shared" si="72"/>
        <v>450000</v>
      </c>
      <c r="G338" s="67">
        <v>449000</v>
      </c>
      <c r="H338" s="67">
        <f t="shared" si="68"/>
        <v>1000</v>
      </c>
      <c r="I338" s="68">
        <v>5</v>
      </c>
      <c r="J338" s="68">
        <v>0.2</v>
      </c>
      <c r="K338" s="68">
        <v>0</v>
      </c>
      <c r="L338" s="110">
        <f t="shared" si="69"/>
        <v>0</v>
      </c>
      <c r="M338" s="67">
        <f t="shared" si="70"/>
        <v>449000</v>
      </c>
      <c r="N338" s="462">
        <f t="shared" si="73"/>
        <v>1000</v>
      </c>
      <c r="O338" s="145" t="s">
        <v>2458</v>
      </c>
      <c r="P338" s="514">
        <v>1</v>
      </c>
      <c r="Q338" s="327"/>
      <c r="R338" s="23"/>
      <c r="S338" s="10">
        <f t="shared" si="74"/>
        <v>22500</v>
      </c>
      <c r="T338" s="10">
        <f t="shared" si="75"/>
        <v>-21500</v>
      </c>
      <c r="U338" s="10">
        <f t="shared" si="71"/>
        <v>0</v>
      </c>
      <c r="V338" s="10">
        <f t="shared" si="76"/>
        <v>90000</v>
      </c>
      <c r="W338" s="10">
        <f t="shared" si="77"/>
        <v>0</v>
      </c>
      <c r="X338" s="10">
        <f t="shared" si="78"/>
        <v>0</v>
      </c>
    </row>
    <row r="339" spans="1:24" s="9" customFormat="1" ht="13.5" customHeight="1" x14ac:dyDescent="0.2">
      <c r="A339" s="64">
        <f t="shared" si="79"/>
        <v>335</v>
      </c>
      <c r="B339" s="147" t="s">
        <v>2643</v>
      </c>
      <c r="C339" s="641">
        <v>40399</v>
      </c>
      <c r="D339" s="175">
        <v>860000</v>
      </c>
      <c r="E339" s="249"/>
      <c r="F339" s="67">
        <f t="shared" si="72"/>
        <v>860000</v>
      </c>
      <c r="G339" s="67">
        <v>859000</v>
      </c>
      <c r="H339" s="67">
        <f t="shared" si="68"/>
        <v>1000</v>
      </c>
      <c r="I339" s="68">
        <v>5</v>
      </c>
      <c r="J339" s="68">
        <v>0.2</v>
      </c>
      <c r="K339" s="68">
        <v>0</v>
      </c>
      <c r="L339" s="110">
        <f t="shared" si="69"/>
        <v>0</v>
      </c>
      <c r="M339" s="67">
        <f t="shared" si="70"/>
        <v>859000</v>
      </c>
      <c r="N339" s="462">
        <f t="shared" si="73"/>
        <v>1000</v>
      </c>
      <c r="O339" s="145" t="s">
        <v>2458</v>
      </c>
      <c r="P339" s="514">
        <v>2</v>
      </c>
      <c r="Q339" s="327"/>
      <c r="R339" s="23"/>
      <c r="S339" s="10">
        <f t="shared" si="74"/>
        <v>43000</v>
      </c>
      <c r="T339" s="10">
        <f t="shared" si="75"/>
        <v>-42000</v>
      </c>
      <c r="U339" s="10">
        <f t="shared" si="71"/>
        <v>0</v>
      </c>
      <c r="V339" s="10">
        <f t="shared" si="76"/>
        <v>172000</v>
      </c>
      <c r="W339" s="10">
        <f t="shared" si="77"/>
        <v>0</v>
      </c>
      <c r="X339" s="10">
        <f t="shared" si="78"/>
        <v>0</v>
      </c>
    </row>
    <row r="340" spans="1:24" s="9" customFormat="1" ht="13.5" customHeight="1" x14ac:dyDescent="0.2">
      <c r="A340" s="64">
        <f t="shared" si="79"/>
        <v>336</v>
      </c>
      <c r="B340" s="147" t="s">
        <v>2644</v>
      </c>
      <c r="C340" s="641">
        <v>40448</v>
      </c>
      <c r="D340" s="175">
        <v>1786000</v>
      </c>
      <c r="E340" s="249"/>
      <c r="F340" s="67">
        <f t="shared" si="72"/>
        <v>1786000</v>
      </c>
      <c r="G340" s="67">
        <v>1785000</v>
      </c>
      <c r="H340" s="67">
        <f t="shared" si="68"/>
        <v>1000</v>
      </c>
      <c r="I340" s="68">
        <v>5</v>
      </c>
      <c r="J340" s="68">
        <v>0.2</v>
      </c>
      <c r="K340" s="68">
        <v>0</v>
      </c>
      <c r="L340" s="110">
        <f t="shared" si="69"/>
        <v>0</v>
      </c>
      <c r="M340" s="67">
        <f t="shared" si="70"/>
        <v>1785000</v>
      </c>
      <c r="N340" s="462">
        <f t="shared" si="73"/>
        <v>1000</v>
      </c>
      <c r="O340" s="145" t="s">
        <v>819</v>
      </c>
      <c r="P340" s="514">
        <v>1</v>
      </c>
      <c r="Q340" s="327"/>
      <c r="R340" s="23"/>
      <c r="S340" s="10">
        <f t="shared" si="74"/>
        <v>89300</v>
      </c>
      <c r="T340" s="10">
        <f t="shared" si="75"/>
        <v>-88300</v>
      </c>
      <c r="U340" s="10">
        <f t="shared" si="71"/>
        <v>0</v>
      </c>
      <c r="V340" s="10">
        <f t="shared" si="76"/>
        <v>357200</v>
      </c>
      <c r="W340" s="10">
        <f t="shared" si="77"/>
        <v>0</v>
      </c>
      <c r="X340" s="10">
        <f t="shared" si="78"/>
        <v>0</v>
      </c>
    </row>
    <row r="341" spans="1:24" s="9" customFormat="1" ht="13.5" customHeight="1" x14ac:dyDescent="0.2">
      <c r="A341" s="64">
        <f t="shared" si="79"/>
        <v>337</v>
      </c>
      <c r="B341" s="147" t="s">
        <v>1846</v>
      </c>
      <c r="C341" s="641">
        <v>40451</v>
      </c>
      <c r="D341" s="175">
        <v>1564000</v>
      </c>
      <c r="E341" s="249"/>
      <c r="F341" s="67">
        <f t="shared" si="72"/>
        <v>1564000</v>
      </c>
      <c r="G341" s="67">
        <v>1563000</v>
      </c>
      <c r="H341" s="67">
        <f t="shared" si="68"/>
        <v>1000</v>
      </c>
      <c r="I341" s="68">
        <v>5</v>
      </c>
      <c r="J341" s="68">
        <v>0.2</v>
      </c>
      <c r="K341" s="68">
        <v>0</v>
      </c>
      <c r="L341" s="110">
        <f t="shared" si="69"/>
        <v>0</v>
      </c>
      <c r="M341" s="67">
        <f t="shared" si="70"/>
        <v>1563000</v>
      </c>
      <c r="N341" s="462">
        <f t="shared" si="73"/>
        <v>1000</v>
      </c>
      <c r="O341" s="145" t="s">
        <v>2601</v>
      </c>
      <c r="P341" s="514">
        <v>2</v>
      </c>
      <c r="Q341" s="327"/>
      <c r="R341" s="23"/>
      <c r="S341" s="10">
        <f t="shared" si="74"/>
        <v>78200</v>
      </c>
      <c r="T341" s="10">
        <f t="shared" si="75"/>
        <v>-77200</v>
      </c>
      <c r="U341" s="10">
        <f t="shared" si="71"/>
        <v>0</v>
      </c>
      <c r="V341" s="10">
        <f t="shared" si="76"/>
        <v>312800</v>
      </c>
      <c r="W341" s="10">
        <f t="shared" si="77"/>
        <v>0</v>
      </c>
      <c r="X341" s="10">
        <f t="shared" si="78"/>
        <v>0</v>
      </c>
    </row>
    <row r="342" spans="1:24" s="9" customFormat="1" ht="13.5" customHeight="1" x14ac:dyDescent="0.2">
      <c r="A342" s="64">
        <f t="shared" si="79"/>
        <v>338</v>
      </c>
      <c r="B342" s="143" t="s">
        <v>2645</v>
      </c>
      <c r="C342" s="648">
        <v>40500</v>
      </c>
      <c r="D342" s="372">
        <v>4025000</v>
      </c>
      <c r="E342" s="649"/>
      <c r="F342" s="67">
        <f t="shared" si="72"/>
        <v>4025000</v>
      </c>
      <c r="G342" s="67">
        <v>4024000</v>
      </c>
      <c r="H342" s="67">
        <f t="shared" si="68"/>
        <v>1000</v>
      </c>
      <c r="I342" s="68">
        <v>5</v>
      </c>
      <c r="J342" s="68">
        <v>0.2</v>
      </c>
      <c r="K342" s="68">
        <v>0</v>
      </c>
      <c r="L342" s="110">
        <f t="shared" si="69"/>
        <v>0</v>
      </c>
      <c r="M342" s="73">
        <f t="shared" si="70"/>
        <v>4024000</v>
      </c>
      <c r="N342" s="484">
        <f t="shared" si="73"/>
        <v>1000</v>
      </c>
      <c r="O342" s="150" t="s">
        <v>2177</v>
      </c>
      <c r="P342" s="660">
        <v>23</v>
      </c>
      <c r="Q342" s="652"/>
      <c r="R342" s="23"/>
      <c r="S342" s="10">
        <f t="shared" si="74"/>
        <v>201250</v>
      </c>
      <c r="T342" s="10">
        <f t="shared" si="75"/>
        <v>-200250</v>
      </c>
      <c r="U342" s="10">
        <f t="shared" si="71"/>
        <v>0</v>
      </c>
      <c r="V342" s="10">
        <f t="shared" si="76"/>
        <v>805000</v>
      </c>
      <c r="W342" s="10">
        <f t="shared" si="77"/>
        <v>0</v>
      </c>
      <c r="X342" s="10">
        <f t="shared" si="78"/>
        <v>0</v>
      </c>
    </row>
    <row r="343" spans="1:24" s="9" customFormat="1" ht="13.5" customHeight="1" x14ac:dyDescent="0.2">
      <c r="A343" s="64">
        <f t="shared" si="79"/>
        <v>339</v>
      </c>
      <c r="B343" s="143" t="s">
        <v>2646</v>
      </c>
      <c r="C343" s="648">
        <v>40500</v>
      </c>
      <c r="D343" s="372">
        <v>390000</v>
      </c>
      <c r="E343" s="649"/>
      <c r="F343" s="67">
        <f t="shared" si="72"/>
        <v>390000</v>
      </c>
      <c r="G343" s="67">
        <v>389000</v>
      </c>
      <c r="H343" s="67">
        <f t="shared" si="68"/>
        <v>1000</v>
      </c>
      <c r="I343" s="68">
        <v>5</v>
      </c>
      <c r="J343" s="68">
        <v>0.2</v>
      </c>
      <c r="K343" s="68">
        <v>0</v>
      </c>
      <c r="L343" s="110">
        <f t="shared" si="69"/>
        <v>0</v>
      </c>
      <c r="M343" s="73">
        <f t="shared" si="70"/>
        <v>389000</v>
      </c>
      <c r="N343" s="484">
        <f t="shared" si="73"/>
        <v>1000</v>
      </c>
      <c r="O343" s="150" t="s">
        <v>2177</v>
      </c>
      <c r="P343" s="660">
        <v>2</v>
      </c>
      <c r="Q343" s="652"/>
      <c r="R343" s="23"/>
      <c r="S343" s="10">
        <f t="shared" si="74"/>
        <v>19500</v>
      </c>
      <c r="T343" s="10">
        <f t="shared" si="75"/>
        <v>-18500</v>
      </c>
      <c r="U343" s="10">
        <f t="shared" si="71"/>
        <v>0</v>
      </c>
      <c r="V343" s="10">
        <f t="shared" si="76"/>
        <v>78000</v>
      </c>
      <c r="W343" s="10">
        <f t="shared" si="77"/>
        <v>0</v>
      </c>
      <c r="X343" s="10">
        <f t="shared" si="78"/>
        <v>0</v>
      </c>
    </row>
    <row r="344" spans="1:24" s="9" customFormat="1" ht="13.5" customHeight="1" x14ac:dyDescent="0.2">
      <c r="A344" s="64">
        <f t="shared" si="79"/>
        <v>340</v>
      </c>
      <c r="B344" s="143" t="s">
        <v>2647</v>
      </c>
      <c r="C344" s="648">
        <v>40500</v>
      </c>
      <c r="D344" s="372">
        <v>3190000</v>
      </c>
      <c r="E344" s="649"/>
      <c r="F344" s="67">
        <f t="shared" si="72"/>
        <v>3190000</v>
      </c>
      <c r="G344" s="67">
        <v>3189000</v>
      </c>
      <c r="H344" s="67">
        <f t="shared" ref="H344:H407" si="80">+F344-G344</f>
        <v>1000</v>
      </c>
      <c r="I344" s="68">
        <v>5</v>
      </c>
      <c r="J344" s="68">
        <v>0.2</v>
      </c>
      <c r="K344" s="68">
        <v>0</v>
      </c>
      <c r="L344" s="110">
        <f t="shared" ref="L344:L407" si="81">ROUND(IF(F344*J344*K344/12&gt;=H344,H344-1000,F344*J344*K344/12),0)</f>
        <v>0</v>
      </c>
      <c r="M344" s="73">
        <f t="shared" ref="M344:M407" si="82">+G344+L344</f>
        <v>3189000</v>
      </c>
      <c r="N344" s="484">
        <f t="shared" si="73"/>
        <v>1000</v>
      </c>
      <c r="O344" s="150" t="s">
        <v>2177</v>
      </c>
      <c r="P344" s="660">
        <v>11</v>
      </c>
      <c r="Q344" s="652"/>
      <c r="R344" s="23"/>
      <c r="S344" s="10">
        <f t="shared" si="74"/>
        <v>159500</v>
      </c>
      <c r="T344" s="10">
        <f t="shared" si="75"/>
        <v>-158500</v>
      </c>
      <c r="U344" s="10">
        <f t="shared" ref="U344:U407" si="83">N344-1000</f>
        <v>0</v>
      </c>
      <c r="V344" s="10">
        <f t="shared" si="76"/>
        <v>638000</v>
      </c>
      <c r="W344" s="10">
        <f t="shared" si="77"/>
        <v>0</v>
      </c>
      <c r="X344" s="10">
        <f t="shared" si="78"/>
        <v>0</v>
      </c>
    </row>
    <row r="345" spans="1:24" s="9" customFormat="1" ht="13.5" customHeight="1" x14ac:dyDescent="0.2">
      <c r="A345" s="64">
        <f t="shared" si="79"/>
        <v>341</v>
      </c>
      <c r="B345" s="143" t="s">
        <v>2648</v>
      </c>
      <c r="C345" s="648">
        <v>40500</v>
      </c>
      <c r="D345" s="372">
        <v>2160000</v>
      </c>
      <c r="E345" s="649"/>
      <c r="F345" s="67">
        <f t="shared" si="72"/>
        <v>2160000</v>
      </c>
      <c r="G345" s="67">
        <v>2159000</v>
      </c>
      <c r="H345" s="67">
        <f t="shared" si="80"/>
        <v>1000</v>
      </c>
      <c r="I345" s="68">
        <v>5</v>
      </c>
      <c r="J345" s="68">
        <v>0.2</v>
      </c>
      <c r="K345" s="68">
        <v>0</v>
      </c>
      <c r="L345" s="110">
        <f t="shared" si="81"/>
        <v>0</v>
      </c>
      <c r="M345" s="73">
        <f t="shared" si="82"/>
        <v>2159000</v>
      </c>
      <c r="N345" s="484">
        <f t="shared" si="73"/>
        <v>1000</v>
      </c>
      <c r="O345" s="150" t="s">
        <v>2177</v>
      </c>
      <c r="P345" s="660">
        <v>8</v>
      </c>
      <c r="Q345" s="652"/>
      <c r="R345" s="23"/>
      <c r="S345" s="10">
        <f t="shared" si="74"/>
        <v>108000</v>
      </c>
      <c r="T345" s="10">
        <f t="shared" si="75"/>
        <v>-107000</v>
      </c>
      <c r="U345" s="10">
        <f t="shared" si="83"/>
        <v>0</v>
      </c>
      <c r="V345" s="10">
        <f t="shared" si="76"/>
        <v>432000</v>
      </c>
      <c r="W345" s="10">
        <f t="shared" si="77"/>
        <v>0</v>
      </c>
      <c r="X345" s="10">
        <f t="shared" si="78"/>
        <v>0</v>
      </c>
    </row>
    <row r="346" spans="1:24" s="9" customFormat="1" ht="13.5" customHeight="1" x14ac:dyDescent="0.2">
      <c r="A346" s="64">
        <f t="shared" si="79"/>
        <v>342</v>
      </c>
      <c r="B346" s="143" t="s">
        <v>2649</v>
      </c>
      <c r="C346" s="648">
        <v>40500</v>
      </c>
      <c r="D346" s="372">
        <v>180000</v>
      </c>
      <c r="E346" s="649"/>
      <c r="F346" s="67">
        <f t="shared" si="72"/>
        <v>180000</v>
      </c>
      <c r="G346" s="67">
        <v>179000</v>
      </c>
      <c r="H346" s="67">
        <f t="shared" si="80"/>
        <v>1000</v>
      </c>
      <c r="I346" s="68">
        <v>5</v>
      </c>
      <c r="J346" s="68">
        <v>0.2</v>
      </c>
      <c r="K346" s="68">
        <v>0</v>
      </c>
      <c r="L346" s="110">
        <f t="shared" si="81"/>
        <v>0</v>
      </c>
      <c r="M346" s="73">
        <f t="shared" si="82"/>
        <v>179000</v>
      </c>
      <c r="N346" s="484">
        <f t="shared" si="73"/>
        <v>1000</v>
      </c>
      <c r="O346" s="150" t="s">
        <v>2177</v>
      </c>
      <c r="P346" s="660">
        <v>1</v>
      </c>
      <c r="Q346" s="652"/>
      <c r="R346" s="23"/>
      <c r="S346" s="10">
        <f t="shared" si="74"/>
        <v>9000</v>
      </c>
      <c r="T346" s="10">
        <f t="shared" si="75"/>
        <v>-8000</v>
      </c>
      <c r="U346" s="10">
        <f t="shared" si="83"/>
        <v>0</v>
      </c>
      <c r="V346" s="10">
        <f t="shared" si="76"/>
        <v>36000</v>
      </c>
      <c r="W346" s="10">
        <f t="shared" si="77"/>
        <v>0</v>
      </c>
      <c r="X346" s="10">
        <f t="shared" si="78"/>
        <v>0</v>
      </c>
    </row>
    <row r="347" spans="1:24" s="9" customFormat="1" ht="13.5" customHeight="1" x14ac:dyDescent="0.2">
      <c r="A347" s="64">
        <f t="shared" si="79"/>
        <v>343</v>
      </c>
      <c r="B347" s="143" t="s">
        <v>2650</v>
      </c>
      <c r="C347" s="648">
        <v>40500</v>
      </c>
      <c r="D347" s="372">
        <v>1850000</v>
      </c>
      <c r="E347" s="649"/>
      <c r="F347" s="67">
        <f t="shared" si="72"/>
        <v>1850000</v>
      </c>
      <c r="G347" s="67">
        <v>1849000</v>
      </c>
      <c r="H347" s="67">
        <f t="shared" si="80"/>
        <v>1000</v>
      </c>
      <c r="I347" s="68">
        <v>5</v>
      </c>
      <c r="J347" s="68">
        <v>0.2</v>
      </c>
      <c r="K347" s="68">
        <v>0</v>
      </c>
      <c r="L347" s="110">
        <f t="shared" si="81"/>
        <v>0</v>
      </c>
      <c r="M347" s="73">
        <f t="shared" si="82"/>
        <v>1849000</v>
      </c>
      <c r="N347" s="484">
        <f t="shared" si="73"/>
        <v>1000</v>
      </c>
      <c r="O347" s="150" t="s">
        <v>2177</v>
      </c>
      <c r="P347" s="660">
        <v>10</v>
      </c>
      <c r="Q347" s="652"/>
      <c r="R347" s="23"/>
      <c r="S347" s="10">
        <f t="shared" si="74"/>
        <v>92500</v>
      </c>
      <c r="T347" s="10">
        <f t="shared" si="75"/>
        <v>-91500</v>
      </c>
      <c r="U347" s="10">
        <f t="shared" si="83"/>
        <v>0</v>
      </c>
      <c r="V347" s="10">
        <f t="shared" si="76"/>
        <v>370000</v>
      </c>
      <c r="W347" s="10">
        <f t="shared" si="77"/>
        <v>0</v>
      </c>
      <c r="X347" s="10">
        <f t="shared" si="78"/>
        <v>0</v>
      </c>
    </row>
    <row r="348" spans="1:24" s="9" customFormat="1" ht="13.5" customHeight="1" x14ac:dyDescent="0.2">
      <c r="A348" s="64">
        <f t="shared" si="79"/>
        <v>344</v>
      </c>
      <c r="B348" s="143" t="s">
        <v>2651</v>
      </c>
      <c r="C348" s="648">
        <v>40500</v>
      </c>
      <c r="D348" s="372">
        <v>360000</v>
      </c>
      <c r="E348" s="649"/>
      <c r="F348" s="67">
        <f t="shared" si="72"/>
        <v>360000</v>
      </c>
      <c r="G348" s="67">
        <v>359000</v>
      </c>
      <c r="H348" s="67">
        <f t="shared" si="80"/>
        <v>1000</v>
      </c>
      <c r="I348" s="68">
        <v>5</v>
      </c>
      <c r="J348" s="68">
        <v>0.2</v>
      </c>
      <c r="K348" s="68">
        <v>0</v>
      </c>
      <c r="L348" s="110">
        <f t="shared" si="81"/>
        <v>0</v>
      </c>
      <c r="M348" s="73">
        <f t="shared" si="82"/>
        <v>359000</v>
      </c>
      <c r="N348" s="484">
        <f t="shared" si="73"/>
        <v>1000</v>
      </c>
      <c r="O348" s="150" t="s">
        <v>2177</v>
      </c>
      <c r="P348" s="660">
        <v>4</v>
      </c>
      <c r="Q348" s="652"/>
      <c r="R348" s="23"/>
      <c r="S348" s="10">
        <f t="shared" si="74"/>
        <v>18000</v>
      </c>
      <c r="T348" s="10">
        <f t="shared" si="75"/>
        <v>-17000</v>
      </c>
      <c r="U348" s="10">
        <f t="shared" si="83"/>
        <v>0</v>
      </c>
      <c r="V348" s="10">
        <f t="shared" si="76"/>
        <v>72000</v>
      </c>
      <c r="W348" s="10">
        <f t="shared" si="77"/>
        <v>0</v>
      </c>
      <c r="X348" s="10">
        <f t="shared" si="78"/>
        <v>0</v>
      </c>
    </row>
    <row r="349" spans="1:24" s="9" customFormat="1" ht="13.5" customHeight="1" x14ac:dyDescent="0.2">
      <c r="A349" s="64">
        <f t="shared" si="79"/>
        <v>345</v>
      </c>
      <c r="B349" s="143" t="s">
        <v>2652</v>
      </c>
      <c r="C349" s="648">
        <v>40500</v>
      </c>
      <c r="D349" s="372">
        <v>480000</v>
      </c>
      <c r="E349" s="649"/>
      <c r="F349" s="67">
        <f t="shared" si="72"/>
        <v>480000</v>
      </c>
      <c r="G349" s="67">
        <v>479000</v>
      </c>
      <c r="H349" s="67">
        <f t="shared" si="80"/>
        <v>1000</v>
      </c>
      <c r="I349" s="68">
        <v>5</v>
      </c>
      <c r="J349" s="68">
        <v>0.2</v>
      </c>
      <c r="K349" s="68">
        <v>0</v>
      </c>
      <c r="L349" s="110">
        <f t="shared" si="81"/>
        <v>0</v>
      </c>
      <c r="M349" s="73">
        <f t="shared" si="82"/>
        <v>479000</v>
      </c>
      <c r="N349" s="484">
        <f t="shared" si="73"/>
        <v>1000</v>
      </c>
      <c r="O349" s="150" t="s">
        <v>2177</v>
      </c>
      <c r="P349" s="660">
        <v>6</v>
      </c>
      <c r="Q349" s="652"/>
      <c r="R349" s="23"/>
      <c r="S349" s="10">
        <f t="shared" si="74"/>
        <v>24000</v>
      </c>
      <c r="T349" s="10">
        <f t="shared" si="75"/>
        <v>-23000</v>
      </c>
      <c r="U349" s="10">
        <f t="shared" si="83"/>
        <v>0</v>
      </c>
      <c r="V349" s="10">
        <f t="shared" si="76"/>
        <v>96000</v>
      </c>
      <c r="W349" s="10">
        <f t="shared" si="77"/>
        <v>0</v>
      </c>
      <c r="X349" s="10">
        <f t="shared" si="78"/>
        <v>0</v>
      </c>
    </row>
    <row r="350" spans="1:24" s="9" customFormat="1" ht="13.5" customHeight="1" x14ac:dyDescent="0.2">
      <c r="A350" s="64">
        <f t="shared" si="79"/>
        <v>346</v>
      </c>
      <c r="B350" s="143" t="s">
        <v>2653</v>
      </c>
      <c r="C350" s="648">
        <v>40500</v>
      </c>
      <c r="D350" s="372">
        <v>450000</v>
      </c>
      <c r="E350" s="649"/>
      <c r="F350" s="67">
        <f t="shared" si="72"/>
        <v>450000</v>
      </c>
      <c r="G350" s="67">
        <v>449000</v>
      </c>
      <c r="H350" s="67">
        <f t="shared" si="80"/>
        <v>1000</v>
      </c>
      <c r="I350" s="68">
        <v>5</v>
      </c>
      <c r="J350" s="68">
        <v>0.2</v>
      </c>
      <c r="K350" s="68">
        <v>0</v>
      </c>
      <c r="L350" s="110">
        <f t="shared" si="81"/>
        <v>0</v>
      </c>
      <c r="M350" s="73">
        <f t="shared" si="82"/>
        <v>449000</v>
      </c>
      <c r="N350" s="484">
        <f t="shared" si="73"/>
        <v>1000</v>
      </c>
      <c r="O350" s="150" t="s">
        <v>2177</v>
      </c>
      <c r="P350" s="660">
        <v>6</v>
      </c>
      <c r="Q350" s="652"/>
      <c r="R350" s="23"/>
      <c r="S350" s="10">
        <f t="shared" si="74"/>
        <v>22500</v>
      </c>
      <c r="T350" s="10">
        <f t="shared" si="75"/>
        <v>-21500</v>
      </c>
      <c r="U350" s="10">
        <f t="shared" si="83"/>
        <v>0</v>
      </c>
      <c r="V350" s="10">
        <f t="shared" si="76"/>
        <v>90000</v>
      </c>
      <c r="W350" s="10">
        <f t="shared" si="77"/>
        <v>0</v>
      </c>
      <c r="X350" s="10">
        <f t="shared" si="78"/>
        <v>0</v>
      </c>
    </row>
    <row r="351" spans="1:24" s="9" customFormat="1" ht="13.5" customHeight="1" x14ac:dyDescent="0.2">
      <c r="A351" s="64">
        <f t="shared" si="79"/>
        <v>347</v>
      </c>
      <c r="B351" s="143" t="s">
        <v>1855</v>
      </c>
      <c r="C351" s="648">
        <v>40500</v>
      </c>
      <c r="D351" s="372">
        <v>330000</v>
      </c>
      <c r="E351" s="649"/>
      <c r="F351" s="67">
        <f t="shared" si="72"/>
        <v>330000</v>
      </c>
      <c r="G351" s="67">
        <v>329000</v>
      </c>
      <c r="H351" s="67">
        <f t="shared" si="80"/>
        <v>1000</v>
      </c>
      <c r="I351" s="68">
        <v>5</v>
      </c>
      <c r="J351" s="68">
        <v>0.2</v>
      </c>
      <c r="K351" s="68">
        <v>0</v>
      </c>
      <c r="L351" s="110">
        <f t="shared" si="81"/>
        <v>0</v>
      </c>
      <c r="M351" s="73">
        <f t="shared" si="82"/>
        <v>329000</v>
      </c>
      <c r="N351" s="484">
        <f t="shared" si="73"/>
        <v>1000</v>
      </c>
      <c r="O351" s="150" t="s">
        <v>2177</v>
      </c>
      <c r="P351" s="660">
        <v>6</v>
      </c>
      <c r="Q351" s="652"/>
      <c r="R351" s="23"/>
      <c r="S351" s="10">
        <f t="shared" si="74"/>
        <v>16500</v>
      </c>
      <c r="T351" s="10">
        <f t="shared" si="75"/>
        <v>-15500</v>
      </c>
      <c r="U351" s="10">
        <f t="shared" si="83"/>
        <v>0</v>
      </c>
      <c r="V351" s="10">
        <f t="shared" si="76"/>
        <v>66000</v>
      </c>
      <c r="W351" s="10">
        <f t="shared" si="77"/>
        <v>0</v>
      </c>
      <c r="X351" s="10">
        <f t="shared" si="78"/>
        <v>0</v>
      </c>
    </row>
    <row r="352" spans="1:24" s="9" customFormat="1" ht="13.5" customHeight="1" x14ac:dyDescent="0.2">
      <c r="A352" s="64">
        <f t="shared" si="79"/>
        <v>348</v>
      </c>
      <c r="B352" s="143" t="s">
        <v>2654</v>
      </c>
      <c r="C352" s="648">
        <v>40501</v>
      </c>
      <c r="D352" s="372">
        <v>2600000</v>
      </c>
      <c r="E352" s="649"/>
      <c r="F352" s="67">
        <f t="shared" si="72"/>
        <v>2600000</v>
      </c>
      <c r="G352" s="67">
        <v>2599000</v>
      </c>
      <c r="H352" s="67">
        <f t="shared" si="80"/>
        <v>1000</v>
      </c>
      <c r="I352" s="68">
        <v>5</v>
      </c>
      <c r="J352" s="68">
        <v>0.2</v>
      </c>
      <c r="K352" s="68">
        <v>0</v>
      </c>
      <c r="L352" s="110">
        <f t="shared" si="81"/>
        <v>0</v>
      </c>
      <c r="M352" s="73">
        <f t="shared" si="82"/>
        <v>2599000</v>
      </c>
      <c r="N352" s="484">
        <f t="shared" si="73"/>
        <v>1000</v>
      </c>
      <c r="O352" s="150" t="s">
        <v>2590</v>
      </c>
      <c r="P352" s="660">
        <v>5</v>
      </c>
      <c r="Q352" s="652"/>
      <c r="R352" s="23"/>
      <c r="S352" s="10">
        <f t="shared" si="74"/>
        <v>130000</v>
      </c>
      <c r="T352" s="10">
        <f t="shared" si="75"/>
        <v>-129000</v>
      </c>
      <c r="U352" s="10">
        <f t="shared" si="83"/>
        <v>0</v>
      </c>
      <c r="V352" s="10">
        <f t="shared" si="76"/>
        <v>520000</v>
      </c>
      <c r="W352" s="10">
        <f t="shared" si="77"/>
        <v>0</v>
      </c>
      <c r="X352" s="10">
        <f t="shared" si="78"/>
        <v>0</v>
      </c>
    </row>
    <row r="353" spans="1:24" s="9" customFormat="1" ht="13.5" customHeight="1" x14ac:dyDescent="0.2">
      <c r="A353" s="64">
        <f t="shared" si="79"/>
        <v>349</v>
      </c>
      <c r="B353" s="143" t="s">
        <v>2655</v>
      </c>
      <c r="C353" s="648">
        <v>40501</v>
      </c>
      <c r="D353" s="372">
        <v>4500000</v>
      </c>
      <c r="E353" s="649"/>
      <c r="F353" s="67">
        <f t="shared" si="72"/>
        <v>4500000</v>
      </c>
      <c r="G353" s="67">
        <v>4499000</v>
      </c>
      <c r="H353" s="67">
        <f t="shared" si="80"/>
        <v>1000</v>
      </c>
      <c r="I353" s="68">
        <v>5</v>
      </c>
      <c r="J353" s="68">
        <v>0.2</v>
      </c>
      <c r="K353" s="68">
        <v>0</v>
      </c>
      <c r="L353" s="110">
        <f t="shared" si="81"/>
        <v>0</v>
      </c>
      <c r="M353" s="73">
        <f t="shared" si="82"/>
        <v>4499000</v>
      </c>
      <c r="N353" s="484">
        <f t="shared" si="73"/>
        <v>1000</v>
      </c>
      <c r="O353" s="150" t="s">
        <v>2590</v>
      </c>
      <c r="P353" s="660">
        <v>9</v>
      </c>
      <c r="Q353" s="652"/>
      <c r="R353" s="23"/>
      <c r="S353" s="10">
        <f t="shared" si="74"/>
        <v>225000</v>
      </c>
      <c r="T353" s="10">
        <f t="shared" si="75"/>
        <v>-224000</v>
      </c>
      <c r="U353" s="10">
        <f t="shared" si="83"/>
        <v>0</v>
      </c>
      <c r="V353" s="10">
        <f t="shared" si="76"/>
        <v>900000</v>
      </c>
      <c r="W353" s="10">
        <f t="shared" si="77"/>
        <v>0</v>
      </c>
      <c r="X353" s="10">
        <f t="shared" si="78"/>
        <v>0</v>
      </c>
    </row>
    <row r="354" spans="1:24" s="9" customFormat="1" ht="13.5" customHeight="1" x14ac:dyDescent="0.2">
      <c r="A354" s="64">
        <f t="shared" si="79"/>
        <v>350</v>
      </c>
      <c r="B354" s="143" t="s">
        <v>2656</v>
      </c>
      <c r="C354" s="648">
        <v>40501</v>
      </c>
      <c r="D354" s="372">
        <v>18750000</v>
      </c>
      <c r="E354" s="649"/>
      <c r="F354" s="67">
        <f t="shared" si="72"/>
        <v>18750000</v>
      </c>
      <c r="G354" s="67">
        <v>18749000</v>
      </c>
      <c r="H354" s="67">
        <f t="shared" si="80"/>
        <v>1000</v>
      </c>
      <c r="I354" s="68">
        <v>5</v>
      </c>
      <c r="J354" s="68">
        <v>0.2</v>
      </c>
      <c r="K354" s="68">
        <v>0</v>
      </c>
      <c r="L354" s="110">
        <f t="shared" si="81"/>
        <v>0</v>
      </c>
      <c r="M354" s="73">
        <f t="shared" si="82"/>
        <v>18749000</v>
      </c>
      <c r="N354" s="484">
        <f t="shared" si="73"/>
        <v>1000</v>
      </c>
      <c r="O354" s="150" t="s">
        <v>2590</v>
      </c>
      <c r="P354" s="660">
        <v>25</v>
      </c>
      <c r="Q354" s="652"/>
      <c r="R354" s="23"/>
      <c r="S354" s="10">
        <f t="shared" si="74"/>
        <v>937500</v>
      </c>
      <c r="T354" s="10">
        <f t="shared" si="75"/>
        <v>-936500</v>
      </c>
      <c r="U354" s="10">
        <f t="shared" si="83"/>
        <v>0</v>
      </c>
      <c r="V354" s="10">
        <f t="shared" si="76"/>
        <v>3750000</v>
      </c>
      <c r="W354" s="10">
        <f t="shared" si="77"/>
        <v>0</v>
      </c>
      <c r="X354" s="10">
        <f t="shared" si="78"/>
        <v>0</v>
      </c>
    </row>
    <row r="355" spans="1:24" s="9" customFormat="1" ht="13.5" customHeight="1" x14ac:dyDescent="0.2">
      <c r="A355" s="64">
        <f t="shared" si="79"/>
        <v>351</v>
      </c>
      <c r="B355" s="143" t="s">
        <v>2657</v>
      </c>
      <c r="C355" s="648">
        <v>40501</v>
      </c>
      <c r="D355" s="372">
        <v>4450000</v>
      </c>
      <c r="E355" s="649"/>
      <c r="F355" s="67">
        <f t="shared" si="72"/>
        <v>4450000</v>
      </c>
      <c r="G355" s="67">
        <v>4449000</v>
      </c>
      <c r="H355" s="67">
        <f t="shared" si="80"/>
        <v>1000</v>
      </c>
      <c r="I355" s="68">
        <v>5</v>
      </c>
      <c r="J355" s="68">
        <v>0.2</v>
      </c>
      <c r="K355" s="68">
        <v>0</v>
      </c>
      <c r="L355" s="110">
        <f t="shared" si="81"/>
        <v>0</v>
      </c>
      <c r="M355" s="73">
        <f t="shared" si="82"/>
        <v>4449000</v>
      </c>
      <c r="N355" s="484">
        <f t="shared" si="73"/>
        <v>1000</v>
      </c>
      <c r="O355" s="150" t="s">
        <v>2590</v>
      </c>
      <c r="P355" s="660">
        <v>5</v>
      </c>
      <c r="Q355" s="652"/>
      <c r="R355" s="23"/>
      <c r="S355" s="10">
        <f t="shared" si="74"/>
        <v>222500</v>
      </c>
      <c r="T355" s="10">
        <f t="shared" si="75"/>
        <v>-221500</v>
      </c>
      <c r="U355" s="10">
        <f t="shared" si="83"/>
        <v>0</v>
      </c>
      <c r="V355" s="10">
        <f t="shared" si="76"/>
        <v>890000</v>
      </c>
      <c r="W355" s="10">
        <f t="shared" si="77"/>
        <v>0</v>
      </c>
      <c r="X355" s="10">
        <f t="shared" si="78"/>
        <v>0</v>
      </c>
    </row>
    <row r="356" spans="1:24" s="9" customFormat="1" ht="13.5" customHeight="1" x14ac:dyDescent="0.2">
      <c r="A356" s="64">
        <f t="shared" si="79"/>
        <v>352</v>
      </c>
      <c r="B356" s="143" t="s">
        <v>2658</v>
      </c>
      <c r="C356" s="648">
        <v>40501</v>
      </c>
      <c r="D356" s="372">
        <v>1100000</v>
      </c>
      <c r="E356" s="649"/>
      <c r="F356" s="67">
        <f t="shared" si="72"/>
        <v>1100000</v>
      </c>
      <c r="G356" s="67">
        <v>1099000</v>
      </c>
      <c r="H356" s="67">
        <f t="shared" si="80"/>
        <v>1000</v>
      </c>
      <c r="I356" s="68">
        <v>5</v>
      </c>
      <c r="J356" s="68">
        <v>0.2</v>
      </c>
      <c r="K356" s="68">
        <v>0</v>
      </c>
      <c r="L356" s="110">
        <f t="shared" si="81"/>
        <v>0</v>
      </c>
      <c r="M356" s="73">
        <f t="shared" si="82"/>
        <v>1099000</v>
      </c>
      <c r="N356" s="484">
        <f t="shared" si="73"/>
        <v>1000</v>
      </c>
      <c r="O356" s="150" t="s">
        <v>2590</v>
      </c>
      <c r="P356" s="660">
        <v>1</v>
      </c>
      <c r="Q356" s="652"/>
      <c r="R356" s="23"/>
      <c r="S356" s="10">
        <f t="shared" si="74"/>
        <v>55000</v>
      </c>
      <c r="T356" s="10">
        <f t="shared" si="75"/>
        <v>-54000</v>
      </c>
      <c r="U356" s="10">
        <f t="shared" si="83"/>
        <v>0</v>
      </c>
      <c r="V356" s="10">
        <f t="shared" si="76"/>
        <v>220000</v>
      </c>
      <c r="W356" s="10">
        <f t="shared" si="77"/>
        <v>0</v>
      </c>
      <c r="X356" s="10">
        <f t="shared" si="78"/>
        <v>0</v>
      </c>
    </row>
    <row r="357" spans="1:24" s="9" customFormat="1" ht="13.5" customHeight="1" x14ac:dyDescent="0.2">
      <c r="A357" s="64">
        <f t="shared" si="79"/>
        <v>353</v>
      </c>
      <c r="B357" s="143" t="s">
        <v>1846</v>
      </c>
      <c r="C357" s="648">
        <v>40522</v>
      </c>
      <c r="D357" s="372">
        <v>5920000</v>
      </c>
      <c r="E357" s="649"/>
      <c r="F357" s="67">
        <f t="shared" si="72"/>
        <v>5920000</v>
      </c>
      <c r="G357" s="67">
        <v>5919000</v>
      </c>
      <c r="H357" s="67">
        <f t="shared" si="80"/>
        <v>1000</v>
      </c>
      <c r="I357" s="68">
        <v>5</v>
      </c>
      <c r="J357" s="68">
        <v>0.2</v>
      </c>
      <c r="K357" s="68">
        <v>0</v>
      </c>
      <c r="L357" s="110">
        <f t="shared" si="81"/>
        <v>0</v>
      </c>
      <c r="M357" s="73">
        <f t="shared" si="82"/>
        <v>5919000</v>
      </c>
      <c r="N357" s="484">
        <f t="shared" si="73"/>
        <v>1000</v>
      </c>
      <c r="O357" s="150" t="s">
        <v>2601</v>
      </c>
      <c r="P357" s="660">
        <v>8</v>
      </c>
      <c r="Q357" s="652"/>
      <c r="R357" s="23"/>
      <c r="S357" s="10">
        <f t="shared" si="74"/>
        <v>296000</v>
      </c>
      <c r="T357" s="10">
        <f t="shared" si="75"/>
        <v>-295000</v>
      </c>
      <c r="U357" s="10">
        <f t="shared" si="83"/>
        <v>0</v>
      </c>
      <c r="V357" s="10">
        <f t="shared" si="76"/>
        <v>1184000</v>
      </c>
      <c r="W357" s="10">
        <f t="shared" si="77"/>
        <v>0</v>
      </c>
      <c r="X357" s="10">
        <f t="shared" si="78"/>
        <v>0</v>
      </c>
    </row>
    <row r="358" spans="1:24" s="9" customFormat="1" ht="13.5" customHeight="1" x14ac:dyDescent="0.2">
      <c r="A358" s="64">
        <f t="shared" si="79"/>
        <v>354</v>
      </c>
      <c r="B358" s="143" t="s">
        <v>2659</v>
      </c>
      <c r="C358" s="648">
        <v>40526</v>
      </c>
      <c r="D358" s="372">
        <v>190000</v>
      </c>
      <c r="E358" s="649"/>
      <c r="F358" s="67">
        <f t="shared" si="72"/>
        <v>190000</v>
      </c>
      <c r="G358" s="67">
        <v>189000</v>
      </c>
      <c r="H358" s="67">
        <f t="shared" si="80"/>
        <v>1000</v>
      </c>
      <c r="I358" s="68">
        <v>5</v>
      </c>
      <c r="J358" s="68">
        <v>0.2</v>
      </c>
      <c r="K358" s="68">
        <v>0</v>
      </c>
      <c r="L358" s="110">
        <f t="shared" si="81"/>
        <v>0</v>
      </c>
      <c r="M358" s="73">
        <f t="shared" si="82"/>
        <v>189000</v>
      </c>
      <c r="N358" s="484">
        <f t="shared" si="73"/>
        <v>1000</v>
      </c>
      <c r="O358" s="150" t="s">
        <v>2590</v>
      </c>
      <c r="P358" s="660">
        <v>1</v>
      </c>
      <c r="Q358" s="652"/>
      <c r="R358" s="23"/>
      <c r="S358" s="10">
        <f t="shared" si="74"/>
        <v>9500</v>
      </c>
      <c r="T358" s="10">
        <f t="shared" si="75"/>
        <v>-8500</v>
      </c>
      <c r="U358" s="10">
        <f t="shared" si="83"/>
        <v>0</v>
      </c>
      <c r="V358" s="10">
        <f t="shared" si="76"/>
        <v>38000</v>
      </c>
      <c r="W358" s="10">
        <f t="shared" si="77"/>
        <v>0</v>
      </c>
      <c r="X358" s="10">
        <f t="shared" si="78"/>
        <v>0</v>
      </c>
    </row>
    <row r="359" spans="1:24" s="9" customFormat="1" ht="13.5" customHeight="1" x14ac:dyDescent="0.2">
      <c r="A359" s="64">
        <f t="shared" si="79"/>
        <v>355</v>
      </c>
      <c r="B359" s="143" t="s">
        <v>2660</v>
      </c>
      <c r="C359" s="648">
        <v>40536</v>
      </c>
      <c r="D359" s="372">
        <v>1160000</v>
      </c>
      <c r="E359" s="649"/>
      <c r="F359" s="67">
        <f t="shared" si="72"/>
        <v>1160000</v>
      </c>
      <c r="G359" s="67">
        <v>1159000</v>
      </c>
      <c r="H359" s="67">
        <f t="shared" si="80"/>
        <v>1000</v>
      </c>
      <c r="I359" s="68">
        <v>5</v>
      </c>
      <c r="J359" s="68">
        <v>0.2</v>
      </c>
      <c r="K359" s="68">
        <v>0</v>
      </c>
      <c r="L359" s="110">
        <f t="shared" si="81"/>
        <v>0</v>
      </c>
      <c r="M359" s="73">
        <f t="shared" si="82"/>
        <v>1159000</v>
      </c>
      <c r="N359" s="484">
        <f t="shared" si="73"/>
        <v>1000</v>
      </c>
      <c r="O359" s="150" t="s">
        <v>2601</v>
      </c>
      <c r="P359" s="660">
        <v>1</v>
      </c>
      <c r="Q359" s="652"/>
      <c r="R359" s="23"/>
      <c r="S359" s="10">
        <f t="shared" si="74"/>
        <v>58000</v>
      </c>
      <c r="T359" s="10">
        <f t="shared" si="75"/>
        <v>-57000</v>
      </c>
      <c r="U359" s="10">
        <f t="shared" si="83"/>
        <v>0</v>
      </c>
      <c r="V359" s="10">
        <f t="shared" si="76"/>
        <v>232000</v>
      </c>
      <c r="W359" s="10">
        <f t="shared" si="77"/>
        <v>0</v>
      </c>
      <c r="X359" s="10">
        <f t="shared" si="78"/>
        <v>0</v>
      </c>
    </row>
    <row r="360" spans="1:24" s="9" customFormat="1" ht="13.5" customHeight="1" x14ac:dyDescent="0.2">
      <c r="A360" s="64">
        <f t="shared" si="79"/>
        <v>356</v>
      </c>
      <c r="B360" s="143" t="s">
        <v>2661</v>
      </c>
      <c r="C360" s="648">
        <v>40543</v>
      </c>
      <c r="D360" s="372">
        <v>700000</v>
      </c>
      <c r="E360" s="649"/>
      <c r="F360" s="67">
        <f t="shared" si="72"/>
        <v>700000</v>
      </c>
      <c r="G360" s="67">
        <v>699000</v>
      </c>
      <c r="H360" s="67">
        <f t="shared" si="80"/>
        <v>1000</v>
      </c>
      <c r="I360" s="68">
        <v>5</v>
      </c>
      <c r="J360" s="68">
        <v>0.2</v>
      </c>
      <c r="K360" s="68">
        <v>0</v>
      </c>
      <c r="L360" s="110">
        <f t="shared" si="81"/>
        <v>0</v>
      </c>
      <c r="M360" s="73">
        <f t="shared" si="82"/>
        <v>699000</v>
      </c>
      <c r="N360" s="484">
        <f t="shared" si="73"/>
        <v>1000</v>
      </c>
      <c r="O360" s="150" t="s">
        <v>2177</v>
      </c>
      <c r="P360" s="660">
        <v>4</v>
      </c>
      <c r="Q360" s="652"/>
      <c r="R360" s="23"/>
      <c r="S360" s="10">
        <f t="shared" si="74"/>
        <v>35000</v>
      </c>
      <c r="T360" s="10">
        <f t="shared" si="75"/>
        <v>-34000</v>
      </c>
      <c r="U360" s="10">
        <f t="shared" si="83"/>
        <v>0</v>
      </c>
      <c r="V360" s="10">
        <f t="shared" si="76"/>
        <v>140000</v>
      </c>
      <c r="W360" s="10">
        <f t="shared" si="77"/>
        <v>0</v>
      </c>
      <c r="X360" s="10">
        <f t="shared" si="78"/>
        <v>0</v>
      </c>
    </row>
    <row r="361" spans="1:24" s="9" customFormat="1" ht="13.5" customHeight="1" x14ac:dyDescent="0.2">
      <c r="A361" s="64">
        <f t="shared" si="79"/>
        <v>357</v>
      </c>
      <c r="B361" s="143" t="s">
        <v>2662</v>
      </c>
      <c r="C361" s="648">
        <v>40543</v>
      </c>
      <c r="D361" s="372">
        <v>100000</v>
      </c>
      <c r="E361" s="649"/>
      <c r="F361" s="67">
        <f t="shared" si="72"/>
        <v>100000</v>
      </c>
      <c r="G361" s="67">
        <v>99000</v>
      </c>
      <c r="H361" s="67">
        <f t="shared" si="80"/>
        <v>1000</v>
      </c>
      <c r="I361" s="68">
        <v>5</v>
      </c>
      <c r="J361" s="68">
        <v>0.2</v>
      </c>
      <c r="K361" s="68">
        <v>0</v>
      </c>
      <c r="L361" s="110">
        <f t="shared" si="81"/>
        <v>0</v>
      </c>
      <c r="M361" s="73">
        <f t="shared" si="82"/>
        <v>99000</v>
      </c>
      <c r="N361" s="484">
        <f t="shared" si="73"/>
        <v>1000</v>
      </c>
      <c r="O361" s="150" t="s">
        <v>2177</v>
      </c>
      <c r="P361" s="660">
        <v>1</v>
      </c>
      <c r="Q361" s="652"/>
      <c r="R361" s="23"/>
      <c r="S361" s="10">
        <f t="shared" si="74"/>
        <v>5000</v>
      </c>
      <c r="T361" s="10">
        <f t="shared" si="75"/>
        <v>-4000</v>
      </c>
      <c r="U361" s="10">
        <f t="shared" si="83"/>
        <v>0</v>
      </c>
      <c r="V361" s="10">
        <f t="shared" si="76"/>
        <v>20000</v>
      </c>
      <c r="W361" s="10">
        <f t="shared" si="77"/>
        <v>0</v>
      </c>
      <c r="X361" s="10">
        <f t="shared" si="78"/>
        <v>0</v>
      </c>
    </row>
    <row r="362" spans="1:24" s="9" customFormat="1" ht="13.5" customHeight="1" x14ac:dyDescent="0.2">
      <c r="A362" s="64">
        <f t="shared" si="79"/>
        <v>358</v>
      </c>
      <c r="B362" s="143" t="s">
        <v>2663</v>
      </c>
      <c r="C362" s="648">
        <v>40543</v>
      </c>
      <c r="D362" s="372">
        <v>150000</v>
      </c>
      <c r="E362" s="649"/>
      <c r="F362" s="67">
        <f t="shared" si="72"/>
        <v>150000</v>
      </c>
      <c r="G362" s="67">
        <v>149000</v>
      </c>
      <c r="H362" s="67">
        <f t="shared" si="80"/>
        <v>1000</v>
      </c>
      <c r="I362" s="68">
        <v>5</v>
      </c>
      <c r="J362" s="68">
        <v>0.2</v>
      </c>
      <c r="K362" s="68">
        <v>0</v>
      </c>
      <c r="L362" s="110">
        <f t="shared" si="81"/>
        <v>0</v>
      </c>
      <c r="M362" s="73">
        <f t="shared" si="82"/>
        <v>149000</v>
      </c>
      <c r="N362" s="484">
        <f t="shared" si="73"/>
        <v>1000</v>
      </c>
      <c r="O362" s="150" t="s">
        <v>2177</v>
      </c>
      <c r="P362" s="660">
        <v>1</v>
      </c>
      <c r="Q362" s="652"/>
      <c r="R362" s="23"/>
      <c r="S362" s="10">
        <f t="shared" si="74"/>
        <v>7500</v>
      </c>
      <c r="T362" s="10">
        <f t="shared" si="75"/>
        <v>-6500</v>
      </c>
      <c r="U362" s="10">
        <f t="shared" si="83"/>
        <v>0</v>
      </c>
      <c r="V362" s="10">
        <f t="shared" si="76"/>
        <v>30000</v>
      </c>
      <c r="W362" s="10">
        <f t="shared" si="77"/>
        <v>0</v>
      </c>
      <c r="X362" s="10">
        <f t="shared" si="78"/>
        <v>0</v>
      </c>
    </row>
    <row r="363" spans="1:24" s="9" customFormat="1" ht="13.5" customHeight="1" x14ac:dyDescent="0.2">
      <c r="A363" s="64">
        <f t="shared" si="79"/>
        <v>359</v>
      </c>
      <c r="B363" s="143" t="s">
        <v>2664</v>
      </c>
      <c r="C363" s="648">
        <v>40543</v>
      </c>
      <c r="D363" s="372">
        <v>200000</v>
      </c>
      <c r="E363" s="649"/>
      <c r="F363" s="67">
        <f t="shared" si="72"/>
        <v>200000</v>
      </c>
      <c r="G363" s="67">
        <v>199000</v>
      </c>
      <c r="H363" s="67">
        <f t="shared" si="80"/>
        <v>1000</v>
      </c>
      <c r="I363" s="68">
        <v>5</v>
      </c>
      <c r="J363" s="68">
        <v>0.2</v>
      </c>
      <c r="K363" s="68">
        <v>0</v>
      </c>
      <c r="L363" s="110">
        <f t="shared" si="81"/>
        <v>0</v>
      </c>
      <c r="M363" s="73">
        <f t="shared" si="82"/>
        <v>199000</v>
      </c>
      <c r="N363" s="484">
        <f t="shared" si="73"/>
        <v>1000</v>
      </c>
      <c r="O363" s="150" t="s">
        <v>2177</v>
      </c>
      <c r="P363" s="660">
        <v>2</v>
      </c>
      <c r="Q363" s="652"/>
      <c r="R363" s="23"/>
      <c r="S363" s="10">
        <f t="shared" si="74"/>
        <v>10000</v>
      </c>
      <c r="T363" s="10">
        <f t="shared" si="75"/>
        <v>-9000</v>
      </c>
      <c r="U363" s="10">
        <f t="shared" si="83"/>
        <v>0</v>
      </c>
      <c r="V363" s="10">
        <f t="shared" si="76"/>
        <v>40000</v>
      </c>
      <c r="W363" s="10">
        <f t="shared" si="77"/>
        <v>0</v>
      </c>
      <c r="X363" s="10">
        <f t="shared" si="78"/>
        <v>0</v>
      </c>
    </row>
    <row r="364" spans="1:24" s="9" customFormat="1" ht="13.5" customHeight="1" x14ac:dyDescent="0.2">
      <c r="A364" s="64">
        <f t="shared" si="79"/>
        <v>360</v>
      </c>
      <c r="B364" s="143" t="s">
        <v>2665</v>
      </c>
      <c r="C364" s="648">
        <v>40543</v>
      </c>
      <c r="D364" s="372">
        <v>200000</v>
      </c>
      <c r="E364" s="649"/>
      <c r="F364" s="67">
        <f t="shared" si="72"/>
        <v>200000</v>
      </c>
      <c r="G364" s="67">
        <v>199000</v>
      </c>
      <c r="H364" s="67">
        <f t="shared" si="80"/>
        <v>1000</v>
      </c>
      <c r="I364" s="68">
        <v>5</v>
      </c>
      <c r="J364" s="68">
        <v>0.2</v>
      </c>
      <c r="K364" s="68">
        <v>0</v>
      </c>
      <c r="L364" s="110">
        <f t="shared" si="81"/>
        <v>0</v>
      </c>
      <c r="M364" s="73">
        <f t="shared" si="82"/>
        <v>199000</v>
      </c>
      <c r="N364" s="484">
        <f t="shared" si="73"/>
        <v>1000</v>
      </c>
      <c r="O364" s="150" t="s">
        <v>2177</v>
      </c>
      <c r="P364" s="660">
        <v>2</v>
      </c>
      <c r="Q364" s="652"/>
      <c r="R364" s="23"/>
      <c r="S364" s="10">
        <f t="shared" si="74"/>
        <v>10000</v>
      </c>
      <c r="T364" s="10">
        <f t="shared" si="75"/>
        <v>-9000</v>
      </c>
      <c r="U364" s="10">
        <f t="shared" si="83"/>
        <v>0</v>
      </c>
      <c r="V364" s="10">
        <f t="shared" si="76"/>
        <v>40000</v>
      </c>
      <c r="W364" s="10">
        <f t="shared" si="77"/>
        <v>0</v>
      </c>
      <c r="X364" s="10">
        <f t="shared" si="78"/>
        <v>0</v>
      </c>
    </row>
    <row r="365" spans="1:24" s="9" customFormat="1" ht="13.5" customHeight="1" x14ac:dyDescent="0.2">
      <c r="A365" s="64">
        <f t="shared" si="79"/>
        <v>361</v>
      </c>
      <c r="B365" s="143" t="s">
        <v>2661</v>
      </c>
      <c r="C365" s="648">
        <v>40543</v>
      </c>
      <c r="D365" s="372">
        <v>875000</v>
      </c>
      <c r="E365" s="649"/>
      <c r="F365" s="67">
        <f t="shared" si="72"/>
        <v>875000</v>
      </c>
      <c r="G365" s="67">
        <v>874000</v>
      </c>
      <c r="H365" s="67">
        <f t="shared" si="80"/>
        <v>1000</v>
      </c>
      <c r="I365" s="68">
        <v>5</v>
      </c>
      <c r="J365" s="68">
        <v>0.2</v>
      </c>
      <c r="K365" s="68">
        <v>0</v>
      </c>
      <c r="L365" s="110">
        <f t="shared" si="81"/>
        <v>0</v>
      </c>
      <c r="M365" s="73">
        <f t="shared" si="82"/>
        <v>874000</v>
      </c>
      <c r="N365" s="484">
        <f t="shared" si="73"/>
        <v>1000</v>
      </c>
      <c r="O365" s="150" t="s">
        <v>2177</v>
      </c>
      <c r="P365" s="660">
        <v>5</v>
      </c>
      <c r="Q365" s="652"/>
      <c r="R365" s="23"/>
      <c r="S365" s="10">
        <f t="shared" si="74"/>
        <v>43750</v>
      </c>
      <c r="T365" s="10">
        <f t="shared" si="75"/>
        <v>-42750</v>
      </c>
      <c r="U365" s="10">
        <f t="shared" si="83"/>
        <v>0</v>
      </c>
      <c r="V365" s="10">
        <f t="shared" si="76"/>
        <v>175000</v>
      </c>
      <c r="W365" s="10">
        <f t="shared" si="77"/>
        <v>0</v>
      </c>
      <c r="X365" s="10">
        <f t="shared" si="78"/>
        <v>0</v>
      </c>
    </row>
    <row r="366" spans="1:24" s="9" customFormat="1" ht="13.5" customHeight="1" x14ac:dyDescent="0.2">
      <c r="A366" s="64">
        <f t="shared" si="79"/>
        <v>362</v>
      </c>
      <c r="B366" s="143" t="s">
        <v>2666</v>
      </c>
      <c r="C366" s="648">
        <v>40543</v>
      </c>
      <c r="D366" s="372">
        <v>384000</v>
      </c>
      <c r="E366" s="649"/>
      <c r="F366" s="67">
        <f t="shared" si="72"/>
        <v>384000</v>
      </c>
      <c r="G366" s="67">
        <v>383000</v>
      </c>
      <c r="H366" s="67">
        <f t="shared" si="80"/>
        <v>1000</v>
      </c>
      <c r="I366" s="68">
        <v>5</v>
      </c>
      <c r="J366" s="68">
        <v>0.2</v>
      </c>
      <c r="K366" s="68">
        <v>0</v>
      </c>
      <c r="L366" s="110">
        <f t="shared" si="81"/>
        <v>0</v>
      </c>
      <c r="M366" s="73">
        <f t="shared" si="82"/>
        <v>383000</v>
      </c>
      <c r="N366" s="484">
        <f t="shared" si="73"/>
        <v>1000</v>
      </c>
      <c r="O366" s="150" t="s">
        <v>2177</v>
      </c>
      <c r="P366" s="660">
        <v>12</v>
      </c>
      <c r="Q366" s="652"/>
      <c r="R366" s="23"/>
      <c r="S366" s="10">
        <f t="shared" si="74"/>
        <v>19200</v>
      </c>
      <c r="T366" s="10">
        <f t="shared" si="75"/>
        <v>-18200</v>
      </c>
      <c r="U366" s="10">
        <f t="shared" si="83"/>
        <v>0</v>
      </c>
      <c r="V366" s="10">
        <f t="shared" si="76"/>
        <v>76800</v>
      </c>
      <c r="W366" s="10">
        <f t="shared" si="77"/>
        <v>0</v>
      </c>
      <c r="X366" s="10">
        <f t="shared" si="78"/>
        <v>0</v>
      </c>
    </row>
    <row r="367" spans="1:24" s="9" customFormat="1" ht="13.5" customHeight="1" x14ac:dyDescent="0.2">
      <c r="A367" s="64">
        <f t="shared" si="79"/>
        <v>363</v>
      </c>
      <c r="B367" s="143" t="s">
        <v>2667</v>
      </c>
      <c r="C367" s="648">
        <v>40543</v>
      </c>
      <c r="D367" s="372">
        <v>360000</v>
      </c>
      <c r="E367" s="649"/>
      <c r="F367" s="67">
        <f t="shared" si="72"/>
        <v>360000</v>
      </c>
      <c r="G367" s="67">
        <v>359000</v>
      </c>
      <c r="H367" s="67">
        <f t="shared" si="80"/>
        <v>1000</v>
      </c>
      <c r="I367" s="68">
        <v>5</v>
      </c>
      <c r="J367" s="68">
        <v>0.2</v>
      </c>
      <c r="K367" s="68">
        <v>0</v>
      </c>
      <c r="L367" s="110">
        <f t="shared" si="81"/>
        <v>0</v>
      </c>
      <c r="M367" s="73">
        <f t="shared" si="82"/>
        <v>359000</v>
      </c>
      <c r="N367" s="484">
        <f t="shared" si="73"/>
        <v>1000</v>
      </c>
      <c r="O367" s="150" t="s">
        <v>2177</v>
      </c>
      <c r="P367" s="660">
        <v>3</v>
      </c>
      <c r="Q367" s="652"/>
      <c r="R367" s="23"/>
      <c r="S367" s="10">
        <f t="shared" si="74"/>
        <v>18000</v>
      </c>
      <c r="T367" s="10">
        <f t="shared" si="75"/>
        <v>-17000</v>
      </c>
      <c r="U367" s="10">
        <f t="shared" si="83"/>
        <v>0</v>
      </c>
      <c r="V367" s="10">
        <f t="shared" si="76"/>
        <v>72000</v>
      </c>
      <c r="W367" s="10">
        <f t="shared" si="77"/>
        <v>0</v>
      </c>
      <c r="X367" s="10">
        <f t="shared" si="78"/>
        <v>0</v>
      </c>
    </row>
    <row r="368" spans="1:24" s="9" customFormat="1" ht="13.5" customHeight="1" x14ac:dyDescent="0.2">
      <c r="A368" s="64">
        <f t="shared" si="79"/>
        <v>364</v>
      </c>
      <c r="B368" s="143" t="s">
        <v>2668</v>
      </c>
      <c r="C368" s="648">
        <v>40543</v>
      </c>
      <c r="D368" s="372">
        <v>180000</v>
      </c>
      <c r="E368" s="649"/>
      <c r="F368" s="67">
        <f t="shared" si="72"/>
        <v>180000</v>
      </c>
      <c r="G368" s="67">
        <v>179000</v>
      </c>
      <c r="H368" s="67">
        <f t="shared" si="80"/>
        <v>1000</v>
      </c>
      <c r="I368" s="68">
        <v>5</v>
      </c>
      <c r="J368" s="68">
        <v>0.2</v>
      </c>
      <c r="K368" s="68">
        <v>0</v>
      </c>
      <c r="L368" s="110">
        <f t="shared" si="81"/>
        <v>0</v>
      </c>
      <c r="M368" s="73">
        <f t="shared" si="82"/>
        <v>179000</v>
      </c>
      <c r="N368" s="484">
        <f t="shared" si="73"/>
        <v>1000</v>
      </c>
      <c r="O368" s="150" t="s">
        <v>2177</v>
      </c>
      <c r="P368" s="660">
        <v>1</v>
      </c>
      <c r="Q368" s="652"/>
      <c r="R368" s="23"/>
      <c r="S368" s="10">
        <f t="shared" si="74"/>
        <v>9000</v>
      </c>
      <c r="T368" s="10">
        <f t="shared" si="75"/>
        <v>-8000</v>
      </c>
      <c r="U368" s="10">
        <f t="shared" si="83"/>
        <v>0</v>
      </c>
      <c r="V368" s="10">
        <f t="shared" si="76"/>
        <v>36000</v>
      </c>
      <c r="W368" s="10">
        <f t="shared" si="77"/>
        <v>0</v>
      </c>
      <c r="X368" s="10">
        <f t="shared" si="78"/>
        <v>0</v>
      </c>
    </row>
    <row r="369" spans="1:24" s="9" customFormat="1" ht="13.5" customHeight="1" x14ac:dyDescent="0.2">
      <c r="A369" s="64">
        <f t="shared" si="79"/>
        <v>365</v>
      </c>
      <c r="B369" s="143" t="s">
        <v>2669</v>
      </c>
      <c r="C369" s="648">
        <v>40543</v>
      </c>
      <c r="D369" s="372">
        <v>95000</v>
      </c>
      <c r="E369" s="649"/>
      <c r="F369" s="67">
        <f t="shared" si="72"/>
        <v>95000</v>
      </c>
      <c r="G369" s="67">
        <v>94000</v>
      </c>
      <c r="H369" s="67">
        <f t="shared" si="80"/>
        <v>1000</v>
      </c>
      <c r="I369" s="68">
        <v>5</v>
      </c>
      <c r="J369" s="68">
        <v>0.2</v>
      </c>
      <c r="K369" s="68">
        <v>0</v>
      </c>
      <c r="L369" s="110">
        <f t="shared" si="81"/>
        <v>0</v>
      </c>
      <c r="M369" s="73">
        <f t="shared" si="82"/>
        <v>94000</v>
      </c>
      <c r="N369" s="484">
        <f t="shared" si="73"/>
        <v>1000</v>
      </c>
      <c r="O369" s="150" t="s">
        <v>2177</v>
      </c>
      <c r="P369" s="660">
        <v>1</v>
      </c>
      <c r="Q369" s="652"/>
      <c r="R369" s="23"/>
      <c r="S369" s="10">
        <f t="shared" si="74"/>
        <v>4750</v>
      </c>
      <c r="T369" s="10">
        <f t="shared" si="75"/>
        <v>-3750</v>
      </c>
      <c r="U369" s="10">
        <f t="shared" si="83"/>
        <v>0</v>
      </c>
      <c r="V369" s="10">
        <f t="shared" si="76"/>
        <v>19000</v>
      </c>
      <c r="W369" s="10">
        <f t="shared" si="77"/>
        <v>0</v>
      </c>
      <c r="X369" s="10">
        <f t="shared" si="78"/>
        <v>0</v>
      </c>
    </row>
    <row r="370" spans="1:24" s="9" customFormat="1" ht="13.5" customHeight="1" x14ac:dyDescent="0.2">
      <c r="A370" s="64">
        <f t="shared" si="79"/>
        <v>366</v>
      </c>
      <c r="B370" s="143" t="s">
        <v>2670</v>
      </c>
      <c r="C370" s="648">
        <v>40543</v>
      </c>
      <c r="D370" s="372">
        <v>2320000</v>
      </c>
      <c r="E370" s="649"/>
      <c r="F370" s="67">
        <f t="shared" si="72"/>
        <v>2320000</v>
      </c>
      <c r="G370" s="67">
        <v>2319000</v>
      </c>
      <c r="H370" s="67">
        <f t="shared" si="80"/>
        <v>1000</v>
      </c>
      <c r="I370" s="68">
        <v>5</v>
      </c>
      <c r="J370" s="68">
        <v>0.2</v>
      </c>
      <c r="K370" s="68">
        <v>0</v>
      </c>
      <c r="L370" s="110">
        <f t="shared" si="81"/>
        <v>0</v>
      </c>
      <c r="M370" s="73">
        <f t="shared" si="82"/>
        <v>2319000</v>
      </c>
      <c r="N370" s="484">
        <f t="shared" si="73"/>
        <v>1000</v>
      </c>
      <c r="O370" s="150" t="s">
        <v>2177</v>
      </c>
      <c r="P370" s="660">
        <v>40</v>
      </c>
      <c r="Q370" s="652"/>
      <c r="R370" s="23"/>
      <c r="S370" s="10">
        <f t="shared" si="74"/>
        <v>116000</v>
      </c>
      <c r="T370" s="10">
        <f t="shared" si="75"/>
        <v>-115000</v>
      </c>
      <c r="U370" s="10">
        <f t="shared" si="83"/>
        <v>0</v>
      </c>
      <c r="V370" s="10">
        <f t="shared" si="76"/>
        <v>464000</v>
      </c>
      <c r="W370" s="10">
        <f t="shared" si="77"/>
        <v>0</v>
      </c>
      <c r="X370" s="10">
        <f t="shared" si="78"/>
        <v>0</v>
      </c>
    </row>
    <row r="371" spans="1:24" s="9" customFormat="1" ht="13.5" customHeight="1" x14ac:dyDescent="0.2">
      <c r="A371" s="64">
        <f t="shared" si="79"/>
        <v>367</v>
      </c>
      <c r="B371" s="143" t="s">
        <v>2671</v>
      </c>
      <c r="C371" s="648">
        <v>40543</v>
      </c>
      <c r="D371" s="372">
        <v>2160000</v>
      </c>
      <c r="E371" s="649"/>
      <c r="F371" s="67">
        <f t="shared" si="72"/>
        <v>2160000</v>
      </c>
      <c r="G371" s="67">
        <v>2159000</v>
      </c>
      <c r="H371" s="67">
        <f t="shared" si="80"/>
        <v>1000</v>
      </c>
      <c r="I371" s="68">
        <v>5</v>
      </c>
      <c r="J371" s="68">
        <v>0.2</v>
      </c>
      <c r="K371" s="68">
        <v>0</v>
      </c>
      <c r="L371" s="110">
        <f t="shared" si="81"/>
        <v>0</v>
      </c>
      <c r="M371" s="73">
        <f t="shared" si="82"/>
        <v>2159000</v>
      </c>
      <c r="N371" s="484">
        <f t="shared" si="73"/>
        <v>1000</v>
      </c>
      <c r="O371" s="150" t="s">
        <v>2177</v>
      </c>
      <c r="P371" s="660">
        <v>120</v>
      </c>
      <c r="Q371" s="652"/>
      <c r="R371" s="23"/>
      <c r="S371" s="10">
        <f t="shared" si="74"/>
        <v>108000</v>
      </c>
      <c r="T371" s="10">
        <f t="shared" si="75"/>
        <v>-107000</v>
      </c>
      <c r="U371" s="10">
        <f t="shared" si="83"/>
        <v>0</v>
      </c>
      <c r="V371" s="10">
        <f t="shared" si="76"/>
        <v>432000</v>
      </c>
      <c r="W371" s="10">
        <f t="shared" si="77"/>
        <v>0</v>
      </c>
      <c r="X371" s="10">
        <f t="shared" si="78"/>
        <v>0</v>
      </c>
    </row>
    <row r="372" spans="1:24" s="9" customFormat="1" ht="13.5" customHeight="1" x14ac:dyDescent="0.2">
      <c r="A372" s="64">
        <f t="shared" si="79"/>
        <v>368</v>
      </c>
      <c r="B372" s="143" t="s">
        <v>2672</v>
      </c>
      <c r="C372" s="648">
        <v>40543</v>
      </c>
      <c r="D372" s="372">
        <v>784000</v>
      </c>
      <c r="E372" s="649"/>
      <c r="F372" s="67">
        <f t="shared" si="72"/>
        <v>784000</v>
      </c>
      <c r="G372" s="67">
        <v>783000</v>
      </c>
      <c r="H372" s="67">
        <f t="shared" si="80"/>
        <v>1000</v>
      </c>
      <c r="I372" s="68">
        <v>5</v>
      </c>
      <c r="J372" s="68">
        <v>0.2</v>
      </c>
      <c r="K372" s="68">
        <v>0</v>
      </c>
      <c r="L372" s="110">
        <f t="shared" si="81"/>
        <v>0</v>
      </c>
      <c r="M372" s="73">
        <f t="shared" si="82"/>
        <v>783000</v>
      </c>
      <c r="N372" s="484">
        <f t="shared" si="73"/>
        <v>1000</v>
      </c>
      <c r="O372" s="150" t="s">
        <v>2177</v>
      </c>
      <c r="P372" s="660">
        <v>8</v>
      </c>
      <c r="Q372" s="652"/>
      <c r="R372" s="23"/>
      <c r="S372" s="10">
        <f t="shared" si="74"/>
        <v>39200</v>
      </c>
      <c r="T372" s="10">
        <f t="shared" si="75"/>
        <v>-38200</v>
      </c>
      <c r="U372" s="10">
        <f t="shared" si="83"/>
        <v>0</v>
      </c>
      <c r="V372" s="10">
        <f t="shared" si="76"/>
        <v>156800</v>
      </c>
      <c r="W372" s="10">
        <f t="shared" si="77"/>
        <v>0</v>
      </c>
      <c r="X372" s="10">
        <f t="shared" si="78"/>
        <v>0</v>
      </c>
    </row>
    <row r="373" spans="1:24" s="9" customFormat="1" ht="13.5" customHeight="1" x14ac:dyDescent="0.2">
      <c r="A373" s="64">
        <f t="shared" si="79"/>
        <v>369</v>
      </c>
      <c r="B373" s="143" t="s">
        <v>2257</v>
      </c>
      <c r="C373" s="648">
        <v>40543</v>
      </c>
      <c r="D373" s="372">
        <v>1488000</v>
      </c>
      <c r="E373" s="649"/>
      <c r="F373" s="67">
        <f t="shared" si="72"/>
        <v>1488000</v>
      </c>
      <c r="G373" s="67">
        <v>1487000</v>
      </c>
      <c r="H373" s="67">
        <f t="shared" si="80"/>
        <v>1000</v>
      </c>
      <c r="I373" s="68">
        <v>5</v>
      </c>
      <c r="J373" s="68">
        <v>0.2</v>
      </c>
      <c r="K373" s="68">
        <v>0</v>
      </c>
      <c r="L373" s="110">
        <f t="shared" si="81"/>
        <v>0</v>
      </c>
      <c r="M373" s="73">
        <f t="shared" si="82"/>
        <v>1487000</v>
      </c>
      <c r="N373" s="484">
        <f t="shared" si="73"/>
        <v>1000</v>
      </c>
      <c r="O373" s="150" t="s">
        <v>2177</v>
      </c>
      <c r="P373" s="660">
        <v>16</v>
      </c>
      <c r="Q373" s="652"/>
      <c r="R373" s="23"/>
      <c r="S373" s="10">
        <f t="shared" si="74"/>
        <v>74400</v>
      </c>
      <c r="T373" s="10">
        <f t="shared" si="75"/>
        <v>-73400</v>
      </c>
      <c r="U373" s="10">
        <f t="shared" si="83"/>
        <v>0</v>
      </c>
      <c r="V373" s="10">
        <f t="shared" si="76"/>
        <v>297600</v>
      </c>
      <c r="W373" s="10">
        <f t="shared" si="77"/>
        <v>0</v>
      </c>
      <c r="X373" s="10">
        <f t="shared" si="78"/>
        <v>0</v>
      </c>
    </row>
    <row r="374" spans="1:24" s="9" customFormat="1" ht="13.5" customHeight="1" x14ac:dyDescent="0.2">
      <c r="A374" s="64">
        <f t="shared" si="79"/>
        <v>370</v>
      </c>
      <c r="B374" s="143" t="s">
        <v>2673</v>
      </c>
      <c r="C374" s="648">
        <v>40543</v>
      </c>
      <c r="D374" s="372">
        <v>240000</v>
      </c>
      <c r="E374" s="649"/>
      <c r="F374" s="67">
        <f t="shared" si="72"/>
        <v>240000</v>
      </c>
      <c r="G374" s="67">
        <v>239000</v>
      </c>
      <c r="H374" s="67">
        <f t="shared" si="80"/>
        <v>1000</v>
      </c>
      <c r="I374" s="68">
        <v>5</v>
      </c>
      <c r="J374" s="68">
        <v>0.2</v>
      </c>
      <c r="K374" s="68">
        <v>0</v>
      </c>
      <c r="L374" s="110">
        <f t="shared" si="81"/>
        <v>0</v>
      </c>
      <c r="M374" s="73">
        <f t="shared" si="82"/>
        <v>239000</v>
      </c>
      <c r="N374" s="484">
        <f t="shared" si="73"/>
        <v>1000</v>
      </c>
      <c r="O374" s="150" t="s">
        <v>2177</v>
      </c>
      <c r="P374" s="660">
        <v>2</v>
      </c>
      <c r="Q374" s="652"/>
      <c r="R374" s="23"/>
      <c r="S374" s="10">
        <f t="shared" si="74"/>
        <v>12000</v>
      </c>
      <c r="T374" s="10">
        <f t="shared" si="75"/>
        <v>-11000</v>
      </c>
      <c r="U374" s="10">
        <f t="shared" si="83"/>
        <v>0</v>
      </c>
      <c r="V374" s="10">
        <f t="shared" si="76"/>
        <v>48000</v>
      </c>
      <c r="W374" s="10">
        <f t="shared" si="77"/>
        <v>0</v>
      </c>
      <c r="X374" s="10">
        <f t="shared" si="78"/>
        <v>0</v>
      </c>
    </row>
    <row r="375" spans="1:24" s="9" customFormat="1" ht="13.5" customHeight="1" x14ac:dyDescent="0.2">
      <c r="A375" s="64">
        <f t="shared" si="79"/>
        <v>371</v>
      </c>
      <c r="B375" s="143" t="s">
        <v>2674</v>
      </c>
      <c r="C375" s="648">
        <v>40543</v>
      </c>
      <c r="D375" s="372">
        <v>1116000</v>
      </c>
      <c r="E375" s="649"/>
      <c r="F375" s="67">
        <f t="shared" si="72"/>
        <v>1116000</v>
      </c>
      <c r="G375" s="67">
        <v>1115000</v>
      </c>
      <c r="H375" s="67">
        <f t="shared" si="80"/>
        <v>1000</v>
      </c>
      <c r="I375" s="68">
        <v>5</v>
      </c>
      <c r="J375" s="68">
        <v>0.2</v>
      </c>
      <c r="K375" s="68">
        <v>0</v>
      </c>
      <c r="L375" s="110">
        <f t="shared" si="81"/>
        <v>0</v>
      </c>
      <c r="M375" s="73">
        <f t="shared" si="82"/>
        <v>1115000</v>
      </c>
      <c r="N375" s="484">
        <f t="shared" si="73"/>
        <v>1000</v>
      </c>
      <c r="O375" s="150" t="s">
        <v>2177</v>
      </c>
      <c r="P375" s="660">
        <v>12</v>
      </c>
      <c r="Q375" s="652"/>
      <c r="R375" s="23"/>
      <c r="S375" s="10">
        <f t="shared" si="74"/>
        <v>55800</v>
      </c>
      <c r="T375" s="10">
        <f t="shared" si="75"/>
        <v>-54800</v>
      </c>
      <c r="U375" s="10">
        <f t="shared" si="83"/>
        <v>0</v>
      </c>
      <c r="V375" s="10">
        <f t="shared" si="76"/>
        <v>223200</v>
      </c>
      <c r="W375" s="10">
        <f t="shared" si="77"/>
        <v>0</v>
      </c>
      <c r="X375" s="10">
        <f t="shared" si="78"/>
        <v>0</v>
      </c>
    </row>
    <row r="376" spans="1:24" s="9" customFormat="1" ht="13.5" customHeight="1" x14ac:dyDescent="0.2">
      <c r="A376" s="64">
        <f t="shared" si="79"/>
        <v>372</v>
      </c>
      <c r="B376" s="143" t="s">
        <v>2675</v>
      </c>
      <c r="C376" s="648">
        <v>40543</v>
      </c>
      <c r="D376" s="372">
        <v>750000</v>
      </c>
      <c r="E376" s="649"/>
      <c r="F376" s="67">
        <f t="shared" si="72"/>
        <v>750000</v>
      </c>
      <c r="G376" s="67">
        <v>749000</v>
      </c>
      <c r="H376" s="67">
        <f t="shared" si="80"/>
        <v>1000</v>
      </c>
      <c r="I376" s="68">
        <v>5</v>
      </c>
      <c r="J376" s="68">
        <v>0.2</v>
      </c>
      <c r="K376" s="68">
        <v>0</v>
      </c>
      <c r="L376" s="110">
        <f t="shared" si="81"/>
        <v>0</v>
      </c>
      <c r="M376" s="73">
        <f t="shared" si="82"/>
        <v>749000</v>
      </c>
      <c r="N376" s="484">
        <f t="shared" si="73"/>
        <v>1000</v>
      </c>
      <c r="O376" s="150" t="s">
        <v>2177</v>
      </c>
      <c r="P376" s="660">
        <v>1</v>
      </c>
      <c r="Q376" s="652"/>
      <c r="R376" s="23"/>
      <c r="S376" s="10">
        <f t="shared" si="74"/>
        <v>37500</v>
      </c>
      <c r="T376" s="10">
        <f t="shared" si="75"/>
        <v>-36500</v>
      </c>
      <c r="U376" s="10">
        <f t="shared" si="83"/>
        <v>0</v>
      </c>
      <c r="V376" s="10">
        <f t="shared" si="76"/>
        <v>150000</v>
      </c>
      <c r="W376" s="10">
        <f t="shared" si="77"/>
        <v>0</v>
      </c>
      <c r="X376" s="10">
        <f t="shared" si="78"/>
        <v>0</v>
      </c>
    </row>
    <row r="377" spans="1:24" s="9" customFormat="1" ht="13.5" customHeight="1" x14ac:dyDescent="0.2">
      <c r="A377" s="64">
        <f t="shared" si="79"/>
        <v>373</v>
      </c>
      <c r="B377" s="143" t="s">
        <v>2676</v>
      </c>
      <c r="C377" s="648">
        <v>40543</v>
      </c>
      <c r="D377" s="372">
        <v>640000</v>
      </c>
      <c r="E377" s="649"/>
      <c r="F377" s="67">
        <f t="shared" si="72"/>
        <v>640000</v>
      </c>
      <c r="G377" s="67">
        <v>639000</v>
      </c>
      <c r="H377" s="67">
        <f t="shared" si="80"/>
        <v>1000</v>
      </c>
      <c r="I377" s="68">
        <v>5</v>
      </c>
      <c r="J377" s="68">
        <v>0.2</v>
      </c>
      <c r="K377" s="68">
        <v>0</v>
      </c>
      <c r="L377" s="110">
        <f t="shared" si="81"/>
        <v>0</v>
      </c>
      <c r="M377" s="73">
        <f t="shared" si="82"/>
        <v>639000</v>
      </c>
      <c r="N377" s="484">
        <f t="shared" si="73"/>
        <v>1000</v>
      </c>
      <c r="O377" s="150" t="s">
        <v>2177</v>
      </c>
      <c r="P377" s="660">
        <v>2</v>
      </c>
      <c r="Q377" s="652"/>
      <c r="R377" s="23"/>
      <c r="S377" s="10">
        <f t="shared" si="74"/>
        <v>32000</v>
      </c>
      <c r="T377" s="10">
        <f t="shared" si="75"/>
        <v>-31000</v>
      </c>
      <c r="U377" s="10">
        <f t="shared" si="83"/>
        <v>0</v>
      </c>
      <c r="V377" s="10">
        <f t="shared" si="76"/>
        <v>128000</v>
      </c>
      <c r="W377" s="10">
        <f t="shared" si="77"/>
        <v>0</v>
      </c>
      <c r="X377" s="10">
        <f t="shared" si="78"/>
        <v>0</v>
      </c>
    </row>
    <row r="378" spans="1:24" s="9" customFormat="1" ht="13.5" customHeight="1" x14ac:dyDescent="0.2">
      <c r="A378" s="64">
        <f t="shared" si="79"/>
        <v>374</v>
      </c>
      <c r="B378" s="143" t="s">
        <v>2677</v>
      </c>
      <c r="C378" s="648">
        <v>40543</v>
      </c>
      <c r="D378" s="372">
        <v>180000</v>
      </c>
      <c r="E378" s="649"/>
      <c r="F378" s="67">
        <f t="shared" si="72"/>
        <v>180000</v>
      </c>
      <c r="G378" s="67">
        <v>179000</v>
      </c>
      <c r="H378" s="67">
        <f t="shared" si="80"/>
        <v>1000</v>
      </c>
      <c r="I378" s="68">
        <v>5</v>
      </c>
      <c r="J378" s="68">
        <v>0.2</v>
      </c>
      <c r="K378" s="68">
        <v>0</v>
      </c>
      <c r="L378" s="110">
        <f t="shared" si="81"/>
        <v>0</v>
      </c>
      <c r="M378" s="73">
        <f t="shared" si="82"/>
        <v>179000</v>
      </c>
      <c r="N378" s="484">
        <f t="shared" si="73"/>
        <v>1000</v>
      </c>
      <c r="O378" s="150" t="s">
        <v>2177</v>
      </c>
      <c r="P378" s="660">
        <v>1</v>
      </c>
      <c r="Q378" s="652"/>
      <c r="R378" s="23"/>
      <c r="S378" s="10">
        <f t="shared" si="74"/>
        <v>9000</v>
      </c>
      <c r="T378" s="10">
        <f t="shared" si="75"/>
        <v>-8000</v>
      </c>
      <c r="U378" s="10">
        <f t="shared" si="83"/>
        <v>0</v>
      </c>
      <c r="V378" s="10">
        <f t="shared" si="76"/>
        <v>36000</v>
      </c>
      <c r="W378" s="10">
        <f t="shared" si="77"/>
        <v>0</v>
      </c>
      <c r="X378" s="10">
        <f t="shared" si="78"/>
        <v>0</v>
      </c>
    </row>
    <row r="379" spans="1:24" s="9" customFormat="1" ht="13.5" customHeight="1" x14ac:dyDescent="0.2">
      <c r="A379" s="64">
        <f t="shared" si="79"/>
        <v>375</v>
      </c>
      <c r="B379" s="143" t="s">
        <v>2653</v>
      </c>
      <c r="C379" s="648">
        <v>40543</v>
      </c>
      <c r="D379" s="372">
        <v>320000</v>
      </c>
      <c r="E379" s="649"/>
      <c r="F379" s="67">
        <f t="shared" si="72"/>
        <v>320000</v>
      </c>
      <c r="G379" s="67">
        <v>319000</v>
      </c>
      <c r="H379" s="67">
        <f t="shared" si="80"/>
        <v>1000</v>
      </c>
      <c r="I379" s="68">
        <v>5</v>
      </c>
      <c r="J379" s="68">
        <v>0.2</v>
      </c>
      <c r="K379" s="68">
        <v>0</v>
      </c>
      <c r="L379" s="110">
        <f t="shared" si="81"/>
        <v>0</v>
      </c>
      <c r="M379" s="73">
        <f t="shared" si="82"/>
        <v>319000</v>
      </c>
      <c r="N379" s="484">
        <f t="shared" si="73"/>
        <v>1000</v>
      </c>
      <c r="O379" s="150" t="s">
        <v>2177</v>
      </c>
      <c r="P379" s="660">
        <v>1</v>
      </c>
      <c r="Q379" s="652"/>
      <c r="R379" s="23"/>
      <c r="S379" s="10">
        <f t="shared" si="74"/>
        <v>16000</v>
      </c>
      <c r="T379" s="10">
        <f t="shared" si="75"/>
        <v>-15000</v>
      </c>
      <c r="U379" s="10">
        <f t="shared" si="83"/>
        <v>0</v>
      </c>
      <c r="V379" s="10">
        <f t="shared" si="76"/>
        <v>64000</v>
      </c>
      <c r="W379" s="10">
        <f t="shared" si="77"/>
        <v>0</v>
      </c>
      <c r="X379" s="10">
        <f t="shared" si="78"/>
        <v>0</v>
      </c>
    </row>
    <row r="380" spans="1:24" s="9" customFormat="1" ht="13.5" customHeight="1" x14ac:dyDescent="0.2">
      <c r="A380" s="64">
        <f t="shared" si="79"/>
        <v>376</v>
      </c>
      <c r="B380" s="143" t="s">
        <v>2678</v>
      </c>
      <c r="C380" s="648">
        <v>40543</v>
      </c>
      <c r="D380" s="372">
        <v>1050000</v>
      </c>
      <c r="E380" s="649"/>
      <c r="F380" s="67">
        <f t="shared" si="72"/>
        <v>1050000</v>
      </c>
      <c r="G380" s="67">
        <v>1049000</v>
      </c>
      <c r="H380" s="67">
        <f t="shared" si="80"/>
        <v>1000</v>
      </c>
      <c r="I380" s="68">
        <v>5</v>
      </c>
      <c r="J380" s="68">
        <v>0.2</v>
      </c>
      <c r="K380" s="68">
        <v>0</v>
      </c>
      <c r="L380" s="110">
        <f t="shared" si="81"/>
        <v>0</v>
      </c>
      <c r="M380" s="73">
        <f t="shared" si="82"/>
        <v>1049000</v>
      </c>
      <c r="N380" s="484">
        <f t="shared" si="73"/>
        <v>1000</v>
      </c>
      <c r="O380" s="150" t="s">
        <v>2177</v>
      </c>
      <c r="P380" s="660">
        <v>3</v>
      </c>
      <c r="Q380" s="652"/>
      <c r="R380" s="23"/>
      <c r="S380" s="10">
        <f t="shared" si="74"/>
        <v>52500</v>
      </c>
      <c r="T380" s="10">
        <f t="shared" si="75"/>
        <v>-51500</v>
      </c>
      <c r="U380" s="10">
        <f t="shared" si="83"/>
        <v>0</v>
      </c>
      <c r="V380" s="10">
        <f t="shared" si="76"/>
        <v>210000</v>
      </c>
      <c r="W380" s="10">
        <f t="shared" si="77"/>
        <v>0</v>
      </c>
      <c r="X380" s="10">
        <f t="shared" si="78"/>
        <v>0</v>
      </c>
    </row>
    <row r="381" spans="1:24" s="9" customFormat="1" ht="13.5" customHeight="1" x14ac:dyDescent="0.2">
      <c r="A381" s="64">
        <f t="shared" si="79"/>
        <v>377</v>
      </c>
      <c r="B381" s="143" t="s">
        <v>2679</v>
      </c>
      <c r="C381" s="648">
        <v>40543</v>
      </c>
      <c r="D381" s="372">
        <v>225000</v>
      </c>
      <c r="E381" s="649"/>
      <c r="F381" s="67">
        <f t="shared" si="72"/>
        <v>225000</v>
      </c>
      <c r="G381" s="67">
        <v>224000</v>
      </c>
      <c r="H381" s="67">
        <f t="shared" si="80"/>
        <v>1000</v>
      </c>
      <c r="I381" s="68">
        <v>5</v>
      </c>
      <c r="J381" s="68">
        <v>0.2</v>
      </c>
      <c r="K381" s="68">
        <v>0</v>
      </c>
      <c r="L381" s="110">
        <f t="shared" si="81"/>
        <v>0</v>
      </c>
      <c r="M381" s="73">
        <f t="shared" si="82"/>
        <v>224000</v>
      </c>
      <c r="N381" s="484">
        <f t="shared" si="73"/>
        <v>1000</v>
      </c>
      <c r="O381" s="150" t="s">
        <v>2177</v>
      </c>
      <c r="P381" s="660">
        <v>3</v>
      </c>
      <c r="Q381" s="652"/>
      <c r="R381" s="23"/>
      <c r="S381" s="10">
        <f t="shared" si="74"/>
        <v>11250</v>
      </c>
      <c r="T381" s="10">
        <f t="shared" si="75"/>
        <v>-10250</v>
      </c>
      <c r="U381" s="10">
        <f t="shared" si="83"/>
        <v>0</v>
      </c>
      <c r="V381" s="10">
        <f t="shared" si="76"/>
        <v>45000</v>
      </c>
      <c r="W381" s="10">
        <f t="shared" si="77"/>
        <v>0</v>
      </c>
      <c r="X381" s="10">
        <f t="shared" si="78"/>
        <v>0</v>
      </c>
    </row>
    <row r="382" spans="1:24" s="9" customFormat="1" ht="13.5" customHeight="1" x14ac:dyDescent="0.2">
      <c r="A382" s="64">
        <f t="shared" si="79"/>
        <v>378</v>
      </c>
      <c r="B382" s="143" t="s">
        <v>2680</v>
      </c>
      <c r="C382" s="648">
        <v>40543</v>
      </c>
      <c r="D382" s="372">
        <v>230000</v>
      </c>
      <c r="E382" s="649"/>
      <c r="F382" s="67">
        <f t="shared" si="72"/>
        <v>230000</v>
      </c>
      <c r="G382" s="67">
        <v>229000</v>
      </c>
      <c r="H382" s="67">
        <f t="shared" si="80"/>
        <v>1000</v>
      </c>
      <c r="I382" s="68">
        <v>5</v>
      </c>
      <c r="J382" s="68">
        <v>0.2</v>
      </c>
      <c r="K382" s="68">
        <v>0</v>
      </c>
      <c r="L382" s="110">
        <f t="shared" si="81"/>
        <v>0</v>
      </c>
      <c r="M382" s="73">
        <f t="shared" si="82"/>
        <v>229000</v>
      </c>
      <c r="N382" s="484">
        <f t="shared" si="73"/>
        <v>1000</v>
      </c>
      <c r="O382" s="150" t="s">
        <v>2177</v>
      </c>
      <c r="P382" s="660">
        <v>1</v>
      </c>
      <c r="Q382" s="652"/>
      <c r="R382" s="23"/>
      <c r="S382" s="10">
        <f t="shared" si="74"/>
        <v>11500</v>
      </c>
      <c r="T382" s="10">
        <f t="shared" si="75"/>
        <v>-10500</v>
      </c>
      <c r="U382" s="10">
        <f t="shared" si="83"/>
        <v>0</v>
      </c>
      <c r="V382" s="10">
        <f t="shared" si="76"/>
        <v>46000</v>
      </c>
      <c r="W382" s="10">
        <f t="shared" si="77"/>
        <v>0</v>
      </c>
      <c r="X382" s="10">
        <f t="shared" si="78"/>
        <v>0</v>
      </c>
    </row>
    <row r="383" spans="1:24" s="9" customFormat="1" ht="13.5" customHeight="1" x14ac:dyDescent="0.2">
      <c r="A383" s="64">
        <f t="shared" si="79"/>
        <v>379</v>
      </c>
      <c r="B383" s="143" t="s">
        <v>2681</v>
      </c>
      <c r="C383" s="648">
        <v>40543</v>
      </c>
      <c r="D383" s="372">
        <v>100000</v>
      </c>
      <c r="E383" s="649"/>
      <c r="F383" s="67">
        <f t="shared" si="72"/>
        <v>100000</v>
      </c>
      <c r="G383" s="67">
        <v>99000</v>
      </c>
      <c r="H383" s="67">
        <f t="shared" si="80"/>
        <v>1000</v>
      </c>
      <c r="I383" s="68">
        <v>5</v>
      </c>
      <c r="J383" s="68">
        <v>0.2</v>
      </c>
      <c r="K383" s="68">
        <v>0</v>
      </c>
      <c r="L383" s="110">
        <f t="shared" si="81"/>
        <v>0</v>
      </c>
      <c r="M383" s="73">
        <f t="shared" si="82"/>
        <v>99000</v>
      </c>
      <c r="N383" s="484">
        <f t="shared" si="73"/>
        <v>1000</v>
      </c>
      <c r="O383" s="150" t="s">
        <v>2177</v>
      </c>
      <c r="P383" s="660">
        <v>1</v>
      </c>
      <c r="Q383" s="652"/>
      <c r="R383" s="23"/>
      <c r="S383" s="10">
        <f t="shared" si="74"/>
        <v>5000</v>
      </c>
      <c r="T383" s="10">
        <f t="shared" si="75"/>
        <v>-4000</v>
      </c>
      <c r="U383" s="10">
        <f t="shared" si="83"/>
        <v>0</v>
      </c>
      <c r="V383" s="10">
        <f t="shared" si="76"/>
        <v>20000</v>
      </c>
      <c r="W383" s="10">
        <f t="shared" si="77"/>
        <v>0</v>
      </c>
      <c r="X383" s="10">
        <f t="shared" si="78"/>
        <v>0</v>
      </c>
    </row>
    <row r="384" spans="1:24" s="9" customFormat="1" ht="13.5" customHeight="1" x14ac:dyDescent="0.2">
      <c r="A384" s="64">
        <f t="shared" si="79"/>
        <v>380</v>
      </c>
      <c r="B384" s="143" t="s">
        <v>2682</v>
      </c>
      <c r="C384" s="648">
        <v>40543</v>
      </c>
      <c r="D384" s="372">
        <v>960000</v>
      </c>
      <c r="E384" s="649"/>
      <c r="F384" s="67">
        <f t="shared" si="72"/>
        <v>960000</v>
      </c>
      <c r="G384" s="67">
        <v>959000</v>
      </c>
      <c r="H384" s="67">
        <f t="shared" si="80"/>
        <v>1000</v>
      </c>
      <c r="I384" s="68">
        <v>5</v>
      </c>
      <c r="J384" s="68">
        <v>0.2</v>
      </c>
      <c r="K384" s="68">
        <v>0</v>
      </c>
      <c r="L384" s="110">
        <f t="shared" si="81"/>
        <v>0</v>
      </c>
      <c r="M384" s="73">
        <f t="shared" si="82"/>
        <v>959000</v>
      </c>
      <c r="N384" s="484">
        <f t="shared" si="73"/>
        <v>1000</v>
      </c>
      <c r="O384" s="150" t="s">
        <v>2177</v>
      </c>
      <c r="P384" s="660">
        <v>2</v>
      </c>
      <c r="Q384" s="652"/>
      <c r="R384" s="23"/>
      <c r="S384" s="10">
        <f t="shared" si="74"/>
        <v>48000</v>
      </c>
      <c r="T384" s="10">
        <f t="shared" si="75"/>
        <v>-47000</v>
      </c>
      <c r="U384" s="10">
        <f t="shared" si="83"/>
        <v>0</v>
      </c>
      <c r="V384" s="10">
        <f t="shared" si="76"/>
        <v>192000</v>
      </c>
      <c r="W384" s="10">
        <f t="shared" si="77"/>
        <v>0</v>
      </c>
      <c r="X384" s="10">
        <f t="shared" si="78"/>
        <v>0</v>
      </c>
    </row>
    <row r="385" spans="1:24" s="9" customFormat="1" ht="13.5" customHeight="1" x14ac:dyDescent="0.2">
      <c r="A385" s="64">
        <f t="shared" si="79"/>
        <v>381</v>
      </c>
      <c r="B385" s="143" t="s">
        <v>2683</v>
      </c>
      <c r="C385" s="648">
        <v>40543</v>
      </c>
      <c r="D385" s="372">
        <v>1540000</v>
      </c>
      <c r="E385" s="649"/>
      <c r="F385" s="67">
        <f t="shared" si="72"/>
        <v>1540000</v>
      </c>
      <c r="G385" s="67">
        <v>1539000</v>
      </c>
      <c r="H385" s="67">
        <f t="shared" si="80"/>
        <v>1000</v>
      </c>
      <c r="I385" s="68">
        <v>5</v>
      </c>
      <c r="J385" s="68">
        <v>0.2</v>
      </c>
      <c r="K385" s="68">
        <v>0</v>
      </c>
      <c r="L385" s="110">
        <f t="shared" si="81"/>
        <v>0</v>
      </c>
      <c r="M385" s="73">
        <f t="shared" si="82"/>
        <v>1539000</v>
      </c>
      <c r="N385" s="484">
        <f t="shared" si="73"/>
        <v>1000</v>
      </c>
      <c r="O385" s="150" t="s">
        <v>1965</v>
      </c>
      <c r="P385" s="660">
        <v>2</v>
      </c>
      <c r="Q385" s="652"/>
      <c r="R385" s="23"/>
      <c r="S385" s="10">
        <f t="shared" si="74"/>
        <v>77000</v>
      </c>
      <c r="T385" s="10">
        <f t="shared" si="75"/>
        <v>-76000</v>
      </c>
      <c r="U385" s="10">
        <f t="shared" si="83"/>
        <v>0</v>
      </c>
      <c r="V385" s="10">
        <f t="shared" si="76"/>
        <v>308000</v>
      </c>
      <c r="W385" s="10">
        <f t="shared" si="77"/>
        <v>0</v>
      </c>
      <c r="X385" s="10">
        <f t="shared" si="78"/>
        <v>0</v>
      </c>
    </row>
    <row r="386" spans="1:24" s="9" customFormat="1" ht="13.5" customHeight="1" x14ac:dyDescent="0.2">
      <c r="A386" s="64">
        <f t="shared" si="79"/>
        <v>382</v>
      </c>
      <c r="B386" s="143" t="s">
        <v>2684</v>
      </c>
      <c r="C386" s="648">
        <v>40543</v>
      </c>
      <c r="D386" s="372">
        <v>1880000</v>
      </c>
      <c r="E386" s="649"/>
      <c r="F386" s="67">
        <f t="shared" si="72"/>
        <v>1880000</v>
      </c>
      <c r="G386" s="67">
        <v>1879000</v>
      </c>
      <c r="H386" s="67">
        <f t="shared" si="80"/>
        <v>1000</v>
      </c>
      <c r="I386" s="68">
        <v>5</v>
      </c>
      <c r="J386" s="68">
        <v>0.2</v>
      </c>
      <c r="K386" s="68">
        <v>0</v>
      </c>
      <c r="L386" s="110">
        <f t="shared" si="81"/>
        <v>0</v>
      </c>
      <c r="M386" s="73">
        <f t="shared" si="82"/>
        <v>1879000</v>
      </c>
      <c r="N386" s="484">
        <f t="shared" si="73"/>
        <v>1000</v>
      </c>
      <c r="O386" s="150" t="s">
        <v>1965</v>
      </c>
      <c r="P386" s="660">
        <v>1</v>
      </c>
      <c r="Q386" s="652"/>
      <c r="R386" s="23"/>
      <c r="S386" s="10">
        <f t="shared" si="74"/>
        <v>94000</v>
      </c>
      <c r="T386" s="10">
        <f t="shared" si="75"/>
        <v>-93000</v>
      </c>
      <c r="U386" s="10">
        <f t="shared" si="83"/>
        <v>0</v>
      </c>
      <c r="V386" s="10">
        <f t="shared" si="76"/>
        <v>376000</v>
      </c>
      <c r="W386" s="10">
        <f t="shared" si="77"/>
        <v>0</v>
      </c>
      <c r="X386" s="10">
        <f t="shared" si="78"/>
        <v>0</v>
      </c>
    </row>
    <row r="387" spans="1:24" s="9" customFormat="1" ht="13.5" customHeight="1" x14ac:dyDescent="0.2">
      <c r="A387" s="64">
        <f t="shared" si="79"/>
        <v>383</v>
      </c>
      <c r="B387" s="143" t="s">
        <v>2685</v>
      </c>
      <c r="C387" s="648">
        <v>40543</v>
      </c>
      <c r="D387" s="372">
        <v>525000</v>
      </c>
      <c r="E387" s="649"/>
      <c r="F387" s="67">
        <f t="shared" si="72"/>
        <v>525000</v>
      </c>
      <c r="G387" s="67">
        <v>524000</v>
      </c>
      <c r="H387" s="67">
        <f t="shared" si="80"/>
        <v>1000</v>
      </c>
      <c r="I387" s="68">
        <v>5</v>
      </c>
      <c r="J387" s="68">
        <v>0.2</v>
      </c>
      <c r="K387" s="68">
        <v>0</v>
      </c>
      <c r="L387" s="110">
        <f t="shared" si="81"/>
        <v>0</v>
      </c>
      <c r="M387" s="73">
        <f t="shared" si="82"/>
        <v>524000</v>
      </c>
      <c r="N387" s="484">
        <f t="shared" si="73"/>
        <v>1000</v>
      </c>
      <c r="O387" s="150" t="s">
        <v>2686</v>
      </c>
      <c r="P387" s="660">
        <v>1</v>
      </c>
      <c r="Q387" s="652"/>
      <c r="R387" s="23"/>
      <c r="S387" s="10">
        <f t="shared" si="74"/>
        <v>26250</v>
      </c>
      <c r="T387" s="10">
        <f t="shared" si="75"/>
        <v>-25250</v>
      </c>
      <c r="U387" s="10">
        <f t="shared" si="83"/>
        <v>0</v>
      </c>
      <c r="V387" s="10">
        <f t="shared" si="76"/>
        <v>105000</v>
      </c>
      <c r="W387" s="10">
        <f t="shared" si="77"/>
        <v>0</v>
      </c>
      <c r="X387" s="10">
        <f t="shared" si="78"/>
        <v>0</v>
      </c>
    </row>
    <row r="388" spans="1:24" s="9" customFormat="1" ht="13.5" customHeight="1" x14ac:dyDescent="0.2">
      <c r="A388" s="64">
        <f t="shared" si="79"/>
        <v>384</v>
      </c>
      <c r="B388" s="143" t="s">
        <v>2687</v>
      </c>
      <c r="C388" s="648">
        <v>40543</v>
      </c>
      <c r="D388" s="372">
        <v>426000</v>
      </c>
      <c r="E388" s="649"/>
      <c r="F388" s="67">
        <f t="shared" si="72"/>
        <v>426000</v>
      </c>
      <c r="G388" s="67">
        <v>425000</v>
      </c>
      <c r="H388" s="67">
        <f t="shared" si="80"/>
        <v>1000</v>
      </c>
      <c r="I388" s="68">
        <v>5</v>
      </c>
      <c r="J388" s="68">
        <v>0.2</v>
      </c>
      <c r="K388" s="68">
        <v>0</v>
      </c>
      <c r="L388" s="110">
        <f t="shared" si="81"/>
        <v>0</v>
      </c>
      <c r="M388" s="73">
        <f t="shared" si="82"/>
        <v>425000</v>
      </c>
      <c r="N388" s="484">
        <f t="shared" si="73"/>
        <v>1000</v>
      </c>
      <c r="O388" s="150" t="s">
        <v>2686</v>
      </c>
      <c r="P388" s="660">
        <v>3</v>
      </c>
      <c r="Q388" s="652"/>
      <c r="R388" s="23"/>
      <c r="S388" s="10">
        <f t="shared" si="74"/>
        <v>21300</v>
      </c>
      <c r="T388" s="10">
        <f t="shared" si="75"/>
        <v>-20300</v>
      </c>
      <c r="U388" s="10">
        <f t="shared" si="83"/>
        <v>0</v>
      </c>
      <c r="V388" s="10">
        <f t="shared" si="76"/>
        <v>85200</v>
      </c>
      <c r="W388" s="10">
        <f t="shared" si="77"/>
        <v>0</v>
      </c>
      <c r="X388" s="10">
        <f t="shared" si="78"/>
        <v>0</v>
      </c>
    </row>
    <row r="389" spans="1:24" s="9" customFormat="1" ht="13.5" customHeight="1" x14ac:dyDescent="0.2">
      <c r="A389" s="64">
        <f t="shared" si="79"/>
        <v>385</v>
      </c>
      <c r="B389" s="143" t="s">
        <v>2688</v>
      </c>
      <c r="C389" s="648">
        <v>40549</v>
      </c>
      <c r="D389" s="372">
        <v>875000</v>
      </c>
      <c r="E389" s="649"/>
      <c r="F389" s="67">
        <f t="shared" ref="F389:F452" si="84">+D389+E389</f>
        <v>875000</v>
      </c>
      <c r="G389" s="73">
        <v>874000</v>
      </c>
      <c r="H389" s="73">
        <f t="shared" si="80"/>
        <v>1000</v>
      </c>
      <c r="I389" s="74">
        <v>5</v>
      </c>
      <c r="J389" s="74">
        <v>0.2</v>
      </c>
      <c r="K389" s="68">
        <v>0</v>
      </c>
      <c r="L389" s="110">
        <f t="shared" si="81"/>
        <v>0</v>
      </c>
      <c r="M389" s="73">
        <f t="shared" si="82"/>
        <v>874000</v>
      </c>
      <c r="N389" s="484">
        <f t="shared" ref="N389:N452" si="85">+F389-M389</f>
        <v>1000</v>
      </c>
      <c r="O389" s="150" t="s">
        <v>2177</v>
      </c>
      <c r="P389" s="660">
        <v>5</v>
      </c>
      <c r="Q389" s="652" t="s">
        <v>988</v>
      </c>
      <c r="R389" s="23"/>
      <c r="S389" s="10">
        <f t="shared" ref="S389:S410" si="86">D389*0.05</f>
        <v>43750</v>
      </c>
      <c r="T389" s="10">
        <f t="shared" ref="T389:T452" si="87">N389-S389</f>
        <v>-42750</v>
      </c>
      <c r="U389" s="10">
        <f t="shared" si="83"/>
        <v>0</v>
      </c>
      <c r="V389" s="10">
        <f t="shared" ref="V389:V457" si="88">F389/I389</f>
        <v>175000</v>
      </c>
      <c r="W389" s="10">
        <f t="shared" ref="W389:W418" si="89">ROUND(IF(H389&lt;=1000,0,V389/12*3),0)</f>
        <v>0</v>
      </c>
      <c r="X389" s="10">
        <f t="shared" ref="X389:X452" si="90">L389-W389</f>
        <v>0</v>
      </c>
    </row>
    <row r="390" spans="1:24" s="9" customFormat="1" ht="13.5" customHeight="1" x14ac:dyDescent="0.2">
      <c r="A390" s="64">
        <f t="shared" ref="A390:A453" si="91">+A389+1</f>
        <v>386</v>
      </c>
      <c r="B390" s="143" t="s">
        <v>1846</v>
      </c>
      <c r="C390" s="648">
        <v>40562</v>
      </c>
      <c r="D390" s="372">
        <v>771000</v>
      </c>
      <c r="E390" s="649"/>
      <c r="F390" s="67">
        <f t="shared" si="84"/>
        <v>771000</v>
      </c>
      <c r="G390" s="73">
        <v>770000</v>
      </c>
      <c r="H390" s="73">
        <f t="shared" si="80"/>
        <v>1000</v>
      </c>
      <c r="I390" s="74">
        <v>5</v>
      </c>
      <c r="J390" s="74">
        <v>0.2</v>
      </c>
      <c r="K390" s="68">
        <v>0</v>
      </c>
      <c r="L390" s="110">
        <f t="shared" si="81"/>
        <v>0</v>
      </c>
      <c r="M390" s="73">
        <f t="shared" si="82"/>
        <v>770000</v>
      </c>
      <c r="N390" s="484">
        <f t="shared" si="85"/>
        <v>1000</v>
      </c>
      <c r="O390" s="150" t="s">
        <v>2601</v>
      </c>
      <c r="P390" s="660">
        <v>1</v>
      </c>
      <c r="Q390" s="652" t="s">
        <v>2689</v>
      </c>
      <c r="R390" s="23"/>
      <c r="S390" s="10">
        <f t="shared" si="86"/>
        <v>38550</v>
      </c>
      <c r="T390" s="10">
        <f t="shared" si="87"/>
        <v>-37550</v>
      </c>
      <c r="U390" s="10">
        <f t="shared" si="83"/>
        <v>0</v>
      </c>
      <c r="V390" s="10">
        <f t="shared" si="88"/>
        <v>154200</v>
      </c>
      <c r="W390" s="10">
        <f t="shared" si="89"/>
        <v>0</v>
      </c>
      <c r="X390" s="10">
        <f t="shared" si="90"/>
        <v>0</v>
      </c>
    </row>
    <row r="391" spans="1:24" s="9" customFormat="1" ht="13.5" customHeight="1" x14ac:dyDescent="0.2">
      <c r="A391" s="64">
        <f t="shared" si="91"/>
        <v>387</v>
      </c>
      <c r="B391" s="143" t="s">
        <v>1846</v>
      </c>
      <c r="C391" s="648">
        <v>40562</v>
      </c>
      <c r="D391" s="372">
        <v>782000</v>
      </c>
      <c r="E391" s="649"/>
      <c r="F391" s="67">
        <f t="shared" si="84"/>
        <v>782000</v>
      </c>
      <c r="G391" s="73">
        <v>781000</v>
      </c>
      <c r="H391" s="73">
        <f t="shared" si="80"/>
        <v>1000</v>
      </c>
      <c r="I391" s="74">
        <v>5</v>
      </c>
      <c r="J391" s="74">
        <v>0.2</v>
      </c>
      <c r="K391" s="68">
        <v>0</v>
      </c>
      <c r="L391" s="110">
        <f t="shared" si="81"/>
        <v>0</v>
      </c>
      <c r="M391" s="73">
        <f t="shared" si="82"/>
        <v>781000</v>
      </c>
      <c r="N391" s="484">
        <f t="shared" si="85"/>
        <v>1000</v>
      </c>
      <c r="O391" s="150" t="s">
        <v>2601</v>
      </c>
      <c r="P391" s="660">
        <v>1</v>
      </c>
      <c r="Q391" s="652" t="s">
        <v>2690</v>
      </c>
      <c r="R391" s="23"/>
      <c r="S391" s="10">
        <f t="shared" si="86"/>
        <v>39100</v>
      </c>
      <c r="T391" s="10">
        <f t="shared" si="87"/>
        <v>-38100</v>
      </c>
      <c r="U391" s="10">
        <f t="shared" si="83"/>
        <v>0</v>
      </c>
      <c r="V391" s="10">
        <f t="shared" si="88"/>
        <v>156400</v>
      </c>
      <c r="W391" s="10">
        <f t="shared" si="89"/>
        <v>0</v>
      </c>
      <c r="X391" s="10">
        <f t="shared" si="90"/>
        <v>0</v>
      </c>
    </row>
    <row r="392" spans="1:24" s="9" customFormat="1" ht="13.5" customHeight="1" x14ac:dyDescent="0.2">
      <c r="A392" s="64">
        <f t="shared" si="91"/>
        <v>388</v>
      </c>
      <c r="B392" s="143" t="s">
        <v>2691</v>
      </c>
      <c r="C392" s="648">
        <v>40574</v>
      </c>
      <c r="D392" s="372">
        <v>8400000</v>
      </c>
      <c r="E392" s="649"/>
      <c r="F392" s="73">
        <f t="shared" si="84"/>
        <v>8400000</v>
      </c>
      <c r="G392" s="73">
        <v>8399000</v>
      </c>
      <c r="H392" s="73">
        <f t="shared" si="80"/>
        <v>1000</v>
      </c>
      <c r="I392" s="74">
        <v>5</v>
      </c>
      <c r="J392" s="74">
        <v>0.2</v>
      </c>
      <c r="K392" s="68">
        <v>0</v>
      </c>
      <c r="L392" s="110">
        <f t="shared" si="81"/>
        <v>0</v>
      </c>
      <c r="M392" s="73">
        <f t="shared" si="82"/>
        <v>8399000</v>
      </c>
      <c r="N392" s="484">
        <f t="shared" si="85"/>
        <v>1000</v>
      </c>
      <c r="O392" s="150" t="s">
        <v>2692</v>
      </c>
      <c r="P392" s="660">
        <v>3</v>
      </c>
      <c r="Q392" s="652" t="s">
        <v>2693</v>
      </c>
      <c r="R392" s="23"/>
      <c r="S392" s="10">
        <f t="shared" si="86"/>
        <v>420000</v>
      </c>
      <c r="T392" s="10">
        <f t="shared" si="87"/>
        <v>-419000</v>
      </c>
      <c r="U392" s="10">
        <f t="shared" si="83"/>
        <v>0</v>
      </c>
      <c r="V392" s="10">
        <f t="shared" si="88"/>
        <v>1680000</v>
      </c>
      <c r="W392" s="10">
        <f t="shared" si="89"/>
        <v>0</v>
      </c>
      <c r="X392" s="10">
        <f t="shared" si="90"/>
        <v>0</v>
      </c>
    </row>
    <row r="393" spans="1:24" s="9" customFormat="1" ht="13.5" customHeight="1" x14ac:dyDescent="0.2">
      <c r="A393" s="64">
        <f t="shared" si="91"/>
        <v>389</v>
      </c>
      <c r="B393" s="143" t="s">
        <v>2694</v>
      </c>
      <c r="C393" s="648">
        <v>40574</v>
      </c>
      <c r="D393" s="372">
        <v>230000</v>
      </c>
      <c r="E393" s="649"/>
      <c r="F393" s="73">
        <f t="shared" si="84"/>
        <v>230000</v>
      </c>
      <c r="G393" s="73">
        <v>229000</v>
      </c>
      <c r="H393" s="73">
        <f t="shared" si="80"/>
        <v>1000</v>
      </c>
      <c r="I393" s="74">
        <v>5</v>
      </c>
      <c r="J393" s="74">
        <v>0.2</v>
      </c>
      <c r="K393" s="68">
        <v>0</v>
      </c>
      <c r="L393" s="110">
        <f t="shared" si="81"/>
        <v>0</v>
      </c>
      <c r="M393" s="73">
        <f t="shared" si="82"/>
        <v>229000</v>
      </c>
      <c r="N393" s="484">
        <f t="shared" si="85"/>
        <v>1000</v>
      </c>
      <c r="O393" s="150" t="s">
        <v>1965</v>
      </c>
      <c r="P393" s="660">
        <v>1</v>
      </c>
      <c r="Q393" s="652" t="s">
        <v>988</v>
      </c>
      <c r="R393" s="23"/>
      <c r="S393" s="10">
        <f t="shared" si="86"/>
        <v>11500</v>
      </c>
      <c r="T393" s="10">
        <f t="shared" si="87"/>
        <v>-10500</v>
      </c>
      <c r="U393" s="10">
        <f t="shared" si="83"/>
        <v>0</v>
      </c>
      <c r="V393" s="10">
        <f t="shared" si="88"/>
        <v>46000</v>
      </c>
      <c r="W393" s="10">
        <f t="shared" si="89"/>
        <v>0</v>
      </c>
      <c r="X393" s="10">
        <f t="shared" si="90"/>
        <v>0</v>
      </c>
    </row>
    <row r="394" spans="1:24" s="9" customFormat="1" ht="13.5" customHeight="1" x14ac:dyDescent="0.2">
      <c r="A394" s="64">
        <f t="shared" si="91"/>
        <v>390</v>
      </c>
      <c r="B394" s="143" t="s">
        <v>2695</v>
      </c>
      <c r="C394" s="648">
        <v>40574</v>
      </c>
      <c r="D394" s="372">
        <v>145000</v>
      </c>
      <c r="E394" s="649"/>
      <c r="F394" s="73">
        <f t="shared" si="84"/>
        <v>145000</v>
      </c>
      <c r="G394" s="73">
        <v>144000</v>
      </c>
      <c r="H394" s="73">
        <f t="shared" si="80"/>
        <v>1000</v>
      </c>
      <c r="I394" s="74">
        <v>5</v>
      </c>
      <c r="J394" s="74">
        <v>0.2</v>
      </c>
      <c r="K394" s="68">
        <v>0</v>
      </c>
      <c r="L394" s="110">
        <f t="shared" si="81"/>
        <v>0</v>
      </c>
      <c r="M394" s="73">
        <f t="shared" si="82"/>
        <v>144000</v>
      </c>
      <c r="N394" s="484">
        <f t="shared" si="85"/>
        <v>1000</v>
      </c>
      <c r="O394" s="150" t="s">
        <v>2686</v>
      </c>
      <c r="P394" s="660">
        <v>1</v>
      </c>
      <c r="Q394" s="652" t="s">
        <v>988</v>
      </c>
      <c r="R394" s="23"/>
      <c r="S394" s="10">
        <f t="shared" si="86"/>
        <v>7250</v>
      </c>
      <c r="T394" s="10">
        <f t="shared" si="87"/>
        <v>-6250</v>
      </c>
      <c r="U394" s="10">
        <f t="shared" si="83"/>
        <v>0</v>
      </c>
      <c r="V394" s="10">
        <f t="shared" si="88"/>
        <v>29000</v>
      </c>
      <c r="W394" s="10">
        <f t="shared" si="89"/>
        <v>0</v>
      </c>
      <c r="X394" s="10">
        <f t="shared" si="90"/>
        <v>0</v>
      </c>
    </row>
    <row r="395" spans="1:24" s="9" customFormat="1" ht="13.5" customHeight="1" x14ac:dyDescent="0.2">
      <c r="A395" s="64">
        <f t="shared" si="91"/>
        <v>391</v>
      </c>
      <c r="B395" s="143" t="s">
        <v>2696</v>
      </c>
      <c r="C395" s="648">
        <v>40575</v>
      </c>
      <c r="D395" s="372">
        <v>270000</v>
      </c>
      <c r="E395" s="649"/>
      <c r="F395" s="73">
        <f t="shared" si="84"/>
        <v>270000</v>
      </c>
      <c r="G395" s="73">
        <v>269000</v>
      </c>
      <c r="H395" s="73">
        <f t="shared" si="80"/>
        <v>1000</v>
      </c>
      <c r="I395" s="74">
        <v>5</v>
      </c>
      <c r="J395" s="74">
        <v>0.2</v>
      </c>
      <c r="K395" s="68">
        <v>0</v>
      </c>
      <c r="L395" s="110">
        <f t="shared" si="81"/>
        <v>0</v>
      </c>
      <c r="M395" s="73">
        <f t="shared" si="82"/>
        <v>269000</v>
      </c>
      <c r="N395" s="484">
        <f t="shared" si="85"/>
        <v>1000</v>
      </c>
      <c r="O395" s="150" t="s">
        <v>2177</v>
      </c>
      <c r="P395" s="660">
        <v>3</v>
      </c>
      <c r="Q395" s="652" t="s">
        <v>988</v>
      </c>
      <c r="R395" s="23"/>
      <c r="S395" s="10">
        <f t="shared" si="86"/>
        <v>13500</v>
      </c>
      <c r="T395" s="10">
        <f t="shared" si="87"/>
        <v>-12500</v>
      </c>
      <c r="U395" s="10">
        <f t="shared" si="83"/>
        <v>0</v>
      </c>
      <c r="V395" s="10">
        <f t="shared" si="88"/>
        <v>54000</v>
      </c>
      <c r="W395" s="10">
        <f t="shared" si="89"/>
        <v>0</v>
      </c>
      <c r="X395" s="10">
        <f t="shared" si="90"/>
        <v>0</v>
      </c>
    </row>
    <row r="396" spans="1:24" s="9" customFormat="1" ht="13.5" customHeight="1" x14ac:dyDescent="0.2">
      <c r="A396" s="64">
        <f t="shared" si="91"/>
        <v>392</v>
      </c>
      <c r="B396" s="143" t="s">
        <v>2697</v>
      </c>
      <c r="C396" s="648">
        <v>40575</v>
      </c>
      <c r="D396" s="372">
        <v>580000</v>
      </c>
      <c r="E396" s="649"/>
      <c r="F396" s="73">
        <f t="shared" si="84"/>
        <v>580000</v>
      </c>
      <c r="G396" s="73">
        <v>579000</v>
      </c>
      <c r="H396" s="73">
        <f t="shared" si="80"/>
        <v>1000</v>
      </c>
      <c r="I396" s="74">
        <v>5</v>
      </c>
      <c r="J396" s="74">
        <v>0.2</v>
      </c>
      <c r="K396" s="68">
        <v>0</v>
      </c>
      <c r="L396" s="110">
        <f t="shared" si="81"/>
        <v>0</v>
      </c>
      <c r="M396" s="73">
        <f t="shared" si="82"/>
        <v>579000</v>
      </c>
      <c r="N396" s="484">
        <f t="shared" si="85"/>
        <v>1000</v>
      </c>
      <c r="O396" s="150" t="s">
        <v>2177</v>
      </c>
      <c r="P396" s="660">
        <v>2</v>
      </c>
      <c r="Q396" s="652" t="s">
        <v>988</v>
      </c>
      <c r="R396" s="23"/>
      <c r="S396" s="10">
        <f t="shared" si="86"/>
        <v>29000</v>
      </c>
      <c r="T396" s="10">
        <f t="shared" si="87"/>
        <v>-28000</v>
      </c>
      <c r="U396" s="10">
        <f t="shared" si="83"/>
        <v>0</v>
      </c>
      <c r="V396" s="10">
        <f t="shared" si="88"/>
        <v>116000</v>
      </c>
      <c r="W396" s="10">
        <f t="shared" si="89"/>
        <v>0</v>
      </c>
      <c r="X396" s="10">
        <f t="shared" si="90"/>
        <v>0</v>
      </c>
    </row>
    <row r="397" spans="1:24" s="9" customFormat="1" ht="13.5" customHeight="1" x14ac:dyDescent="0.2">
      <c r="A397" s="64">
        <f t="shared" si="91"/>
        <v>393</v>
      </c>
      <c r="B397" s="143" t="s">
        <v>2698</v>
      </c>
      <c r="C397" s="648">
        <v>40575</v>
      </c>
      <c r="D397" s="372">
        <v>350000</v>
      </c>
      <c r="E397" s="649"/>
      <c r="F397" s="73">
        <f t="shared" si="84"/>
        <v>350000</v>
      </c>
      <c r="G397" s="73">
        <v>349000</v>
      </c>
      <c r="H397" s="73">
        <f t="shared" si="80"/>
        <v>1000</v>
      </c>
      <c r="I397" s="74">
        <v>5</v>
      </c>
      <c r="J397" s="74">
        <v>0.2</v>
      </c>
      <c r="K397" s="68">
        <v>0</v>
      </c>
      <c r="L397" s="110">
        <f t="shared" si="81"/>
        <v>0</v>
      </c>
      <c r="M397" s="73">
        <f t="shared" si="82"/>
        <v>349000</v>
      </c>
      <c r="N397" s="484">
        <f t="shared" si="85"/>
        <v>1000</v>
      </c>
      <c r="O397" s="150" t="s">
        <v>2177</v>
      </c>
      <c r="P397" s="660">
        <v>2</v>
      </c>
      <c r="Q397" s="652" t="s">
        <v>988</v>
      </c>
      <c r="R397" s="23"/>
      <c r="S397" s="10">
        <f t="shared" si="86"/>
        <v>17500</v>
      </c>
      <c r="T397" s="10">
        <f t="shared" si="87"/>
        <v>-16500</v>
      </c>
      <c r="U397" s="10">
        <f t="shared" si="83"/>
        <v>0</v>
      </c>
      <c r="V397" s="10">
        <f t="shared" si="88"/>
        <v>70000</v>
      </c>
      <c r="W397" s="10">
        <f t="shared" si="89"/>
        <v>0</v>
      </c>
      <c r="X397" s="10">
        <f t="shared" si="90"/>
        <v>0</v>
      </c>
    </row>
    <row r="398" spans="1:24" s="9" customFormat="1" ht="13.5" customHeight="1" x14ac:dyDescent="0.2">
      <c r="A398" s="64">
        <f t="shared" si="91"/>
        <v>394</v>
      </c>
      <c r="B398" s="143" t="s">
        <v>2699</v>
      </c>
      <c r="C398" s="648">
        <v>40575</v>
      </c>
      <c r="D398" s="372">
        <v>96000</v>
      </c>
      <c r="E398" s="649"/>
      <c r="F398" s="73">
        <f t="shared" si="84"/>
        <v>96000</v>
      </c>
      <c r="G398" s="73">
        <v>95000</v>
      </c>
      <c r="H398" s="73">
        <f t="shared" si="80"/>
        <v>1000</v>
      </c>
      <c r="I398" s="74">
        <v>5</v>
      </c>
      <c r="J398" s="74">
        <v>0.2</v>
      </c>
      <c r="K398" s="68">
        <v>0</v>
      </c>
      <c r="L398" s="110">
        <f t="shared" si="81"/>
        <v>0</v>
      </c>
      <c r="M398" s="73">
        <f t="shared" si="82"/>
        <v>95000</v>
      </c>
      <c r="N398" s="484">
        <f t="shared" si="85"/>
        <v>1000</v>
      </c>
      <c r="O398" s="150" t="s">
        <v>2177</v>
      </c>
      <c r="P398" s="660">
        <v>8</v>
      </c>
      <c r="Q398" s="652" t="s">
        <v>988</v>
      </c>
      <c r="R398" s="23"/>
      <c r="S398" s="10">
        <f t="shared" si="86"/>
        <v>4800</v>
      </c>
      <c r="T398" s="10">
        <f t="shared" si="87"/>
        <v>-3800</v>
      </c>
      <c r="U398" s="10">
        <f t="shared" si="83"/>
        <v>0</v>
      </c>
      <c r="V398" s="10">
        <f t="shared" si="88"/>
        <v>19200</v>
      </c>
      <c r="W398" s="10">
        <f t="shared" si="89"/>
        <v>0</v>
      </c>
      <c r="X398" s="10">
        <f t="shared" si="90"/>
        <v>0</v>
      </c>
    </row>
    <row r="399" spans="1:24" s="9" customFormat="1" ht="13.5" customHeight="1" x14ac:dyDescent="0.2">
      <c r="A399" s="64">
        <f t="shared" si="91"/>
        <v>395</v>
      </c>
      <c r="B399" s="143" t="s">
        <v>2700</v>
      </c>
      <c r="C399" s="648">
        <v>40595</v>
      </c>
      <c r="D399" s="372">
        <v>525000</v>
      </c>
      <c r="E399" s="649"/>
      <c r="F399" s="73">
        <f t="shared" si="84"/>
        <v>525000</v>
      </c>
      <c r="G399" s="73">
        <v>524000</v>
      </c>
      <c r="H399" s="73">
        <f t="shared" si="80"/>
        <v>1000</v>
      </c>
      <c r="I399" s="74">
        <v>5</v>
      </c>
      <c r="J399" s="74">
        <v>0.2</v>
      </c>
      <c r="K399" s="68">
        <v>0</v>
      </c>
      <c r="L399" s="110">
        <f t="shared" si="81"/>
        <v>0</v>
      </c>
      <c r="M399" s="73">
        <f t="shared" si="82"/>
        <v>524000</v>
      </c>
      <c r="N399" s="484">
        <f t="shared" si="85"/>
        <v>1000</v>
      </c>
      <c r="O399" s="150" t="s">
        <v>2177</v>
      </c>
      <c r="P399" s="660">
        <v>5</v>
      </c>
      <c r="Q399" s="652" t="s">
        <v>988</v>
      </c>
      <c r="R399" s="23"/>
      <c r="S399" s="10">
        <f t="shared" si="86"/>
        <v>26250</v>
      </c>
      <c r="T399" s="10">
        <f t="shared" si="87"/>
        <v>-25250</v>
      </c>
      <c r="U399" s="10">
        <f t="shared" si="83"/>
        <v>0</v>
      </c>
      <c r="V399" s="10">
        <f t="shared" si="88"/>
        <v>105000</v>
      </c>
      <c r="W399" s="10">
        <f t="shared" si="89"/>
        <v>0</v>
      </c>
      <c r="X399" s="10">
        <f t="shared" si="90"/>
        <v>0</v>
      </c>
    </row>
    <row r="400" spans="1:24" s="9" customFormat="1" ht="13.5" customHeight="1" x14ac:dyDescent="0.2">
      <c r="A400" s="64">
        <f t="shared" si="91"/>
        <v>396</v>
      </c>
      <c r="B400" s="143" t="s">
        <v>2701</v>
      </c>
      <c r="C400" s="648">
        <v>40595</v>
      </c>
      <c r="D400" s="372">
        <v>315000</v>
      </c>
      <c r="E400" s="649"/>
      <c r="F400" s="73">
        <f t="shared" si="84"/>
        <v>315000</v>
      </c>
      <c r="G400" s="73">
        <v>314000</v>
      </c>
      <c r="H400" s="73">
        <f t="shared" si="80"/>
        <v>1000</v>
      </c>
      <c r="I400" s="74">
        <v>5</v>
      </c>
      <c r="J400" s="74">
        <v>0.2</v>
      </c>
      <c r="K400" s="68">
        <v>0</v>
      </c>
      <c r="L400" s="110">
        <f t="shared" si="81"/>
        <v>0</v>
      </c>
      <c r="M400" s="73">
        <f t="shared" si="82"/>
        <v>314000</v>
      </c>
      <c r="N400" s="484">
        <f t="shared" si="85"/>
        <v>1000</v>
      </c>
      <c r="O400" s="150" t="s">
        <v>2177</v>
      </c>
      <c r="P400" s="660">
        <v>3</v>
      </c>
      <c r="Q400" s="652" t="s">
        <v>988</v>
      </c>
      <c r="R400" s="23"/>
      <c r="S400" s="10">
        <f t="shared" si="86"/>
        <v>15750</v>
      </c>
      <c r="T400" s="10">
        <f t="shared" si="87"/>
        <v>-14750</v>
      </c>
      <c r="U400" s="10">
        <f t="shared" si="83"/>
        <v>0</v>
      </c>
      <c r="V400" s="10">
        <f t="shared" si="88"/>
        <v>63000</v>
      </c>
      <c r="W400" s="10">
        <f t="shared" si="89"/>
        <v>0</v>
      </c>
      <c r="X400" s="10">
        <f t="shared" si="90"/>
        <v>0</v>
      </c>
    </row>
    <row r="401" spans="1:24" s="9" customFormat="1" ht="13.5" customHeight="1" x14ac:dyDescent="0.2">
      <c r="A401" s="64">
        <f t="shared" si="91"/>
        <v>397</v>
      </c>
      <c r="B401" s="143" t="s">
        <v>2702</v>
      </c>
      <c r="C401" s="648">
        <v>40595</v>
      </c>
      <c r="D401" s="372">
        <v>255000</v>
      </c>
      <c r="E401" s="649"/>
      <c r="F401" s="73">
        <f t="shared" si="84"/>
        <v>255000</v>
      </c>
      <c r="G401" s="73">
        <v>254000</v>
      </c>
      <c r="H401" s="73">
        <f t="shared" si="80"/>
        <v>1000</v>
      </c>
      <c r="I401" s="74">
        <v>5</v>
      </c>
      <c r="J401" s="74">
        <v>0.2</v>
      </c>
      <c r="K401" s="68">
        <v>0</v>
      </c>
      <c r="L401" s="110">
        <f t="shared" si="81"/>
        <v>0</v>
      </c>
      <c r="M401" s="73">
        <f t="shared" si="82"/>
        <v>254000</v>
      </c>
      <c r="N401" s="484">
        <f t="shared" si="85"/>
        <v>1000</v>
      </c>
      <c r="O401" s="150" t="s">
        <v>2177</v>
      </c>
      <c r="P401" s="660">
        <v>3</v>
      </c>
      <c r="Q401" s="652" t="s">
        <v>988</v>
      </c>
      <c r="R401" s="23"/>
      <c r="S401" s="10">
        <f t="shared" si="86"/>
        <v>12750</v>
      </c>
      <c r="T401" s="10">
        <f t="shared" si="87"/>
        <v>-11750</v>
      </c>
      <c r="U401" s="10">
        <f t="shared" si="83"/>
        <v>0</v>
      </c>
      <c r="V401" s="10">
        <f t="shared" si="88"/>
        <v>51000</v>
      </c>
      <c r="W401" s="10">
        <f t="shared" si="89"/>
        <v>0</v>
      </c>
      <c r="X401" s="10">
        <f t="shared" si="90"/>
        <v>0</v>
      </c>
    </row>
    <row r="402" spans="1:24" s="9" customFormat="1" ht="13.5" customHeight="1" x14ac:dyDescent="0.2">
      <c r="A402" s="64">
        <f t="shared" si="91"/>
        <v>398</v>
      </c>
      <c r="B402" s="143" t="s">
        <v>2703</v>
      </c>
      <c r="C402" s="648">
        <v>40595</v>
      </c>
      <c r="D402" s="372">
        <v>315000</v>
      </c>
      <c r="E402" s="649"/>
      <c r="F402" s="73">
        <f t="shared" si="84"/>
        <v>315000</v>
      </c>
      <c r="G402" s="73">
        <v>314000</v>
      </c>
      <c r="H402" s="73">
        <f t="shared" si="80"/>
        <v>1000</v>
      </c>
      <c r="I402" s="74">
        <v>5</v>
      </c>
      <c r="J402" s="74">
        <v>0.2</v>
      </c>
      <c r="K402" s="68">
        <v>0</v>
      </c>
      <c r="L402" s="110">
        <f t="shared" si="81"/>
        <v>0</v>
      </c>
      <c r="M402" s="73">
        <f t="shared" si="82"/>
        <v>314000</v>
      </c>
      <c r="N402" s="484">
        <f t="shared" si="85"/>
        <v>1000</v>
      </c>
      <c r="O402" s="150" t="s">
        <v>2177</v>
      </c>
      <c r="P402" s="660">
        <v>3</v>
      </c>
      <c r="Q402" s="652" t="s">
        <v>988</v>
      </c>
      <c r="R402" s="23"/>
      <c r="S402" s="10">
        <f t="shared" si="86"/>
        <v>15750</v>
      </c>
      <c r="T402" s="10">
        <f t="shared" si="87"/>
        <v>-14750</v>
      </c>
      <c r="U402" s="10">
        <f t="shared" si="83"/>
        <v>0</v>
      </c>
      <c r="V402" s="10">
        <f t="shared" si="88"/>
        <v>63000</v>
      </c>
      <c r="W402" s="10">
        <f t="shared" si="89"/>
        <v>0</v>
      </c>
      <c r="X402" s="10">
        <f t="shared" si="90"/>
        <v>0</v>
      </c>
    </row>
    <row r="403" spans="1:24" s="9" customFormat="1" ht="13.5" customHeight="1" x14ac:dyDescent="0.2">
      <c r="A403" s="64">
        <f t="shared" si="91"/>
        <v>399</v>
      </c>
      <c r="B403" s="143" t="s">
        <v>2704</v>
      </c>
      <c r="C403" s="648">
        <v>40595</v>
      </c>
      <c r="D403" s="372">
        <v>145000</v>
      </c>
      <c r="E403" s="649"/>
      <c r="F403" s="73">
        <f t="shared" si="84"/>
        <v>145000</v>
      </c>
      <c r="G403" s="73">
        <v>144000</v>
      </c>
      <c r="H403" s="73">
        <f t="shared" si="80"/>
        <v>1000</v>
      </c>
      <c r="I403" s="74">
        <v>5</v>
      </c>
      <c r="J403" s="74">
        <v>0.2</v>
      </c>
      <c r="K403" s="68">
        <v>0</v>
      </c>
      <c r="L403" s="110">
        <f t="shared" si="81"/>
        <v>0</v>
      </c>
      <c r="M403" s="73">
        <f t="shared" si="82"/>
        <v>144000</v>
      </c>
      <c r="N403" s="484">
        <f t="shared" si="85"/>
        <v>1000</v>
      </c>
      <c r="O403" s="150" t="s">
        <v>2177</v>
      </c>
      <c r="P403" s="660">
        <v>1</v>
      </c>
      <c r="Q403" s="652" t="s">
        <v>988</v>
      </c>
      <c r="R403" s="23"/>
      <c r="S403" s="10">
        <f t="shared" si="86"/>
        <v>7250</v>
      </c>
      <c r="T403" s="10">
        <f t="shared" si="87"/>
        <v>-6250</v>
      </c>
      <c r="U403" s="10">
        <f t="shared" si="83"/>
        <v>0</v>
      </c>
      <c r="V403" s="10">
        <f t="shared" si="88"/>
        <v>29000</v>
      </c>
      <c r="W403" s="10">
        <f t="shared" si="89"/>
        <v>0</v>
      </c>
      <c r="X403" s="10">
        <f t="shared" si="90"/>
        <v>0</v>
      </c>
    </row>
    <row r="404" spans="1:24" s="9" customFormat="1" ht="13.5" customHeight="1" x14ac:dyDescent="0.2">
      <c r="A404" s="64">
        <f t="shared" si="91"/>
        <v>400</v>
      </c>
      <c r="B404" s="143" t="s">
        <v>2705</v>
      </c>
      <c r="C404" s="648">
        <v>40595</v>
      </c>
      <c r="D404" s="372">
        <v>1225000</v>
      </c>
      <c r="E404" s="649"/>
      <c r="F404" s="73">
        <f t="shared" si="84"/>
        <v>1225000</v>
      </c>
      <c r="G404" s="73">
        <v>1224000</v>
      </c>
      <c r="H404" s="73">
        <f t="shared" si="80"/>
        <v>1000</v>
      </c>
      <c r="I404" s="74">
        <v>5</v>
      </c>
      <c r="J404" s="74">
        <v>0.2</v>
      </c>
      <c r="K404" s="68">
        <v>0</v>
      </c>
      <c r="L404" s="110">
        <f t="shared" si="81"/>
        <v>0</v>
      </c>
      <c r="M404" s="73">
        <f t="shared" si="82"/>
        <v>1224000</v>
      </c>
      <c r="N404" s="484">
        <f t="shared" si="85"/>
        <v>1000</v>
      </c>
      <c r="O404" s="150" t="s">
        <v>2177</v>
      </c>
      <c r="P404" s="660">
        <v>7</v>
      </c>
      <c r="Q404" s="652" t="s">
        <v>988</v>
      </c>
      <c r="R404" s="23"/>
      <c r="S404" s="10">
        <f t="shared" si="86"/>
        <v>61250</v>
      </c>
      <c r="T404" s="10">
        <f t="shared" si="87"/>
        <v>-60250</v>
      </c>
      <c r="U404" s="10">
        <f t="shared" si="83"/>
        <v>0</v>
      </c>
      <c r="V404" s="10">
        <f t="shared" si="88"/>
        <v>245000</v>
      </c>
      <c r="W404" s="10">
        <f t="shared" si="89"/>
        <v>0</v>
      </c>
      <c r="X404" s="10">
        <f t="shared" si="90"/>
        <v>0</v>
      </c>
    </row>
    <row r="405" spans="1:24" s="9" customFormat="1" ht="13.5" customHeight="1" x14ac:dyDescent="0.2">
      <c r="A405" s="64">
        <f t="shared" si="91"/>
        <v>401</v>
      </c>
      <c r="B405" s="143" t="s">
        <v>2706</v>
      </c>
      <c r="C405" s="648">
        <v>40595</v>
      </c>
      <c r="D405" s="372">
        <v>140000</v>
      </c>
      <c r="E405" s="649"/>
      <c r="F405" s="73">
        <f t="shared" si="84"/>
        <v>140000</v>
      </c>
      <c r="G405" s="73">
        <v>139000</v>
      </c>
      <c r="H405" s="73">
        <f t="shared" si="80"/>
        <v>1000</v>
      </c>
      <c r="I405" s="74">
        <v>5</v>
      </c>
      <c r="J405" s="74">
        <v>0.2</v>
      </c>
      <c r="K405" s="68">
        <v>0</v>
      </c>
      <c r="L405" s="110">
        <f t="shared" si="81"/>
        <v>0</v>
      </c>
      <c r="M405" s="73">
        <f t="shared" si="82"/>
        <v>139000</v>
      </c>
      <c r="N405" s="484">
        <f t="shared" si="85"/>
        <v>1000</v>
      </c>
      <c r="O405" s="150" t="s">
        <v>2177</v>
      </c>
      <c r="P405" s="660">
        <v>1</v>
      </c>
      <c r="Q405" s="652" t="s">
        <v>988</v>
      </c>
      <c r="R405" s="23"/>
      <c r="S405" s="10">
        <f t="shared" si="86"/>
        <v>7000</v>
      </c>
      <c r="T405" s="10">
        <f t="shared" si="87"/>
        <v>-6000</v>
      </c>
      <c r="U405" s="10">
        <f t="shared" si="83"/>
        <v>0</v>
      </c>
      <c r="V405" s="10">
        <f t="shared" si="88"/>
        <v>28000</v>
      </c>
      <c r="W405" s="10">
        <f t="shared" si="89"/>
        <v>0</v>
      </c>
      <c r="X405" s="10">
        <f t="shared" si="90"/>
        <v>0</v>
      </c>
    </row>
    <row r="406" spans="1:24" s="9" customFormat="1" ht="13.5" customHeight="1" x14ac:dyDescent="0.2">
      <c r="A406" s="64">
        <f t="shared" si="91"/>
        <v>402</v>
      </c>
      <c r="B406" s="143" t="s">
        <v>2707</v>
      </c>
      <c r="C406" s="648">
        <v>40602</v>
      </c>
      <c r="D406" s="372">
        <v>720000</v>
      </c>
      <c r="E406" s="649"/>
      <c r="F406" s="73">
        <f t="shared" si="84"/>
        <v>720000</v>
      </c>
      <c r="G406" s="73">
        <v>719000</v>
      </c>
      <c r="H406" s="73">
        <f t="shared" si="80"/>
        <v>1000</v>
      </c>
      <c r="I406" s="74">
        <v>5</v>
      </c>
      <c r="J406" s="74">
        <v>0.2</v>
      </c>
      <c r="K406" s="68">
        <v>0</v>
      </c>
      <c r="L406" s="110">
        <f t="shared" si="81"/>
        <v>0</v>
      </c>
      <c r="M406" s="73">
        <f t="shared" si="82"/>
        <v>719000</v>
      </c>
      <c r="N406" s="484">
        <f t="shared" si="85"/>
        <v>1000</v>
      </c>
      <c r="O406" s="150" t="s">
        <v>2177</v>
      </c>
      <c r="P406" s="660">
        <v>9</v>
      </c>
      <c r="Q406" s="652" t="s">
        <v>988</v>
      </c>
      <c r="R406" s="23"/>
      <c r="S406" s="10">
        <f t="shared" si="86"/>
        <v>36000</v>
      </c>
      <c r="T406" s="10">
        <f t="shared" si="87"/>
        <v>-35000</v>
      </c>
      <c r="U406" s="10">
        <f t="shared" si="83"/>
        <v>0</v>
      </c>
      <c r="V406" s="10">
        <f t="shared" si="88"/>
        <v>144000</v>
      </c>
      <c r="W406" s="10">
        <f t="shared" si="89"/>
        <v>0</v>
      </c>
      <c r="X406" s="10">
        <f t="shared" si="90"/>
        <v>0</v>
      </c>
    </row>
    <row r="407" spans="1:24" s="9" customFormat="1" ht="13.5" customHeight="1" x14ac:dyDescent="0.2">
      <c r="A407" s="64">
        <f t="shared" si="91"/>
        <v>403</v>
      </c>
      <c r="B407" s="143" t="s">
        <v>1855</v>
      </c>
      <c r="C407" s="648">
        <v>40602</v>
      </c>
      <c r="D407" s="372">
        <v>495000</v>
      </c>
      <c r="E407" s="649"/>
      <c r="F407" s="73">
        <f t="shared" si="84"/>
        <v>495000</v>
      </c>
      <c r="G407" s="73">
        <v>494000</v>
      </c>
      <c r="H407" s="73">
        <f t="shared" si="80"/>
        <v>1000</v>
      </c>
      <c r="I407" s="74">
        <v>5</v>
      </c>
      <c r="J407" s="74">
        <v>0.2</v>
      </c>
      <c r="K407" s="68">
        <v>0</v>
      </c>
      <c r="L407" s="110">
        <f t="shared" si="81"/>
        <v>0</v>
      </c>
      <c r="M407" s="73">
        <f t="shared" si="82"/>
        <v>494000</v>
      </c>
      <c r="N407" s="484">
        <f t="shared" si="85"/>
        <v>1000</v>
      </c>
      <c r="O407" s="150" t="s">
        <v>2177</v>
      </c>
      <c r="P407" s="660">
        <v>9</v>
      </c>
      <c r="Q407" s="652" t="s">
        <v>988</v>
      </c>
      <c r="R407" s="23"/>
      <c r="S407" s="10">
        <f t="shared" si="86"/>
        <v>24750</v>
      </c>
      <c r="T407" s="10">
        <f t="shared" si="87"/>
        <v>-23750</v>
      </c>
      <c r="U407" s="10">
        <f t="shared" si="83"/>
        <v>0</v>
      </c>
      <c r="V407" s="10">
        <f t="shared" si="88"/>
        <v>99000</v>
      </c>
      <c r="W407" s="10">
        <f t="shared" si="89"/>
        <v>0</v>
      </c>
      <c r="X407" s="10">
        <f t="shared" si="90"/>
        <v>0</v>
      </c>
    </row>
    <row r="408" spans="1:24" s="9" customFormat="1" ht="13.5" customHeight="1" x14ac:dyDescent="0.2">
      <c r="A408" s="64">
        <f t="shared" si="91"/>
        <v>404</v>
      </c>
      <c r="B408" s="143" t="s">
        <v>1873</v>
      </c>
      <c r="C408" s="648">
        <v>40602</v>
      </c>
      <c r="D408" s="372">
        <v>675000</v>
      </c>
      <c r="E408" s="649"/>
      <c r="F408" s="73">
        <f t="shared" si="84"/>
        <v>675000</v>
      </c>
      <c r="G408" s="73">
        <v>674000</v>
      </c>
      <c r="H408" s="73">
        <f t="shared" ref="H408:H459" si="92">+F408-G408</f>
        <v>1000</v>
      </c>
      <c r="I408" s="74">
        <v>5</v>
      </c>
      <c r="J408" s="74">
        <v>0.2</v>
      </c>
      <c r="K408" s="68">
        <v>0</v>
      </c>
      <c r="L408" s="110">
        <f t="shared" ref="L408:L420" si="93">ROUND(IF(F408*J408*K408/12&gt;=H408,H408-1000,F408*J408*K408/12),0)</f>
        <v>0</v>
      </c>
      <c r="M408" s="73">
        <f t="shared" ref="M408:M457" si="94">+G408+L408</f>
        <v>674000</v>
      </c>
      <c r="N408" s="484">
        <f t="shared" si="85"/>
        <v>1000</v>
      </c>
      <c r="O408" s="150" t="s">
        <v>2177</v>
      </c>
      <c r="P408" s="660">
        <v>9</v>
      </c>
      <c r="Q408" s="652" t="s">
        <v>988</v>
      </c>
      <c r="R408" s="23"/>
      <c r="S408" s="10">
        <f t="shared" si="86"/>
        <v>33750</v>
      </c>
      <c r="T408" s="10">
        <f t="shared" si="87"/>
        <v>-32750</v>
      </c>
      <c r="U408" s="10">
        <f t="shared" ref="U408:U457" si="95">N408-1000</f>
        <v>0</v>
      </c>
      <c r="V408" s="10">
        <f t="shared" si="88"/>
        <v>135000</v>
      </c>
      <c r="W408" s="10">
        <f t="shared" si="89"/>
        <v>0</v>
      </c>
      <c r="X408" s="10">
        <f t="shared" si="90"/>
        <v>0</v>
      </c>
    </row>
    <row r="409" spans="1:24" s="9" customFormat="1" ht="13.5" customHeight="1" x14ac:dyDescent="0.2">
      <c r="A409" s="64">
        <f t="shared" si="91"/>
        <v>405</v>
      </c>
      <c r="B409" s="143" t="s">
        <v>1976</v>
      </c>
      <c r="C409" s="648">
        <v>40624</v>
      </c>
      <c r="D409" s="372">
        <v>6500000</v>
      </c>
      <c r="E409" s="649"/>
      <c r="F409" s="73">
        <f t="shared" si="84"/>
        <v>6500000</v>
      </c>
      <c r="G409" s="73">
        <v>6499000</v>
      </c>
      <c r="H409" s="73">
        <f t="shared" si="92"/>
        <v>1000</v>
      </c>
      <c r="I409" s="74">
        <v>5</v>
      </c>
      <c r="J409" s="74">
        <v>0.2</v>
      </c>
      <c r="K409" s="68">
        <v>0</v>
      </c>
      <c r="L409" s="110">
        <f t="shared" si="93"/>
        <v>0</v>
      </c>
      <c r="M409" s="73">
        <f t="shared" si="94"/>
        <v>6499000</v>
      </c>
      <c r="N409" s="484">
        <f t="shared" si="85"/>
        <v>1000</v>
      </c>
      <c r="O409" s="150" t="s">
        <v>2014</v>
      </c>
      <c r="P409" s="660">
        <v>1</v>
      </c>
      <c r="Q409" s="652" t="s">
        <v>2708</v>
      </c>
      <c r="R409" s="23"/>
      <c r="S409" s="10">
        <f t="shared" si="86"/>
        <v>325000</v>
      </c>
      <c r="T409" s="10">
        <f t="shared" si="87"/>
        <v>-324000</v>
      </c>
      <c r="U409" s="10">
        <f t="shared" si="95"/>
        <v>0</v>
      </c>
      <c r="V409" s="10">
        <f t="shared" si="88"/>
        <v>1300000</v>
      </c>
      <c r="W409" s="10">
        <f t="shared" si="89"/>
        <v>0</v>
      </c>
      <c r="X409" s="10">
        <f t="shared" si="90"/>
        <v>0</v>
      </c>
    </row>
    <row r="410" spans="1:24" s="9" customFormat="1" ht="13.5" customHeight="1" x14ac:dyDescent="0.2">
      <c r="A410" s="64">
        <f t="shared" si="91"/>
        <v>406</v>
      </c>
      <c r="B410" s="143" t="s">
        <v>1846</v>
      </c>
      <c r="C410" s="648">
        <v>40702</v>
      </c>
      <c r="D410" s="372">
        <v>527273</v>
      </c>
      <c r="E410" s="649"/>
      <c r="F410" s="73">
        <f t="shared" si="84"/>
        <v>527273</v>
      </c>
      <c r="G410" s="73">
        <v>526273</v>
      </c>
      <c r="H410" s="73">
        <f t="shared" si="92"/>
        <v>1000</v>
      </c>
      <c r="I410" s="74">
        <v>5</v>
      </c>
      <c r="J410" s="74">
        <v>0.2</v>
      </c>
      <c r="K410" s="68">
        <v>0</v>
      </c>
      <c r="L410" s="110">
        <f t="shared" si="93"/>
        <v>0</v>
      </c>
      <c r="M410" s="73">
        <f t="shared" si="94"/>
        <v>526273</v>
      </c>
      <c r="N410" s="484">
        <f t="shared" si="85"/>
        <v>1000</v>
      </c>
      <c r="O410" s="150" t="s">
        <v>2709</v>
      </c>
      <c r="P410" s="660">
        <v>1</v>
      </c>
      <c r="Q410" s="652" t="s">
        <v>2710</v>
      </c>
      <c r="R410" s="23"/>
      <c r="S410" s="10">
        <f t="shared" si="86"/>
        <v>26363.65</v>
      </c>
      <c r="T410" s="10">
        <f t="shared" si="87"/>
        <v>-25363.65</v>
      </c>
      <c r="U410" s="10">
        <f t="shared" si="95"/>
        <v>0</v>
      </c>
      <c r="V410" s="10">
        <f t="shared" si="88"/>
        <v>105454.6</v>
      </c>
      <c r="W410" s="10">
        <f t="shared" si="89"/>
        <v>0</v>
      </c>
      <c r="X410" s="10">
        <f t="shared" si="90"/>
        <v>0</v>
      </c>
    </row>
    <row r="411" spans="1:24" s="9" customFormat="1" ht="13.5" customHeight="1" x14ac:dyDescent="0.2">
      <c r="A411" s="64">
        <f t="shared" si="91"/>
        <v>407</v>
      </c>
      <c r="B411" s="143" t="s">
        <v>2711</v>
      </c>
      <c r="C411" s="648">
        <v>40910</v>
      </c>
      <c r="D411" s="372">
        <v>454545</v>
      </c>
      <c r="E411" s="649"/>
      <c r="F411" s="73">
        <f t="shared" si="84"/>
        <v>454545</v>
      </c>
      <c r="G411" s="73">
        <v>453545</v>
      </c>
      <c r="H411" s="73">
        <f t="shared" si="92"/>
        <v>1000</v>
      </c>
      <c r="I411" s="74">
        <v>5</v>
      </c>
      <c r="J411" s="74">
        <v>0.2</v>
      </c>
      <c r="K411" s="68">
        <v>0</v>
      </c>
      <c r="L411" s="110">
        <f t="shared" si="93"/>
        <v>0</v>
      </c>
      <c r="M411" s="73">
        <f t="shared" si="94"/>
        <v>453545</v>
      </c>
      <c r="N411" s="484">
        <f t="shared" si="85"/>
        <v>1000</v>
      </c>
      <c r="O411" s="150" t="s">
        <v>2177</v>
      </c>
      <c r="P411" s="660">
        <v>1</v>
      </c>
      <c r="Q411" s="652" t="s">
        <v>2712</v>
      </c>
      <c r="R411" s="23"/>
      <c r="S411" s="10">
        <f t="shared" ref="S411:S457" si="96">F411*0.05</f>
        <v>22727.25</v>
      </c>
      <c r="T411" s="10">
        <f t="shared" si="87"/>
        <v>-21727.25</v>
      </c>
      <c r="U411" s="10">
        <f t="shared" si="95"/>
        <v>0</v>
      </c>
      <c r="V411" s="10">
        <f t="shared" si="88"/>
        <v>90909</v>
      </c>
      <c r="W411" s="10">
        <f t="shared" si="89"/>
        <v>0</v>
      </c>
      <c r="X411" s="10">
        <f t="shared" si="90"/>
        <v>0</v>
      </c>
    </row>
    <row r="412" spans="1:24" s="9" customFormat="1" ht="13.5" customHeight="1" x14ac:dyDescent="0.2">
      <c r="A412" s="64">
        <f t="shared" si="91"/>
        <v>408</v>
      </c>
      <c r="B412" s="143" t="s">
        <v>2713</v>
      </c>
      <c r="C412" s="648">
        <v>41079</v>
      </c>
      <c r="D412" s="372">
        <v>500000</v>
      </c>
      <c r="E412" s="649"/>
      <c r="F412" s="73">
        <f t="shared" si="84"/>
        <v>500000</v>
      </c>
      <c r="G412" s="73">
        <v>499000</v>
      </c>
      <c r="H412" s="73">
        <f t="shared" si="92"/>
        <v>1000</v>
      </c>
      <c r="I412" s="74">
        <v>5</v>
      </c>
      <c r="J412" s="74">
        <v>0.2</v>
      </c>
      <c r="K412" s="68">
        <v>0</v>
      </c>
      <c r="L412" s="110">
        <f t="shared" si="93"/>
        <v>0</v>
      </c>
      <c r="M412" s="73">
        <f t="shared" si="94"/>
        <v>499000</v>
      </c>
      <c r="N412" s="484">
        <f t="shared" si="85"/>
        <v>1000</v>
      </c>
      <c r="O412" s="150" t="s">
        <v>2177</v>
      </c>
      <c r="P412" s="660">
        <v>4</v>
      </c>
      <c r="Q412" s="652"/>
      <c r="R412" s="23"/>
      <c r="S412" s="10">
        <f t="shared" si="96"/>
        <v>25000</v>
      </c>
      <c r="T412" s="10">
        <f t="shared" si="87"/>
        <v>-24000</v>
      </c>
      <c r="U412" s="10">
        <f t="shared" si="95"/>
        <v>0</v>
      </c>
      <c r="V412" s="10">
        <f t="shared" si="88"/>
        <v>100000</v>
      </c>
      <c r="W412" s="10">
        <f t="shared" si="89"/>
        <v>0</v>
      </c>
      <c r="X412" s="10">
        <f t="shared" si="90"/>
        <v>0</v>
      </c>
    </row>
    <row r="413" spans="1:24" s="9" customFormat="1" ht="13.5" customHeight="1" x14ac:dyDescent="0.2">
      <c r="A413" s="64">
        <f t="shared" si="91"/>
        <v>409</v>
      </c>
      <c r="B413" s="143" t="s">
        <v>2714</v>
      </c>
      <c r="C413" s="648">
        <v>41079</v>
      </c>
      <c r="D413" s="372">
        <v>260000</v>
      </c>
      <c r="E413" s="649"/>
      <c r="F413" s="73">
        <f t="shared" si="84"/>
        <v>260000</v>
      </c>
      <c r="G413" s="73">
        <v>259000</v>
      </c>
      <c r="H413" s="73">
        <f t="shared" si="92"/>
        <v>1000</v>
      </c>
      <c r="I413" s="74">
        <v>5</v>
      </c>
      <c r="J413" s="74">
        <v>0.2</v>
      </c>
      <c r="K413" s="68">
        <v>0</v>
      </c>
      <c r="L413" s="110">
        <f t="shared" si="93"/>
        <v>0</v>
      </c>
      <c r="M413" s="73">
        <f t="shared" si="94"/>
        <v>259000</v>
      </c>
      <c r="N413" s="484">
        <f t="shared" si="85"/>
        <v>1000</v>
      </c>
      <c r="O413" s="150" t="s">
        <v>2177</v>
      </c>
      <c r="P413" s="660">
        <v>4</v>
      </c>
      <c r="Q413" s="652"/>
      <c r="R413" s="23"/>
      <c r="S413" s="10">
        <f t="shared" si="96"/>
        <v>13000</v>
      </c>
      <c r="T413" s="10">
        <f t="shared" si="87"/>
        <v>-12000</v>
      </c>
      <c r="U413" s="10">
        <f t="shared" si="95"/>
        <v>0</v>
      </c>
      <c r="V413" s="10">
        <f t="shared" si="88"/>
        <v>52000</v>
      </c>
      <c r="W413" s="10">
        <f t="shared" si="89"/>
        <v>0</v>
      </c>
      <c r="X413" s="10">
        <f t="shared" si="90"/>
        <v>0</v>
      </c>
    </row>
    <row r="414" spans="1:24" s="9" customFormat="1" ht="13.5" customHeight="1" x14ac:dyDescent="0.2">
      <c r="A414" s="64">
        <f t="shared" si="91"/>
        <v>410</v>
      </c>
      <c r="B414" s="143" t="s">
        <v>2715</v>
      </c>
      <c r="C414" s="648">
        <v>41079</v>
      </c>
      <c r="D414" s="372">
        <v>260000</v>
      </c>
      <c r="E414" s="649"/>
      <c r="F414" s="73">
        <f t="shared" si="84"/>
        <v>260000</v>
      </c>
      <c r="G414" s="73">
        <v>259000</v>
      </c>
      <c r="H414" s="73">
        <f t="shared" si="92"/>
        <v>1000</v>
      </c>
      <c r="I414" s="74">
        <v>5</v>
      </c>
      <c r="J414" s="74">
        <v>0.2</v>
      </c>
      <c r="K414" s="68">
        <v>0</v>
      </c>
      <c r="L414" s="110">
        <f t="shared" si="93"/>
        <v>0</v>
      </c>
      <c r="M414" s="73">
        <f t="shared" si="94"/>
        <v>259000</v>
      </c>
      <c r="N414" s="484">
        <f t="shared" si="85"/>
        <v>1000</v>
      </c>
      <c r="O414" s="150" t="s">
        <v>2177</v>
      </c>
      <c r="P414" s="660">
        <v>4</v>
      </c>
      <c r="Q414" s="652"/>
      <c r="R414" s="23"/>
      <c r="S414" s="10">
        <f t="shared" si="96"/>
        <v>13000</v>
      </c>
      <c r="T414" s="10">
        <f t="shared" si="87"/>
        <v>-12000</v>
      </c>
      <c r="U414" s="10">
        <f t="shared" si="95"/>
        <v>0</v>
      </c>
      <c r="V414" s="10">
        <f t="shared" si="88"/>
        <v>52000</v>
      </c>
      <c r="W414" s="10">
        <f t="shared" si="89"/>
        <v>0</v>
      </c>
      <c r="X414" s="10">
        <f t="shared" si="90"/>
        <v>0</v>
      </c>
    </row>
    <row r="415" spans="1:24" s="9" customFormat="1" ht="13.5" customHeight="1" x14ac:dyDescent="0.2">
      <c r="A415" s="64">
        <f t="shared" si="91"/>
        <v>411</v>
      </c>
      <c r="B415" s="143" t="s">
        <v>2716</v>
      </c>
      <c r="C415" s="648">
        <v>41079</v>
      </c>
      <c r="D415" s="372">
        <v>120000</v>
      </c>
      <c r="E415" s="649"/>
      <c r="F415" s="73">
        <f t="shared" si="84"/>
        <v>120000</v>
      </c>
      <c r="G415" s="73">
        <v>119000</v>
      </c>
      <c r="H415" s="73">
        <f t="shared" si="92"/>
        <v>1000</v>
      </c>
      <c r="I415" s="74">
        <v>5</v>
      </c>
      <c r="J415" s="74">
        <v>0.2</v>
      </c>
      <c r="K415" s="68">
        <v>0</v>
      </c>
      <c r="L415" s="110">
        <f t="shared" si="93"/>
        <v>0</v>
      </c>
      <c r="M415" s="73">
        <f t="shared" si="94"/>
        <v>119000</v>
      </c>
      <c r="N415" s="484">
        <f t="shared" si="85"/>
        <v>1000</v>
      </c>
      <c r="O415" s="150" t="s">
        <v>2177</v>
      </c>
      <c r="P415" s="660">
        <v>1</v>
      </c>
      <c r="Q415" s="652"/>
      <c r="R415" s="23"/>
      <c r="S415" s="10">
        <f t="shared" si="96"/>
        <v>6000</v>
      </c>
      <c r="T415" s="10">
        <f t="shared" si="87"/>
        <v>-5000</v>
      </c>
      <c r="U415" s="10">
        <f t="shared" si="95"/>
        <v>0</v>
      </c>
      <c r="V415" s="10">
        <f t="shared" si="88"/>
        <v>24000</v>
      </c>
      <c r="W415" s="10">
        <f t="shared" si="89"/>
        <v>0</v>
      </c>
      <c r="X415" s="10">
        <f t="shared" si="90"/>
        <v>0</v>
      </c>
    </row>
    <row r="416" spans="1:24" s="9" customFormat="1" ht="13.5" customHeight="1" x14ac:dyDescent="0.2">
      <c r="A416" s="64">
        <f t="shared" si="91"/>
        <v>412</v>
      </c>
      <c r="B416" s="143" t="s">
        <v>1846</v>
      </c>
      <c r="C416" s="648">
        <v>41176</v>
      </c>
      <c r="D416" s="372">
        <v>410000</v>
      </c>
      <c r="E416" s="649"/>
      <c r="F416" s="73">
        <f t="shared" si="84"/>
        <v>410000</v>
      </c>
      <c r="G416" s="73">
        <v>409000</v>
      </c>
      <c r="H416" s="73">
        <f t="shared" si="92"/>
        <v>1000</v>
      </c>
      <c r="I416" s="74">
        <v>5</v>
      </c>
      <c r="J416" s="74">
        <v>0.2</v>
      </c>
      <c r="K416" s="68">
        <v>0</v>
      </c>
      <c r="L416" s="110">
        <f t="shared" si="93"/>
        <v>0</v>
      </c>
      <c r="M416" s="73">
        <f t="shared" si="94"/>
        <v>409000</v>
      </c>
      <c r="N416" s="484">
        <f t="shared" si="85"/>
        <v>1000</v>
      </c>
      <c r="O416" s="150" t="s">
        <v>2717</v>
      </c>
      <c r="P416" s="660">
        <v>1</v>
      </c>
      <c r="Q416" s="652" t="s">
        <v>2718</v>
      </c>
      <c r="R416" s="23"/>
      <c r="S416" s="10">
        <f t="shared" si="96"/>
        <v>20500</v>
      </c>
      <c r="T416" s="10">
        <f t="shared" si="87"/>
        <v>-19500</v>
      </c>
      <c r="U416" s="10">
        <f t="shared" si="95"/>
        <v>0</v>
      </c>
      <c r="V416" s="10">
        <f t="shared" si="88"/>
        <v>82000</v>
      </c>
      <c r="W416" s="10">
        <f t="shared" si="89"/>
        <v>0</v>
      </c>
      <c r="X416" s="10">
        <f t="shared" si="90"/>
        <v>0</v>
      </c>
    </row>
    <row r="417" spans="1:24" s="9" customFormat="1" ht="13.5" customHeight="1" x14ac:dyDescent="0.2">
      <c r="A417" s="64">
        <f t="shared" si="91"/>
        <v>413</v>
      </c>
      <c r="B417" s="143" t="s">
        <v>1840</v>
      </c>
      <c r="C417" s="648">
        <v>41213</v>
      </c>
      <c r="D417" s="372">
        <v>480000</v>
      </c>
      <c r="E417" s="649"/>
      <c r="F417" s="73">
        <f t="shared" si="84"/>
        <v>480000</v>
      </c>
      <c r="G417" s="73">
        <v>479000</v>
      </c>
      <c r="H417" s="73">
        <f t="shared" si="92"/>
        <v>1000</v>
      </c>
      <c r="I417" s="74">
        <v>5</v>
      </c>
      <c r="J417" s="74">
        <v>0.2</v>
      </c>
      <c r="K417" s="68">
        <v>0</v>
      </c>
      <c r="L417" s="110">
        <f t="shared" si="93"/>
        <v>0</v>
      </c>
      <c r="M417" s="73">
        <f t="shared" si="94"/>
        <v>479000</v>
      </c>
      <c r="N417" s="484">
        <f t="shared" si="85"/>
        <v>1000</v>
      </c>
      <c r="O417" s="150" t="s">
        <v>2717</v>
      </c>
      <c r="P417" s="660">
        <v>1</v>
      </c>
      <c r="Q417" s="652" t="s">
        <v>2362</v>
      </c>
      <c r="R417" s="23"/>
      <c r="S417" s="10">
        <f t="shared" si="96"/>
        <v>24000</v>
      </c>
      <c r="T417" s="10">
        <f t="shared" si="87"/>
        <v>-23000</v>
      </c>
      <c r="U417" s="10">
        <f t="shared" si="95"/>
        <v>0</v>
      </c>
      <c r="V417" s="10">
        <f t="shared" si="88"/>
        <v>96000</v>
      </c>
      <c r="W417" s="10">
        <f t="shared" si="89"/>
        <v>0</v>
      </c>
      <c r="X417" s="10">
        <f t="shared" si="90"/>
        <v>0</v>
      </c>
    </row>
    <row r="418" spans="1:24" s="9" customFormat="1" ht="13.5" customHeight="1" x14ac:dyDescent="0.2">
      <c r="A418" s="64">
        <f t="shared" si="91"/>
        <v>414</v>
      </c>
      <c r="B418" s="143" t="s">
        <v>1846</v>
      </c>
      <c r="C418" s="648">
        <v>41248</v>
      </c>
      <c r="D418" s="372">
        <v>990000</v>
      </c>
      <c r="E418" s="649"/>
      <c r="F418" s="73">
        <f t="shared" si="84"/>
        <v>990000</v>
      </c>
      <c r="G418" s="73">
        <v>989000</v>
      </c>
      <c r="H418" s="73">
        <f t="shared" si="92"/>
        <v>1000</v>
      </c>
      <c r="I418" s="74">
        <v>5</v>
      </c>
      <c r="J418" s="74">
        <v>0.2</v>
      </c>
      <c r="K418" s="68">
        <v>0</v>
      </c>
      <c r="L418" s="110">
        <f t="shared" si="93"/>
        <v>0</v>
      </c>
      <c r="M418" s="73">
        <f t="shared" si="94"/>
        <v>989000</v>
      </c>
      <c r="N418" s="484">
        <f t="shared" si="85"/>
        <v>1000</v>
      </c>
      <c r="O418" s="150" t="s">
        <v>2717</v>
      </c>
      <c r="P418" s="660">
        <v>2</v>
      </c>
      <c r="Q418" s="652" t="s">
        <v>2362</v>
      </c>
      <c r="R418" s="23"/>
      <c r="S418" s="10">
        <f t="shared" si="96"/>
        <v>49500</v>
      </c>
      <c r="T418" s="10">
        <f t="shared" si="87"/>
        <v>-48500</v>
      </c>
      <c r="U418" s="10">
        <f t="shared" si="95"/>
        <v>0</v>
      </c>
      <c r="V418" s="10">
        <f t="shared" si="88"/>
        <v>198000</v>
      </c>
      <c r="W418" s="10">
        <f t="shared" si="89"/>
        <v>0</v>
      </c>
      <c r="X418" s="10">
        <f t="shared" si="90"/>
        <v>0</v>
      </c>
    </row>
    <row r="419" spans="1:24" s="9" customFormat="1" ht="13.5" customHeight="1" x14ac:dyDescent="0.2">
      <c r="A419" s="64">
        <f t="shared" si="91"/>
        <v>415</v>
      </c>
      <c r="B419" s="143" t="s">
        <v>1846</v>
      </c>
      <c r="C419" s="648">
        <v>41353</v>
      </c>
      <c r="D419" s="649">
        <v>955455</v>
      </c>
      <c r="E419" s="649"/>
      <c r="F419" s="73">
        <f t="shared" si="84"/>
        <v>955455</v>
      </c>
      <c r="G419" s="73">
        <v>954455</v>
      </c>
      <c r="H419" s="73">
        <f t="shared" si="92"/>
        <v>1000</v>
      </c>
      <c r="I419" s="74">
        <v>5</v>
      </c>
      <c r="J419" s="74">
        <v>0.2</v>
      </c>
      <c r="K419" s="68">
        <v>0</v>
      </c>
      <c r="L419" s="110">
        <f t="shared" si="93"/>
        <v>0</v>
      </c>
      <c r="M419" s="73">
        <f t="shared" si="94"/>
        <v>954455</v>
      </c>
      <c r="N419" s="484">
        <f t="shared" si="85"/>
        <v>1000</v>
      </c>
      <c r="O419" s="150" t="s">
        <v>2719</v>
      </c>
      <c r="P419" s="660">
        <v>1</v>
      </c>
      <c r="Q419" s="652"/>
      <c r="R419" s="23"/>
      <c r="S419" s="10">
        <f t="shared" si="96"/>
        <v>47772.75</v>
      </c>
      <c r="T419" s="10">
        <f t="shared" si="87"/>
        <v>-46772.75</v>
      </c>
      <c r="U419" s="10">
        <f t="shared" si="95"/>
        <v>0</v>
      </c>
      <c r="V419" s="10">
        <f t="shared" si="88"/>
        <v>191091</v>
      </c>
      <c r="W419" s="10">
        <f>ROUND(IF(H419&lt;=1000,0,V419/12*2),0)-1001</f>
        <v>-1001</v>
      </c>
      <c r="X419" s="10">
        <f t="shared" si="90"/>
        <v>1001</v>
      </c>
    </row>
    <row r="420" spans="1:24" s="9" customFormat="1" ht="13.5" customHeight="1" x14ac:dyDescent="0.2">
      <c r="A420" s="64">
        <f t="shared" si="91"/>
        <v>416</v>
      </c>
      <c r="B420" s="143" t="s">
        <v>1873</v>
      </c>
      <c r="C420" s="648">
        <v>41409</v>
      </c>
      <c r="D420" s="649">
        <v>258000</v>
      </c>
      <c r="E420" s="649"/>
      <c r="F420" s="73">
        <f t="shared" si="84"/>
        <v>258000</v>
      </c>
      <c r="G420" s="73">
        <v>257000</v>
      </c>
      <c r="H420" s="73">
        <f t="shared" si="92"/>
        <v>1000</v>
      </c>
      <c r="I420" s="74">
        <v>5</v>
      </c>
      <c r="J420" s="74">
        <v>0.2</v>
      </c>
      <c r="K420" s="68">
        <v>0</v>
      </c>
      <c r="L420" s="110">
        <f t="shared" si="93"/>
        <v>0</v>
      </c>
      <c r="M420" s="73">
        <f t="shared" si="94"/>
        <v>257000</v>
      </c>
      <c r="N420" s="484">
        <f t="shared" si="85"/>
        <v>1000</v>
      </c>
      <c r="O420" s="150" t="s">
        <v>2177</v>
      </c>
      <c r="P420" s="660">
        <v>1</v>
      </c>
      <c r="Q420" s="652"/>
      <c r="R420" s="23"/>
      <c r="S420" s="10">
        <f t="shared" si="96"/>
        <v>12900</v>
      </c>
      <c r="T420" s="10">
        <f t="shared" si="87"/>
        <v>-11900</v>
      </c>
      <c r="U420" s="10">
        <f t="shared" si="95"/>
        <v>0</v>
      </c>
      <c r="V420" s="10">
        <f t="shared" si="88"/>
        <v>51600</v>
      </c>
      <c r="W420" s="10">
        <f>ROUND(IF(H420&lt;=1000,0,V420/12*K420),0)-1000</f>
        <v>-1000</v>
      </c>
      <c r="X420" s="10">
        <f t="shared" si="90"/>
        <v>1000</v>
      </c>
    </row>
    <row r="421" spans="1:24" s="9" customFormat="1" ht="13.5" customHeight="1" x14ac:dyDescent="0.2">
      <c r="A421" s="64">
        <f t="shared" si="91"/>
        <v>417</v>
      </c>
      <c r="B421" s="143" t="s">
        <v>1846</v>
      </c>
      <c r="C421" s="648">
        <v>41421</v>
      </c>
      <c r="D421" s="649">
        <v>463281</v>
      </c>
      <c r="E421" s="649"/>
      <c r="F421" s="73">
        <f t="shared" si="84"/>
        <v>463281</v>
      </c>
      <c r="G421" s="73">
        <v>462281</v>
      </c>
      <c r="H421" s="73">
        <f t="shared" si="92"/>
        <v>1000</v>
      </c>
      <c r="I421" s="74">
        <v>5</v>
      </c>
      <c r="J421" s="74">
        <v>0.2</v>
      </c>
      <c r="K421" s="68">
        <v>0</v>
      </c>
      <c r="L421" s="110">
        <f>ROUND(IF(F421*J421*K421/12&gt;=H421,H421-1000,F421*J421*K421/12),0)</f>
        <v>0</v>
      </c>
      <c r="M421" s="73">
        <f t="shared" si="94"/>
        <v>462281</v>
      </c>
      <c r="N421" s="484">
        <f t="shared" si="85"/>
        <v>1000</v>
      </c>
      <c r="O421" s="150" t="s">
        <v>2720</v>
      </c>
      <c r="P421" s="660">
        <v>1</v>
      </c>
      <c r="Q421" s="652" t="s">
        <v>2362</v>
      </c>
      <c r="R421" s="23"/>
      <c r="S421" s="10">
        <f t="shared" si="96"/>
        <v>23164.050000000003</v>
      </c>
      <c r="T421" s="10">
        <f t="shared" si="87"/>
        <v>-22164.050000000003</v>
      </c>
      <c r="U421" s="10">
        <f t="shared" si="95"/>
        <v>0</v>
      </c>
      <c r="V421" s="10">
        <f t="shared" si="88"/>
        <v>92656.2</v>
      </c>
      <c r="W421" s="10">
        <f>ROUND(IF(H421&lt;=1000,0,V421/12*K421),0)-999</f>
        <v>-999</v>
      </c>
      <c r="X421" s="10">
        <f t="shared" si="90"/>
        <v>999</v>
      </c>
    </row>
    <row r="422" spans="1:24" s="9" customFormat="1" ht="13.5" customHeight="1" x14ac:dyDescent="0.2">
      <c r="A422" s="64">
        <f t="shared" si="91"/>
        <v>418</v>
      </c>
      <c r="B422" s="143" t="s">
        <v>2721</v>
      </c>
      <c r="C422" s="648">
        <v>41689</v>
      </c>
      <c r="D422" s="649">
        <v>770000</v>
      </c>
      <c r="E422" s="649"/>
      <c r="F422" s="73">
        <f t="shared" si="84"/>
        <v>770000</v>
      </c>
      <c r="G422" s="73">
        <v>769000</v>
      </c>
      <c r="H422" s="73">
        <f t="shared" si="92"/>
        <v>1000</v>
      </c>
      <c r="I422" s="74">
        <v>5</v>
      </c>
      <c r="J422" s="74">
        <v>0.2</v>
      </c>
      <c r="K422" s="68">
        <v>0</v>
      </c>
      <c r="L422" s="110">
        <f t="shared" ref="L422:L457" si="97">ROUND(IF(F422*J422*K422/12&gt;=H422,H422-1000,F422*J422*K422/12),0)</f>
        <v>0</v>
      </c>
      <c r="M422" s="73">
        <f t="shared" si="94"/>
        <v>769000</v>
      </c>
      <c r="N422" s="484">
        <f t="shared" si="85"/>
        <v>1000</v>
      </c>
      <c r="O422" s="150" t="s">
        <v>2722</v>
      </c>
      <c r="P422" s="660">
        <v>1</v>
      </c>
      <c r="Q422" s="652" t="s">
        <v>2723</v>
      </c>
      <c r="R422" s="23"/>
      <c r="S422" s="10">
        <f t="shared" si="96"/>
        <v>38500</v>
      </c>
      <c r="T422" s="10">
        <f t="shared" si="87"/>
        <v>-37500</v>
      </c>
      <c r="U422" s="10">
        <f t="shared" si="95"/>
        <v>0</v>
      </c>
      <c r="V422" s="10">
        <f t="shared" si="88"/>
        <v>154000</v>
      </c>
      <c r="W422" s="10">
        <f>ROUND(IF(H422&lt;=1000,0,V422/12*K422),0)-1000</f>
        <v>-1000</v>
      </c>
      <c r="X422" s="10">
        <f t="shared" si="90"/>
        <v>1000</v>
      </c>
    </row>
    <row r="423" spans="1:24" s="9" customFormat="1" ht="13.5" customHeight="1" x14ac:dyDescent="0.2">
      <c r="A423" s="64">
        <f t="shared" si="91"/>
        <v>419</v>
      </c>
      <c r="B423" s="143" t="s">
        <v>2721</v>
      </c>
      <c r="C423" s="648">
        <v>41689</v>
      </c>
      <c r="D423" s="649">
        <v>770000</v>
      </c>
      <c r="E423" s="649"/>
      <c r="F423" s="73">
        <f t="shared" si="84"/>
        <v>770000</v>
      </c>
      <c r="G423" s="73">
        <v>769000</v>
      </c>
      <c r="H423" s="73">
        <f t="shared" si="92"/>
        <v>1000</v>
      </c>
      <c r="I423" s="74">
        <v>5</v>
      </c>
      <c r="J423" s="74">
        <v>0.2</v>
      </c>
      <c r="K423" s="68">
        <v>0</v>
      </c>
      <c r="L423" s="110">
        <f t="shared" si="97"/>
        <v>0</v>
      </c>
      <c r="M423" s="73">
        <f t="shared" si="94"/>
        <v>769000</v>
      </c>
      <c r="N423" s="484">
        <f t="shared" si="85"/>
        <v>1000</v>
      </c>
      <c r="O423" s="150" t="s">
        <v>2722</v>
      </c>
      <c r="P423" s="660">
        <v>1</v>
      </c>
      <c r="Q423" s="652" t="s">
        <v>2724</v>
      </c>
      <c r="R423" s="23"/>
      <c r="S423" s="10">
        <f t="shared" si="96"/>
        <v>38500</v>
      </c>
      <c r="T423" s="10">
        <f t="shared" si="87"/>
        <v>-37500</v>
      </c>
      <c r="U423" s="10">
        <f t="shared" si="95"/>
        <v>0</v>
      </c>
      <c r="V423" s="10">
        <f t="shared" si="88"/>
        <v>154000</v>
      </c>
      <c r="W423" s="10">
        <f>ROUND(IF(H423&lt;=1000,0,V423/12*K423),0)-1000</f>
        <v>-1000</v>
      </c>
      <c r="X423" s="10">
        <f t="shared" si="90"/>
        <v>1000</v>
      </c>
    </row>
    <row r="424" spans="1:24" s="9" customFormat="1" ht="13.5" customHeight="1" x14ac:dyDescent="0.2">
      <c r="A424" s="272">
        <f t="shared" si="91"/>
        <v>420</v>
      </c>
      <c r="B424" s="143" t="s">
        <v>1840</v>
      </c>
      <c r="C424" s="648">
        <v>41787</v>
      </c>
      <c r="D424" s="649">
        <v>600000</v>
      </c>
      <c r="E424" s="649"/>
      <c r="F424" s="73">
        <f t="shared" si="84"/>
        <v>600000</v>
      </c>
      <c r="G424" s="73">
        <v>599000</v>
      </c>
      <c r="H424" s="73">
        <f t="shared" si="92"/>
        <v>1000</v>
      </c>
      <c r="I424" s="74">
        <v>5</v>
      </c>
      <c r="J424" s="74">
        <v>0.2</v>
      </c>
      <c r="K424" s="68">
        <v>0</v>
      </c>
      <c r="L424" s="110">
        <f t="shared" si="97"/>
        <v>0</v>
      </c>
      <c r="M424" s="73">
        <f t="shared" si="94"/>
        <v>599000</v>
      </c>
      <c r="N424" s="484">
        <f t="shared" si="85"/>
        <v>1000</v>
      </c>
      <c r="O424" s="150" t="s">
        <v>2722</v>
      </c>
      <c r="P424" s="660">
        <v>1</v>
      </c>
      <c r="Q424" s="652" t="s">
        <v>2362</v>
      </c>
      <c r="R424" s="23"/>
      <c r="S424" s="10">
        <f t="shared" si="96"/>
        <v>30000</v>
      </c>
      <c r="T424" s="10">
        <f t="shared" si="87"/>
        <v>-29000</v>
      </c>
      <c r="U424" s="10">
        <f t="shared" si="95"/>
        <v>0</v>
      </c>
      <c r="V424" s="10">
        <f t="shared" si="88"/>
        <v>120000</v>
      </c>
      <c r="W424" s="10">
        <f t="shared" ref="W424:W457" si="98">ROUND(IF(H424&lt;=1000,0,V424/12*K424),0)</f>
        <v>0</v>
      </c>
      <c r="X424" s="10">
        <f t="shared" si="90"/>
        <v>0</v>
      </c>
    </row>
    <row r="425" spans="1:24" s="9" customFormat="1" ht="13.5" customHeight="1" x14ac:dyDescent="0.2">
      <c r="A425" s="272">
        <f t="shared" si="91"/>
        <v>421</v>
      </c>
      <c r="B425" s="143" t="s">
        <v>2725</v>
      </c>
      <c r="C425" s="648">
        <v>41827</v>
      </c>
      <c r="D425" s="649">
        <v>340000</v>
      </c>
      <c r="E425" s="649"/>
      <c r="F425" s="73">
        <f t="shared" si="84"/>
        <v>340000</v>
      </c>
      <c r="G425" s="73">
        <v>339000</v>
      </c>
      <c r="H425" s="73">
        <f t="shared" si="92"/>
        <v>1000</v>
      </c>
      <c r="I425" s="74">
        <v>5</v>
      </c>
      <c r="J425" s="74">
        <v>0.2</v>
      </c>
      <c r="K425" s="68">
        <v>0</v>
      </c>
      <c r="L425" s="110">
        <f t="shared" si="97"/>
        <v>0</v>
      </c>
      <c r="M425" s="73">
        <f t="shared" si="94"/>
        <v>339000</v>
      </c>
      <c r="N425" s="484">
        <f t="shared" si="85"/>
        <v>1000</v>
      </c>
      <c r="O425" s="150" t="s">
        <v>2177</v>
      </c>
      <c r="P425" s="660">
        <v>4</v>
      </c>
      <c r="Q425" s="652" t="s">
        <v>2726</v>
      </c>
      <c r="R425" s="23"/>
      <c r="S425" s="10">
        <f t="shared" si="96"/>
        <v>17000</v>
      </c>
      <c r="T425" s="10">
        <f t="shared" si="87"/>
        <v>-16000</v>
      </c>
      <c r="U425" s="10">
        <f t="shared" si="95"/>
        <v>0</v>
      </c>
      <c r="V425" s="10">
        <f t="shared" si="88"/>
        <v>68000</v>
      </c>
      <c r="W425" s="10">
        <f t="shared" si="98"/>
        <v>0</v>
      </c>
      <c r="X425" s="10">
        <f t="shared" si="90"/>
        <v>0</v>
      </c>
    </row>
    <row r="426" spans="1:24" s="9" customFormat="1" ht="13.5" customHeight="1" x14ac:dyDescent="0.2">
      <c r="A426" s="272">
        <f t="shared" si="91"/>
        <v>422</v>
      </c>
      <c r="B426" s="143" t="s">
        <v>2727</v>
      </c>
      <c r="C426" s="648">
        <v>41827</v>
      </c>
      <c r="D426" s="649">
        <v>384000</v>
      </c>
      <c r="E426" s="649"/>
      <c r="F426" s="73">
        <f t="shared" si="84"/>
        <v>384000</v>
      </c>
      <c r="G426" s="73">
        <v>383000</v>
      </c>
      <c r="H426" s="73">
        <f t="shared" si="92"/>
        <v>1000</v>
      </c>
      <c r="I426" s="74">
        <v>5</v>
      </c>
      <c r="J426" s="74">
        <v>0.2</v>
      </c>
      <c r="K426" s="68">
        <v>0</v>
      </c>
      <c r="L426" s="110">
        <f t="shared" si="97"/>
        <v>0</v>
      </c>
      <c r="M426" s="73">
        <f t="shared" si="94"/>
        <v>383000</v>
      </c>
      <c r="N426" s="484">
        <f t="shared" si="85"/>
        <v>1000</v>
      </c>
      <c r="O426" s="150" t="s">
        <v>2177</v>
      </c>
      <c r="P426" s="660">
        <v>8</v>
      </c>
      <c r="Q426" s="652" t="s">
        <v>2726</v>
      </c>
      <c r="R426" s="23"/>
      <c r="S426" s="10">
        <f t="shared" si="96"/>
        <v>19200</v>
      </c>
      <c r="T426" s="10">
        <f t="shared" si="87"/>
        <v>-18200</v>
      </c>
      <c r="U426" s="10">
        <f t="shared" si="95"/>
        <v>0</v>
      </c>
      <c r="V426" s="10">
        <f t="shared" si="88"/>
        <v>76800</v>
      </c>
      <c r="W426" s="10">
        <f t="shared" si="98"/>
        <v>0</v>
      </c>
      <c r="X426" s="10">
        <f t="shared" si="90"/>
        <v>0</v>
      </c>
    </row>
    <row r="427" spans="1:24" s="9" customFormat="1" ht="13.5" customHeight="1" x14ac:dyDescent="0.2">
      <c r="A427" s="272">
        <f t="shared" si="91"/>
        <v>423</v>
      </c>
      <c r="B427" s="143" t="s">
        <v>2728</v>
      </c>
      <c r="C427" s="648">
        <v>41827</v>
      </c>
      <c r="D427" s="649">
        <v>310000</v>
      </c>
      <c r="E427" s="649"/>
      <c r="F427" s="73">
        <f t="shared" si="84"/>
        <v>310000</v>
      </c>
      <c r="G427" s="73">
        <v>309000</v>
      </c>
      <c r="H427" s="73">
        <f t="shared" si="92"/>
        <v>1000</v>
      </c>
      <c r="I427" s="74">
        <v>5</v>
      </c>
      <c r="J427" s="74">
        <v>0.2</v>
      </c>
      <c r="K427" s="68">
        <v>0</v>
      </c>
      <c r="L427" s="110">
        <f t="shared" si="97"/>
        <v>0</v>
      </c>
      <c r="M427" s="73">
        <f t="shared" si="94"/>
        <v>309000</v>
      </c>
      <c r="N427" s="484">
        <f t="shared" si="85"/>
        <v>1000</v>
      </c>
      <c r="O427" s="150" t="s">
        <v>2177</v>
      </c>
      <c r="P427" s="660">
        <v>2</v>
      </c>
      <c r="Q427" s="652" t="s">
        <v>2726</v>
      </c>
      <c r="R427" s="23"/>
      <c r="S427" s="10">
        <f t="shared" si="96"/>
        <v>15500</v>
      </c>
      <c r="T427" s="10">
        <f t="shared" si="87"/>
        <v>-14500</v>
      </c>
      <c r="U427" s="10">
        <f t="shared" si="95"/>
        <v>0</v>
      </c>
      <c r="V427" s="10">
        <f t="shared" si="88"/>
        <v>62000</v>
      </c>
      <c r="W427" s="10">
        <f t="shared" si="98"/>
        <v>0</v>
      </c>
      <c r="X427" s="10">
        <f t="shared" si="90"/>
        <v>0</v>
      </c>
    </row>
    <row r="428" spans="1:24" s="9" customFormat="1" ht="13.5" customHeight="1" x14ac:dyDescent="0.2">
      <c r="A428" s="272">
        <f t="shared" si="91"/>
        <v>424</v>
      </c>
      <c r="B428" s="143" t="s">
        <v>2729</v>
      </c>
      <c r="C428" s="648">
        <v>41827</v>
      </c>
      <c r="D428" s="649">
        <v>960000</v>
      </c>
      <c r="E428" s="649"/>
      <c r="F428" s="73">
        <f t="shared" si="84"/>
        <v>960000</v>
      </c>
      <c r="G428" s="73">
        <v>959000</v>
      </c>
      <c r="H428" s="73">
        <f t="shared" si="92"/>
        <v>1000</v>
      </c>
      <c r="I428" s="74">
        <v>5</v>
      </c>
      <c r="J428" s="74">
        <v>0.2</v>
      </c>
      <c r="K428" s="68">
        <v>0</v>
      </c>
      <c r="L428" s="110">
        <f t="shared" si="97"/>
        <v>0</v>
      </c>
      <c r="M428" s="73">
        <f t="shared" si="94"/>
        <v>959000</v>
      </c>
      <c r="N428" s="484">
        <f t="shared" si="85"/>
        <v>1000</v>
      </c>
      <c r="O428" s="150" t="s">
        <v>2177</v>
      </c>
      <c r="P428" s="660">
        <v>6</v>
      </c>
      <c r="Q428" s="652" t="s">
        <v>2726</v>
      </c>
      <c r="R428" s="23"/>
      <c r="S428" s="10">
        <f t="shared" si="96"/>
        <v>48000</v>
      </c>
      <c r="T428" s="10">
        <f t="shared" si="87"/>
        <v>-47000</v>
      </c>
      <c r="U428" s="10">
        <f t="shared" si="95"/>
        <v>0</v>
      </c>
      <c r="V428" s="10">
        <f t="shared" si="88"/>
        <v>192000</v>
      </c>
      <c r="W428" s="10">
        <f t="shared" si="98"/>
        <v>0</v>
      </c>
      <c r="X428" s="10">
        <f t="shared" si="90"/>
        <v>0</v>
      </c>
    </row>
    <row r="429" spans="1:24" s="9" customFormat="1" ht="13.5" customHeight="1" x14ac:dyDescent="0.2">
      <c r="A429" s="272">
        <f t="shared" si="91"/>
        <v>425</v>
      </c>
      <c r="B429" s="143" t="s">
        <v>2730</v>
      </c>
      <c r="C429" s="648">
        <v>41827</v>
      </c>
      <c r="D429" s="649">
        <v>150000</v>
      </c>
      <c r="E429" s="649"/>
      <c r="F429" s="73">
        <f t="shared" si="84"/>
        <v>150000</v>
      </c>
      <c r="G429" s="73">
        <v>149000</v>
      </c>
      <c r="H429" s="73">
        <f t="shared" si="92"/>
        <v>1000</v>
      </c>
      <c r="I429" s="74">
        <v>5</v>
      </c>
      <c r="J429" s="74">
        <v>0.2</v>
      </c>
      <c r="K429" s="68">
        <v>0</v>
      </c>
      <c r="L429" s="110">
        <f t="shared" si="97"/>
        <v>0</v>
      </c>
      <c r="M429" s="73">
        <f t="shared" si="94"/>
        <v>149000</v>
      </c>
      <c r="N429" s="484">
        <f t="shared" si="85"/>
        <v>1000</v>
      </c>
      <c r="O429" s="150" t="s">
        <v>2177</v>
      </c>
      <c r="P429" s="660">
        <v>2</v>
      </c>
      <c r="Q429" s="652" t="s">
        <v>2726</v>
      </c>
      <c r="R429" s="23"/>
      <c r="S429" s="10">
        <f t="shared" si="96"/>
        <v>7500</v>
      </c>
      <c r="T429" s="10">
        <f t="shared" si="87"/>
        <v>-6500</v>
      </c>
      <c r="U429" s="10">
        <f t="shared" si="95"/>
        <v>0</v>
      </c>
      <c r="V429" s="10">
        <f t="shared" si="88"/>
        <v>30000</v>
      </c>
      <c r="W429" s="10">
        <f t="shared" si="98"/>
        <v>0</v>
      </c>
      <c r="X429" s="10">
        <f t="shared" si="90"/>
        <v>0</v>
      </c>
    </row>
    <row r="430" spans="1:24" s="9" customFormat="1" ht="13.5" customHeight="1" x14ac:dyDescent="0.2">
      <c r="A430" s="272">
        <f t="shared" si="91"/>
        <v>426</v>
      </c>
      <c r="B430" s="143" t="s">
        <v>2731</v>
      </c>
      <c r="C430" s="648">
        <v>41883</v>
      </c>
      <c r="D430" s="649">
        <v>1480000</v>
      </c>
      <c r="E430" s="649"/>
      <c r="F430" s="73">
        <f t="shared" si="84"/>
        <v>1480000</v>
      </c>
      <c r="G430" s="73">
        <v>1479000</v>
      </c>
      <c r="H430" s="73">
        <f t="shared" si="92"/>
        <v>1000</v>
      </c>
      <c r="I430" s="74">
        <v>5</v>
      </c>
      <c r="J430" s="74">
        <v>0.2</v>
      </c>
      <c r="K430" s="68">
        <v>0</v>
      </c>
      <c r="L430" s="110">
        <f t="shared" si="97"/>
        <v>0</v>
      </c>
      <c r="M430" s="73">
        <f t="shared" si="94"/>
        <v>1479000</v>
      </c>
      <c r="N430" s="484">
        <f t="shared" si="85"/>
        <v>1000</v>
      </c>
      <c r="O430" s="150" t="s">
        <v>2732</v>
      </c>
      <c r="P430" s="660">
        <v>1</v>
      </c>
      <c r="Q430" s="652" t="s">
        <v>2733</v>
      </c>
      <c r="R430" s="23"/>
      <c r="S430" s="10">
        <f t="shared" si="96"/>
        <v>74000</v>
      </c>
      <c r="T430" s="10">
        <f t="shared" si="87"/>
        <v>-73000</v>
      </c>
      <c r="U430" s="10">
        <f t="shared" si="95"/>
        <v>0</v>
      </c>
      <c r="V430" s="10">
        <f t="shared" si="88"/>
        <v>296000</v>
      </c>
      <c r="W430" s="10">
        <f t="shared" si="98"/>
        <v>0</v>
      </c>
      <c r="X430" s="10">
        <f t="shared" si="90"/>
        <v>0</v>
      </c>
    </row>
    <row r="431" spans="1:24" s="9" customFormat="1" ht="13.5" customHeight="1" x14ac:dyDescent="0.2">
      <c r="A431" s="272">
        <f t="shared" si="91"/>
        <v>427</v>
      </c>
      <c r="B431" s="143" t="s">
        <v>2734</v>
      </c>
      <c r="C431" s="648">
        <v>41883</v>
      </c>
      <c r="D431" s="649">
        <v>8744000</v>
      </c>
      <c r="E431" s="649"/>
      <c r="F431" s="73">
        <f t="shared" si="84"/>
        <v>8744000</v>
      </c>
      <c r="G431" s="73">
        <v>8743000</v>
      </c>
      <c r="H431" s="73">
        <f t="shared" si="92"/>
        <v>1000</v>
      </c>
      <c r="I431" s="74">
        <v>5</v>
      </c>
      <c r="J431" s="74">
        <v>0.2</v>
      </c>
      <c r="K431" s="68">
        <v>0</v>
      </c>
      <c r="L431" s="110">
        <f t="shared" si="97"/>
        <v>0</v>
      </c>
      <c r="M431" s="73">
        <f t="shared" si="94"/>
        <v>8743000</v>
      </c>
      <c r="N431" s="484">
        <f t="shared" si="85"/>
        <v>1000</v>
      </c>
      <c r="O431" s="150" t="s">
        <v>2359</v>
      </c>
      <c r="P431" s="660">
        <v>1</v>
      </c>
      <c r="Q431" s="652" t="s">
        <v>2733</v>
      </c>
      <c r="R431" s="23"/>
      <c r="S431" s="10">
        <f t="shared" si="96"/>
        <v>437200</v>
      </c>
      <c r="T431" s="10">
        <f t="shared" si="87"/>
        <v>-436200</v>
      </c>
      <c r="U431" s="10">
        <f t="shared" si="95"/>
        <v>0</v>
      </c>
      <c r="V431" s="10">
        <f t="shared" si="88"/>
        <v>1748800</v>
      </c>
      <c r="W431" s="10">
        <f t="shared" si="98"/>
        <v>0</v>
      </c>
      <c r="X431" s="10">
        <f t="shared" si="90"/>
        <v>0</v>
      </c>
    </row>
    <row r="432" spans="1:24" s="9" customFormat="1" ht="13.5" customHeight="1" x14ac:dyDescent="0.2">
      <c r="A432" s="272">
        <f t="shared" si="91"/>
        <v>428</v>
      </c>
      <c r="B432" s="143" t="s">
        <v>2735</v>
      </c>
      <c r="C432" s="648">
        <v>41943</v>
      </c>
      <c r="D432" s="649">
        <v>952727</v>
      </c>
      <c r="E432" s="649"/>
      <c r="F432" s="73">
        <f t="shared" si="84"/>
        <v>952727</v>
      </c>
      <c r="G432" s="73">
        <v>951727</v>
      </c>
      <c r="H432" s="73">
        <f t="shared" si="92"/>
        <v>1000</v>
      </c>
      <c r="I432" s="74">
        <v>5</v>
      </c>
      <c r="J432" s="74">
        <v>0.2</v>
      </c>
      <c r="K432" s="68">
        <v>0</v>
      </c>
      <c r="L432" s="110">
        <f t="shared" si="97"/>
        <v>0</v>
      </c>
      <c r="M432" s="73">
        <f t="shared" si="94"/>
        <v>951727</v>
      </c>
      <c r="N432" s="484">
        <f t="shared" si="85"/>
        <v>1000</v>
      </c>
      <c r="O432" s="150" t="s">
        <v>2736</v>
      </c>
      <c r="P432" s="660">
        <v>1</v>
      </c>
      <c r="Q432" s="652"/>
      <c r="R432" s="23"/>
      <c r="S432" s="10">
        <f t="shared" si="96"/>
        <v>47636.350000000006</v>
      </c>
      <c r="T432" s="10">
        <f t="shared" si="87"/>
        <v>-46636.350000000006</v>
      </c>
      <c r="U432" s="10">
        <f t="shared" si="95"/>
        <v>0</v>
      </c>
      <c r="V432" s="10">
        <f t="shared" si="88"/>
        <v>190545.4</v>
      </c>
      <c r="W432" s="10">
        <f t="shared" si="98"/>
        <v>0</v>
      </c>
      <c r="X432" s="10">
        <f t="shared" si="90"/>
        <v>0</v>
      </c>
    </row>
    <row r="433" spans="1:24" s="9" customFormat="1" ht="13.5" customHeight="1" x14ac:dyDescent="0.2">
      <c r="A433" s="272">
        <f t="shared" si="91"/>
        <v>429</v>
      </c>
      <c r="B433" s="661" t="s">
        <v>2737</v>
      </c>
      <c r="C433" s="662">
        <v>42031</v>
      </c>
      <c r="D433" s="649">
        <v>24349000</v>
      </c>
      <c r="E433" s="649"/>
      <c r="F433" s="73">
        <f t="shared" si="84"/>
        <v>24349000</v>
      </c>
      <c r="G433" s="73">
        <v>24348000</v>
      </c>
      <c r="H433" s="73">
        <f t="shared" si="92"/>
        <v>1000</v>
      </c>
      <c r="I433" s="74">
        <v>5</v>
      </c>
      <c r="J433" s="74">
        <v>0.2</v>
      </c>
      <c r="K433" s="68">
        <v>0</v>
      </c>
      <c r="L433" s="110">
        <f t="shared" si="97"/>
        <v>0</v>
      </c>
      <c r="M433" s="73">
        <f t="shared" si="94"/>
        <v>24348000</v>
      </c>
      <c r="N433" s="484">
        <f t="shared" si="85"/>
        <v>1000</v>
      </c>
      <c r="O433" s="74" t="s">
        <v>2359</v>
      </c>
      <c r="P433" s="74">
        <v>1</v>
      </c>
      <c r="Q433" s="625" t="s">
        <v>2738</v>
      </c>
      <c r="R433" s="23"/>
      <c r="S433" s="10">
        <f t="shared" si="96"/>
        <v>1217450</v>
      </c>
      <c r="T433" s="10">
        <f t="shared" si="87"/>
        <v>-1216450</v>
      </c>
      <c r="U433" s="10">
        <f t="shared" si="95"/>
        <v>0</v>
      </c>
      <c r="V433" s="10">
        <f t="shared" si="88"/>
        <v>4869800</v>
      </c>
      <c r="W433" s="10">
        <f t="shared" si="98"/>
        <v>0</v>
      </c>
      <c r="X433" s="10">
        <f t="shared" si="90"/>
        <v>0</v>
      </c>
    </row>
    <row r="434" spans="1:24" s="9" customFormat="1" ht="13.5" customHeight="1" x14ac:dyDescent="0.2">
      <c r="A434" s="272">
        <f t="shared" si="91"/>
        <v>430</v>
      </c>
      <c r="B434" s="661" t="s">
        <v>2739</v>
      </c>
      <c r="C434" s="662">
        <v>42031</v>
      </c>
      <c r="D434" s="649">
        <v>1185000</v>
      </c>
      <c r="E434" s="649"/>
      <c r="F434" s="73">
        <f t="shared" si="84"/>
        <v>1185000</v>
      </c>
      <c r="G434" s="73">
        <v>1184000</v>
      </c>
      <c r="H434" s="73">
        <f t="shared" si="92"/>
        <v>1000</v>
      </c>
      <c r="I434" s="74">
        <v>5</v>
      </c>
      <c r="J434" s="74">
        <v>0.2</v>
      </c>
      <c r="K434" s="68">
        <v>0</v>
      </c>
      <c r="L434" s="140">
        <f t="shared" si="97"/>
        <v>0</v>
      </c>
      <c r="M434" s="73">
        <f t="shared" si="94"/>
        <v>1184000</v>
      </c>
      <c r="N434" s="484">
        <f t="shared" si="85"/>
        <v>1000</v>
      </c>
      <c r="O434" s="74" t="s">
        <v>2732</v>
      </c>
      <c r="P434" s="74">
        <v>15</v>
      </c>
      <c r="Q434" s="625" t="s">
        <v>2738</v>
      </c>
      <c r="R434" s="23"/>
      <c r="S434" s="10">
        <f t="shared" si="96"/>
        <v>59250</v>
      </c>
      <c r="T434" s="10">
        <f t="shared" si="87"/>
        <v>-58250</v>
      </c>
      <c r="U434" s="10">
        <f t="shared" si="95"/>
        <v>0</v>
      </c>
      <c r="V434" s="10">
        <f t="shared" si="88"/>
        <v>237000</v>
      </c>
      <c r="W434" s="10">
        <f t="shared" si="98"/>
        <v>0</v>
      </c>
      <c r="X434" s="10">
        <f t="shared" si="90"/>
        <v>0</v>
      </c>
    </row>
    <row r="435" spans="1:24" s="9" customFormat="1" ht="13.5" customHeight="1" x14ac:dyDescent="0.2">
      <c r="A435" s="272">
        <f t="shared" si="91"/>
        <v>431</v>
      </c>
      <c r="B435" s="661" t="s">
        <v>2740</v>
      </c>
      <c r="C435" s="662">
        <v>42031</v>
      </c>
      <c r="D435" s="649">
        <v>14224000</v>
      </c>
      <c r="E435" s="649"/>
      <c r="F435" s="73">
        <f t="shared" si="84"/>
        <v>14224000</v>
      </c>
      <c r="G435" s="73">
        <v>14223000</v>
      </c>
      <c r="H435" s="73">
        <f t="shared" si="92"/>
        <v>1000</v>
      </c>
      <c r="I435" s="74">
        <v>5</v>
      </c>
      <c r="J435" s="74">
        <v>0.2</v>
      </c>
      <c r="K435" s="68">
        <v>0</v>
      </c>
      <c r="L435" s="140">
        <f t="shared" si="97"/>
        <v>0</v>
      </c>
      <c r="M435" s="73">
        <f t="shared" si="94"/>
        <v>14223000</v>
      </c>
      <c r="N435" s="484">
        <f t="shared" si="85"/>
        <v>1000</v>
      </c>
      <c r="O435" s="74" t="s">
        <v>2741</v>
      </c>
      <c r="P435" s="74">
        <v>31</v>
      </c>
      <c r="Q435" s="625" t="s">
        <v>2738</v>
      </c>
      <c r="R435" s="23"/>
      <c r="S435" s="10">
        <f t="shared" si="96"/>
        <v>711200</v>
      </c>
      <c r="T435" s="10">
        <f t="shared" si="87"/>
        <v>-710200</v>
      </c>
      <c r="U435" s="10">
        <f t="shared" si="95"/>
        <v>0</v>
      </c>
      <c r="V435" s="10">
        <f t="shared" si="88"/>
        <v>2844800</v>
      </c>
      <c r="W435" s="10">
        <f t="shared" si="98"/>
        <v>0</v>
      </c>
      <c r="X435" s="10">
        <f t="shared" si="90"/>
        <v>0</v>
      </c>
    </row>
    <row r="436" spans="1:24" s="9" customFormat="1" ht="13.5" customHeight="1" x14ac:dyDescent="0.2">
      <c r="A436" s="272">
        <f t="shared" si="91"/>
        <v>432</v>
      </c>
      <c r="B436" s="661" t="s">
        <v>2737</v>
      </c>
      <c r="C436" s="663">
        <v>42066</v>
      </c>
      <c r="D436" s="649">
        <v>30020000</v>
      </c>
      <c r="E436" s="649"/>
      <c r="F436" s="73">
        <f t="shared" si="84"/>
        <v>30020000</v>
      </c>
      <c r="G436" s="73">
        <v>30019000</v>
      </c>
      <c r="H436" s="73">
        <f t="shared" si="92"/>
        <v>1000</v>
      </c>
      <c r="I436" s="74">
        <v>5</v>
      </c>
      <c r="J436" s="74">
        <v>0.2</v>
      </c>
      <c r="K436" s="68">
        <v>0</v>
      </c>
      <c r="L436" s="140">
        <f>ROUND(IF(F436*J436*K436/12&gt;=H436,H436-1000,F436*J436*K436/12),0)</f>
        <v>0</v>
      </c>
      <c r="M436" s="73">
        <f t="shared" si="94"/>
        <v>30019000</v>
      </c>
      <c r="N436" s="484">
        <f t="shared" si="85"/>
        <v>1000</v>
      </c>
      <c r="O436" s="74" t="s">
        <v>2359</v>
      </c>
      <c r="P436" s="74">
        <v>61</v>
      </c>
      <c r="Q436" s="625" t="s">
        <v>2738</v>
      </c>
      <c r="R436" s="23"/>
      <c r="S436" s="10">
        <f t="shared" si="96"/>
        <v>1501000</v>
      </c>
      <c r="T436" s="10">
        <f t="shared" si="87"/>
        <v>-1500000</v>
      </c>
      <c r="U436" s="10">
        <f t="shared" si="95"/>
        <v>0</v>
      </c>
      <c r="V436" s="10">
        <f t="shared" si="88"/>
        <v>6004000</v>
      </c>
      <c r="W436" s="10">
        <f t="shared" si="98"/>
        <v>0</v>
      </c>
      <c r="X436" s="10">
        <f t="shared" si="90"/>
        <v>0</v>
      </c>
    </row>
    <row r="437" spans="1:24" s="9" customFormat="1" ht="13.5" customHeight="1" x14ac:dyDescent="0.2">
      <c r="A437" s="272">
        <f t="shared" si="91"/>
        <v>433</v>
      </c>
      <c r="B437" s="661" t="s">
        <v>2713</v>
      </c>
      <c r="C437" s="663">
        <v>42100</v>
      </c>
      <c r="D437" s="649">
        <v>125000</v>
      </c>
      <c r="E437" s="649"/>
      <c r="F437" s="73">
        <f t="shared" si="84"/>
        <v>125000</v>
      </c>
      <c r="G437" s="73">
        <v>124000</v>
      </c>
      <c r="H437" s="73">
        <f t="shared" si="92"/>
        <v>1000</v>
      </c>
      <c r="I437" s="74">
        <v>5</v>
      </c>
      <c r="J437" s="74">
        <v>0.2</v>
      </c>
      <c r="K437" s="68">
        <v>0</v>
      </c>
      <c r="L437" s="140">
        <f t="shared" si="97"/>
        <v>0</v>
      </c>
      <c r="M437" s="73">
        <f t="shared" si="94"/>
        <v>124000</v>
      </c>
      <c r="N437" s="484">
        <f t="shared" si="85"/>
        <v>1000</v>
      </c>
      <c r="O437" s="74" t="s">
        <v>2177</v>
      </c>
      <c r="P437" s="74">
        <v>1</v>
      </c>
      <c r="Q437" s="625" t="s">
        <v>2742</v>
      </c>
      <c r="R437" s="23"/>
      <c r="S437" s="10">
        <f t="shared" si="96"/>
        <v>6250</v>
      </c>
      <c r="T437" s="10">
        <f t="shared" si="87"/>
        <v>-5250</v>
      </c>
      <c r="U437" s="10">
        <f t="shared" si="95"/>
        <v>0</v>
      </c>
      <c r="V437" s="10">
        <f t="shared" si="88"/>
        <v>25000</v>
      </c>
      <c r="W437" s="10">
        <f t="shared" si="98"/>
        <v>0</v>
      </c>
      <c r="X437" s="10">
        <f t="shared" si="90"/>
        <v>0</v>
      </c>
    </row>
    <row r="438" spans="1:24" s="9" customFormat="1" ht="13.5" customHeight="1" x14ac:dyDescent="0.2">
      <c r="A438" s="272">
        <f t="shared" si="91"/>
        <v>434</v>
      </c>
      <c r="B438" s="661" t="s">
        <v>2743</v>
      </c>
      <c r="C438" s="663">
        <v>42100</v>
      </c>
      <c r="D438" s="649">
        <v>136000</v>
      </c>
      <c r="E438" s="649"/>
      <c r="F438" s="73">
        <f t="shared" si="84"/>
        <v>136000</v>
      </c>
      <c r="G438" s="73">
        <v>135000</v>
      </c>
      <c r="H438" s="73">
        <f t="shared" si="92"/>
        <v>1000</v>
      </c>
      <c r="I438" s="74">
        <v>5</v>
      </c>
      <c r="J438" s="74">
        <v>0.2</v>
      </c>
      <c r="K438" s="68">
        <v>0</v>
      </c>
      <c r="L438" s="140">
        <f t="shared" si="97"/>
        <v>0</v>
      </c>
      <c r="M438" s="73">
        <f t="shared" si="94"/>
        <v>135000</v>
      </c>
      <c r="N438" s="484">
        <f t="shared" si="85"/>
        <v>1000</v>
      </c>
      <c r="O438" s="74" t="s">
        <v>2177</v>
      </c>
      <c r="P438" s="74">
        <v>2</v>
      </c>
      <c r="Q438" s="625" t="s">
        <v>2742</v>
      </c>
      <c r="R438" s="23"/>
      <c r="S438" s="10">
        <f t="shared" si="96"/>
        <v>6800</v>
      </c>
      <c r="T438" s="10">
        <f t="shared" si="87"/>
        <v>-5800</v>
      </c>
      <c r="U438" s="10">
        <f t="shared" si="95"/>
        <v>0</v>
      </c>
      <c r="V438" s="10">
        <f t="shared" si="88"/>
        <v>27200</v>
      </c>
      <c r="W438" s="10">
        <f t="shared" si="98"/>
        <v>0</v>
      </c>
      <c r="X438" s="10">
        <f t="shared" si="90"/>
        <v>0</v>
      </c>
    </row>
    <row r="439" spans="1:24" s="9" customFormat="1" ht="13.5" customHeight="1" x14ac:dyDescent="0.2">
      <c r="A439" s="272">
        <f t="shared" si="91"/>
        <v>435</v>
      </c>
      <c r="B439" s="661" t="s">
        <v>1846</v>
      </c>
      <c r="C439" s="663">
        <v>42104</v>
      </c>
      <c r="D439" s="649">
        <v>782000</v>
      </c>
      <c r="E439" s="649"/>
      <c r="F439" s="73">
        <f t="shared" si="84"/>
        <v>782000</v>
      </c>
      <c r="G439" s="73">
        <v>781000</v>
      </c>
      <c r="H439" s="73">
        <f t="shared" si="92"/>
        <v>1000</v>
      </c>
      <c r="I439" s="74">
        <v>5</v>
      </c>
      <c r="J439" s="74">
        <v>0.2</v>
      </c>
      <c r="K439" s="68">
        <v>0</v>
      </c>
      <c r="L439" s="140">
        <f t="shared" si="97"/>
        <v>0</v>
      </c>
      <c r="M439" s="73">
        <f t="shared" si="94"/>
        <v>781000</v>
      </c>
      <c r="N439" s="484">
        <f t="shared" si="85"/>
        <v>1000</v>
      </c>
      <c r="O439" s="74" t="s">
        <v>2359</v>
      </c>
      <c r="P439" s="74">
        <v>1</v>
      </c>
      <c r="Q439" s="625" t="s">
        <v>2733</v>
      </c>
      <c r="R439" s="23"/>
      <c r="S439" s="10">
        <f t="shared" si="96"/>
        <v>39100</v>
      </c>
      <c r="T439" s="10">
        <f t="shared" si="87"/>
        <v>-38100</v>
      </c>
      <c r="U439" s="10">
        <f t="shared" si="95"/>
        <v>0</v>
      </c>
      <c r="V439" s="10">
        <f t="shared" si="88"/>
        <v>156400</v>
      </c>
      <c r="W439" s="10">
        <f t="shared" si="98"/>
        <v>0</v>
      </c>
      <c r="X439" s="10">
        <f t="shared" si="90"/>
        <v>0</v>
      </c>
    </row>
    <row r="440" spans="1:24" s="9" customFormat="1" ht="13.5" customHeight="1" x14ac:dyDescent="0.2">
      <c r="A440" s="272">
        <f t="shared" si="91"/>
        <v>436</v>
      </c>
      <c r="B440" s="661" t="s">
        <v>2737</v>
      </c>
      <c r="C440" s="663">
        <v>42132</v>
      </c>
      <c r="D440" s="649">
        <v>1340000</v>
      </c>
      <c r="E440" s="649"/>
      <c r="F440" s="73">
        <f t="shared" si="84"/>
        <v>1340000</v>
      </c>
      <c r="G440" s="73">
        <v>1339000</v>
      </c>
      <c r="H440" s="73">
        <f t="shared" si="92"/>
        <v>1000</v>
      </c>
      <c r="I440" s="74">
        <v>5</v>
      </c>
      <c r="J440" s="74">
        <v>0.2</v>
      </c>
      <c r="K440" s="68">
        <v>0</v>
      </c>
      <c r="L440" s="140">
        <f t="shared" si="97"/>
        <v>0</v>
      </c>
      <c r="M440" s="73">
        <f t="shared" si="94"/>
        <v>1339000</v>
      </c>
      <c r="N440" s="484">
        <f t="shared" si="85"/>
        <v>1000</v>
      </c>
      <c r="O440" s="74" t="s">
        <v>2359</v>
      </c>
      <c r="P440" s="74">
        <v>2</v>
      </c>
      <c r="Q440" s="625" t="s">
        <v>2738</v>
      </c>
      <c r="R440" s="23"/>
      <c r="S440" s="10">
        <f t="shared" si="96"/>
        <v>67000</v>
      </c>
      <c r="T440" s="10">
        <f t="shared" si="87"/>
        <v>-66000</v>
      </c>
      <c r="U440" s="10">
        <f t="shared" si="95"/>
        <v>0</v>
      </c>
      <c r="V440" s="10">
        <f t="shared" si="88"/>
        <v>268000</v>
      </c>
      <c r="W440" s="10">
        <f t="shared" si="98"/>
        <v>0</v>
      </c>
      <c r="X440" s="10">
        <f t="shared" si="90"/>
        <v>0</v>
      </c>
    </row>
    <row r="441" spans="1:24" s="9" customFormat="1" ht="13.5" customHeight="1" x14ac:dyDescent="0.2">
      <c r="A441" s="272">
        <f t="shared" si="91"/>
        <v>437</v>
      </c>
      <c r="B441" s="664" t="s">
        <v>2744</v>
      </c>
      <c r="C441" s="648">
        <v>42144</v>
      </c>
      <c r="D441" s="649">
        <v>5540000</v>
      </c>
      <c r="E441" s="649"/>
      <c r="F441" s="73">
        <f t="shared" si="84"/>
        <v>5540000</v>
      </c>
      <c r="G441" s="73">
        <v>5539000</v>
      </c>
      <c r="H441" s="73">
        <f t="shared" si="92"/>
        <v>1000</v>
      </c>
      <c r="I441" s="74">
        <v>5</v>
      </c>
      <c r="J441" s="74">
        <v>0.2</v>
      </c>
      <c r="K441" s="68">
        <v>0</v>
      </c>
      <c r="L441" s="140">
        <f t="shared" si="97"/>
        <v>0</v>
      </c>
      <c r="M441" s="73">
        <f t="shared" si="94"/>
        <v>5539000</v>
      </c>
      <c r="N441" s="484">
        <f t="shared" si="85"/>
        <v>1000</v>
      </c>
      <c r="O441" s="150" t="s">
        <v>2359</v>
      </c>
      <c r="P441" s="660">
        <v>2</v>
      </c>
      <c r="Q441" s="652" t="s">
        <v>2738</v>
      </c>
      <c r="R441" s="23"/>
      <c r="S441" s="10">
        <f t="shared" si="96"/>
        <v>277000</v>
      </c>
      <c r="T441" s="10">
        <f t="shared" si="87"/>
        <v>-276000</v>
      </c>
      <c r="U441" s="10">
        <f t="shared" si="95"/>
        <v>0</v>
      </c>
      <c r="V441" s="10">
        <f t="shared" si="88"/>
        <v>1108000</v>
      </c>
      <c r="W441" s="10">
        <f t="shared" si="98"/>
        <v>0</v>
      </c>
      <c r="X441" s="10">
        <f t="shared" si="90"/>
        <v>0</v>
      </c>
    </row>
    <row r="442" spans="1:24" s="9" customFormat="1" ht="13.5" customHeight="1" x14ac:dyDescent="0.2">
      <c r="A442" s="272">
        <f t="shared" si="91"/>
        <v>438</v>
      </c>
      <c r="B442" s="664" t="s">
        <v>2745</v>
      </c>
      <c r="C442" s="648">
        <v>42303</v>
      </c>
      <c r="D442" s="649">
        <v>12450000</v>
      </c>
      <c r="E442" s="649"/>
      <c r="F442" s="73">
        <f t="shared" si="84"/>
        <v>12450000</v>
      </c>
      <c r="G442" s="73">
        <v>12449000</v>
      </c>
      <c r="H442" s="73">
        <f t="shared" si="92"/>
        <v>1000</v>
      </c>
      <c r="I442" s="74">
        <v>5</v>
      </c>
      <c r="J442" s="74">
        <v>0.2</v>
      </c>
      <c r="K442" s="68">
        <v>0</v>
      </c>
      <c r="L442" s="140">
        <f t="shared" si="97"/>
        <v>0</v>
      </c>
      <c r="M442" s="73">
        <f t="shared" si="94"/>
        <v>12449000</v>
      </c>
      <c r="N442" s="484">
        <f t="shared" si="85"/>
        <v>1000</v>
      </c>
      <c r="O442" s="150" t="s">
        <v>2359</v>
      </c>
      <c r="P442" s="660">
        <v>1</v>
      </c>
      <c r="Q442" s="652" t="s">
        <v>2746</v>
      </c>
      <c r="R442" s="23"/>
      <c r="S442" s="10">
        <f t="shared" si="96"/>
        <v>622500</v>
      </c>
      <c r="T442" s="10">
        <f t="shared" si="87"/>
        <v>-621500</v>
      </c>
      <c r="U442" s="10">
        <f t="shared" si="95"/>
        <v>0</v>
      </c>
      <c r="V442" s="10">
        <f t="shared" si="88"/>
        <v>2490000</v>
      </c>
      <c r="W442" s="10">
        <f t="shared" si="98"/>
        <v>0</v>
      </c>
      <c r="X442" s="10">
        <f t="shared" si="90"/>
        <v>0</v>
      </c>
    </row>
    <row r="443" spans="1:24" s="9" customFormat="1" ht="13.5" customHeight="1" x14ac:dyDescent="0.2">
      <c r="A443" s="272">
        <f t="shared" si="91"/>
        <v>439</v>
      </c>
      <c r="B443" s="664" t="s">
        <v>2747</v>
      </c>
      <c r="C443" s="648">
        <v>42368</v>
      </c>
      <c r="D443" s="649">
        <v>4839000</v>
      </c>
      <c r="E443" s="649"/>
      <c r="F443" s="73">
        <f t="shared" si="84"/>
        <v>4839000</v>
      </c>
      <c r="G443" s="73">
        <v>4838000</v>
      </c>
      <c r="H443" s="73">
        <f t="shared" si="92"/>
        <v>1000</v>
      </c>
      <c r="I443" s="74">
        <v>5</v>
      </c>
      <c r="J443" s="74">
        <v>0.2</v>
      </c>
      <c r="K443" s="68">
        <v>0</v>
      </c>
      <c r="L443" s="140">
        <f t="shared" si="97"/>
        <v>0</v>
      </c>
      <c r="M443" s="73">
        <f t="shared" si="94"/>
        <v>4838000</v>
      </c>
      <c r="N443" s="484">
        <f t="shared" si="85"/>
        <v>1000</v>
      </c>
      <c r="O443" s="150" t="s">
        <v>2359</v>
      </c>
      <c r="P443" s="660">
        <v>1</v>
      </c>
      <c r="Q443" s="652" t="s">
        <v>2748</v>
      </c>
      <c r="R443" s="23"/>
      <c r="S443" s="10">
        <f t="shared" si="96"/>
        <v>241950</v>
      </c>
      <c r="T443" s="10">
        <f t="shared" si="87"/>
        <v>-240950</v>
      </c>
      <c r="U443" s="10">
        <f t="shared" si="95"/>
        <v>0</v>
      </c>
      <c r="V443" s="10">
        <f t="shared" si="88"/>
        <v>967800</v>
      </c>
      <c r="W443" s="10">
        <f t="shared" si="98"/>
        <v>0</v>
      </c>
      <c r="X443" s="10">
        <f t="shared" si="90"/>
        <v>0</v>
      </c>
    </row>
    <row r="444" spans="1:24" s="9" customFormat="1" ht="13.5" customHeight="1" x14ac:dyDescent="0.2">
      <c r="A444" s="272">
        <f t="shared" si="91"/>
        <v>440</v>
      </c>
      <c r="B444" s="664" t="s">
        <v>2149</v>
      </c>
      <c r="C444" s="648">
        <v>42373</v>
      </c>
      <c r="D444" s="649">
        <v>145000</v>
      </c>
      <c r="E444" s="649"/>
      <c r="F444" s="73">
        <f t="shared" si="84"/>
        <v>145000</v>
      </c>
      <c r="G444" s="73">
        <v>144000</v>
      </c>
      <c r="H444" s="73">
        <f t="shared" si="92"/>
        <v>1000</v>
      </c>
      <c r="I444" s="74">
        <v>5</v>
      </c>
      <c r="J444" s="74">
        <v>0.2</v>
      </c>
      <c r="K444" s="68">
        <v>1</v>
      </c>
      <c r="L444" s="140">
        <f t="shared" si="97"/>
        <v>0</v>
      </c>
      <c r="M444" s="73">
        <f t="shared" si="94"/>
        <v>144000</v>
      </c>
      <c r="N444" s="484">
        <f t="shared" si="85"/>
        <v>1000</v>
      </c>
      <c r="O444" s="150" t="s">
        <v>2749</v>
      </c>
      <c r="P444" s="660">
        <v>1</v>
      </c>
      <c r="Q444" s="652" t="s">
        <v>2750</v>
      </c>
      <c r="R444" s="23"/>
      <c r="S444" s="10">
        <f t="shared" si="96"/>
        <v>7250</v>
      </c>
      <c r="T444" s="10">
        <f t="shared" si="87"/>
        <v>-6250</v>
      </c>
      <c r="U444" s="10">
        <f t="shared" si="95"/>
        <v>0</v>
      </c>
      <c r="V444" s="10">
        <f t="shared" si="88"/>
        <v>29000</v>
      </c>
      <c r="W444" s="10">
        <f t="shared" si="98"/>
        <v>0</v>
      </c>
      <c r="X444" s="10">
        <f t="shared" si="90"/>
        <v>0</v>
      </c>
    </row>
    <row r="445" spans="1:24" s="9" customFormat="1" ht="13.5" customHeight="1" x14ac:dyDescent="0.2">
      <c r="A445" s="272">
        <f t="shared" si="91"/>
        <v>441</v>
      </c>
      <c r="B445" s="664" t="s">
        <v>1855</v>
      </c>
      <c r="C445" s="648">
        <v>42373</v>
      </c>
      <c r="D445" s="649">
        <v>68000</v>
      </c>
      <c r="E445" s="649"/>
      <c r="F445" s="73">
        <f t="shared" si="84"/>
        <v>68000</v>
      </c>
      <c r="G445" s="73">
        <v>67000</v>
      </c>
      <c r="H445" s="73">
        <f t="shared" si="92"/>
        <v>1000</v>
      </c>
      <c r="I445" s="74">
        <v>5</v>
      </c>
      <c r="J445" s="74">
        <v>0.2</v>
      </c>
      <c r="K445" s="68">
        <v>1</v>
      </c>
      <c r="L445" s="140">
        <f t="shared" si="97"/>
        <v>0</v>
      </c>
      <c r="M445" s="73">
        <f t="shared" si="94"/>
        <v>67000</v>
      </c>
      <c r="N445" s="484">
        <f t="shared" si="85"/>
        <v>1000</v>
      </c>
      <c r="O445" s="150" t="s">
        <v>2749</v>
      </c>
      <c r="P445" s="660">
        <v>1</v>
      </c>
      <c r="Q445" s="652" t="s">
        <v>2750</v>
      </c>
      <c r="R445" s="23"/>
      <c r="S445" s="10">
        <f t="shared" si="96"/>
        <v>3400</v>
      </c>
      <c r="T445" s="10">
        <f t="shared" si="87"/>
        <v>-2400</v>
      </c>
      <c r="U445" s="10">
        <f t="shared" si="95"/>
        <v>0</v>
      </c>
      <c r="V445" s="10">
        <f t="shared" si="88"/>
        <v>13600</v>
      </c>
      <c r="W445" s="10">
        <f t="shared" si="98"/>
        <v>0</v>
      </c>
      <c r="X445" s="10">
        <f t="shared" si="90"/>
        <v>0</v>
      </c>
    </row>
    <row r="446" spans="1:24" s="9" customFormat="1" ht="13.5" customHeight="1" x14ac:dyDescent="0.2">
      <c r="A446" s="272">
        <f t="shared" si="91"/>
        <v>442</v>
      </c>
      <c r="B446" s="664" t="s">
        <v>2751</v>
      </c>
      <c r="C446" s="648">
        <v>42373</v>
      </c>
      <c r="D446" s="649">
        <v>105000</v>
      </c>
      <c r="E446" s="649"/>
      <c r="F446" s="73">
        <f t="shared" si="84"/>
        <v>105000</v>
      </c>
      <c r="G446" s="73">
        <v>104000</v>
      </c>
      <c r="H446" s="73">
        <f t="shared" si="92"/>
        <v>1000</v>
      </c>
      <c r="I446" s="74">
        <v>5</v>
      </c>
      <c r="J446" s="74">
        <v>0.2</v>
      </c>
      <c r="K446" s="68">
        <v>1</v>
      </c>
      <c r="L446" s="140">
        <f t="shared" si="97"/>
        <v>0</v>
      </c>
      <c r="M446" s="73">
        <f t="shared" si="94"/>
        <v>104000</v>
      </c>
      <c r="N446" s="484">
        <f t="shared" si="85"/>
        <v>1000</v>
      </c>
      <c r="O446" s="150" t="s">
        <v>2749</v>
      </c>
      <c r="P446" s="660">
        <v>1</v>
      </c>
      <c r="Q446" s="652" t="s">
        <v>2750</v>
      </c>
      <c r="R446" s="23"/>
      <c r="S446" s="10">
        <f t="shared" si="96"/>
        <v>5250</v>
      </c>
      <c r="T446" s="10">
        <f t="shared" si="87"/>
        <v>-4250</v>
      </c>
      <c r="U446" s="10">
        <f t="shared" si="95"/>
        <v>0</v>
      </c>
      <c r="V446" s="10">
        <f t="shared" si="88"/>
        <v>21000</v>
      </c>
      <c r="W446" s="10">
        <f t="shared" si="98"/>
        <v>0</v>
      </c>
      <c r="X446" s="10">
        <f t="shared" si="90"/>
        <v>0</v>
      </c>
    </row>
    <row r="447" spans="1:24" s="9" customFormat="1" ht="13.5" customHeight="1" x14ac:dyDescent="0.2">
      <c r="A447" s="272">
        <f t="shared" si="91"/>
        <v>443</v>
      </c>
      <c r="B447" s="664" t="s">
        <v>1873</v>
      </c>
      <c r="C447" s="648">
        <v>42373</v>
      </c>
      <c r="D447" s="649">
        <v>155000</v>
      </c>
      <c r="E447" s="649"/>
      <c r="F447" s="73">
        <f t="shared" si="84"/>
        <v>155000</v>
      </c>
      <c r="G447" s="73">
        <v>154000</v>
      </c>
      <c r="H447" s="73">
        <f t="shared" si="92"/>
        <v>1000</v>
      </c>
      <c r="I447" s="74">
        <v>5</v>
      </c>
      <c r="J447" s="74">
        <v>0.2</v>
      </c>
      <c r="K447" s="68">
        <v>1</v>
      </c>
      <c r="L447" s="140">
        <f t="shared" si="97"/>
        <v>0</v>
      </c>
      <c r="M447" s="73">
        <f t="shared" si="94"/>
        <v>154000</v>
      </c>
      <c r="N447" s="484">
        <f t="shared" si="85"/>
        <v>1000</v>
      </c>
      <c r="O447" s="150" t="s">
        <v>2749</v>
      </c>
      <c r="P447" s="660">
        <v>1</v>
      </c>
      <c r="Q447" s="652" t="s">
        <v>2750</v>
      </c>
      <c r="R447" s="23"/>
      <c r="S447" s="10">
        <f t="shared" si="96"/>
        <v>7750</v>
      </c>
      <c r="T447" s="10">
        <f t="shared" si="87"/>
        <v>-6750</v>
      </c>
      <c r="U447" s="10">
        <f t="shared" si="95"/>
        <v>0</v>
      </c>
      <c r="V447" s="10">
        <f t="shared" si="88"/>
        <v>31000</v>
      </c>
      <c r="W447" s="10">
        <f t="shared" si="98"/>
        <v>0</v>
      </c>
      <c r="X447" s="10">
        <f t="shared" si="90"/>
        <v>0</v>
      </c>
    </row>
    <row r="448" spans="1:24" s="9" customFormat="1" ht="13.5" customHeight="1" x14ac:dyDescent="0.2">
      <c r="A448" s="272">
        <f t="shared" si="91"/>
        <v>444</v>
      </c>
      <c r="B448" s="664" t="s">
        <v>1846</v>
      </c>
      <c r="C448" s="648">
        <v>42424</v>
      </c>
      <c r="D448" s="649">
        <v>1820000</v>
      </c>
      <c r="E448" s="649"/>
      <c r="F448" s="73">
        <f t="shared" si="84"/>
        <v>1820000</v>
      </c>
      <c r="G448" s="73">
        <v>1789667</v>
      </c>
      <c r="H448" s="73">
        <f t="shared" si="92"/>
        <v>30333</v>
      </c>
      <c r="I448" s="74">
        <v>5</v>
      </c>
      <c r="J448" s="74">
        <v>0.2</v>
      </c>
      <c r="K448" s="68">
        <v>2</v>
      </c>
      <c r="L448" s="140">
        <f t="shared" si="97"/>
        <v>29333</v>
      </c>
      <c r="M448" s="73">
        <f t="shared" si="94"/>
        <v>1819000</v>
      </c>
      <c r="N448" s="484">
        <f t="shared" si="85"/>
        <v>1000</v>
      </c>
      <c r="O448" s="150" t="s">
        <v>2752</v>
      </c>
      <c r="P448" s="660">
        <v>2</v>
      </c>
      <c r="Q448" s="652" t="s">
        <v>2753</v>
      </c>
      <c r="R448" s="23"/>
      <c r="S448" s="10">
        <f t="shared" si="96"/>
        <v>91000</v>
      </c>
      <c r="T448" s="10">
        <f t="shared" si="87"/>
        <v>-90000</v>
      </c>
      <c r="U448" s="10">
        <f t="shared" si="95"/>
        <v>0</v>
      </c>
      <c r="V448" s="10">
        <f t="shared" si="88"/>
        <v>364000</v>
      </c>
      <c r="W448" s="10">
        <f t="shared" si="98"/>
        <v>60667</v>
      </c>
      <c r="X448" s="10">
        <f t="shared" si="90"/>
        <v>-31334</v>
      </c>
    </row>
    <row r="449" spans="1:24" s="9" customFormat="1" ht="13.5" customHeight="1" x14ac:dyDescent="0.2">
      <c r="A449" s="272">
        <f t="shared" si="91"/>
        <v>445</v>
      </c>
      <c r="B449" s="664" t="s">
        <v>2083</v>
      </c>
      <c r="C449" s="648">
        <v>42424</v>
      </c>
      <c r="D449" s="649">
        <v>980000</v>
      </c>
      <c r="E449" s="649"/>
      <c r="F449" s="73">
        <f t="shared" si="84"/>
        <v>980000</v>
      </c>
      <c r="G449" s="73">
        <v>963667</v>
      </c>
      <c r="H449" s="73">
        <f t="shared" si="92"/>
        <v>16333</v>
      </c>
      <c r="I449" s="74">
        <v>5</v>
      </c>
      <c r="J449" s="74">
        <v>0.2</v>
      </c>
      <c r="K449" s="68">
        <v>2</v>
      </c>
      <c r="L449" s="140">
        <f t="shared" si="97"/>
        <v>15333</v>
      </c>
      <c r="M449" s="73">
        <f t="shared" si="94"/>
        <v>979000</v>
      </c>
      <c r="N449" s="484">
        <f t="shared" si="85"/>
        <v>1000</v>
      </c>
      <c r="O449" s="150" t="s">
        <v>2752</v>
      </c>
      <c r="P449" s="660">
        <v>2</v>
      </c>
      <c r="Q449" s="652" t="s">
        <v>2753</v>
      </c>
      <c r="R449" s="23"/>
      <c r="S449" s="10">
        <f t="shared" si="96"/>
        <v>49000</v>
      </c>
      <c r="T449" s="10">
        <f t="shared" si="87"/>
        <v>-48000</v>
      </c>
      <c r="U449" s="10">
        <f t="shared" si="95"/>
        <v>0</v>
      </c>
      <c r="V449" s="10">
        <f t="shared" si="88"/>
        <v>196000</v>
      </c>
      <c r="W449" s="10">
        <f t="shared" si="98"/>
        <v>32667</v>
      </c>
      <c r="X449" s="10">
        <f t="shared" si="90"/>
        <v>-17334</v>
      </c>
    </row>
    <row r="450" spans="1:24" s="9" customFormat="1" ht="13.5" customHeight="1" x14ac:dyDescent="0.2">
      <c r="A450" s="272">
        <f t="shared" si="91"/>
        <v>446</v>
      </c>
      <c r="B450" s="664" t="s">
        <v>2747</v>
      </c>
      <c r="C450" s="648">
        <v>42424</v>
      </c>
      <c r="D450" s="649">
        <v>6620000</v>
      </c>
      <c r="E450" s="649"/>
      <c r="F450" s="73">
        <f t="shared" si="84"/>
        <v>6620000</v>
      </c>
      <c r="G450" s="73">
        <v>6509667</v>
      </c>
      <c r="H450" s="73">
        <f t="shared" si="92"/>
        <v>110333</v>
      </c>
      <c r="I450" s="74">
        <v>5</v>
      </c>
      <c r="J450" s="74">
        <v>0.2</v>
      </c>
      <c r="K450" s="68">
        <v>2</v>
      </c>
      <c r="L450" s="140">
        <f t="shared" si="97"/>
        <v>109333</v>
      </c>
      <c r="M450" s="73">
        <f t="shared" si="94"/>
        <v>6619000</v>
      </c>
      <c r="N450" s="484">
        <f t="shared" si="85"/>
        <v>1000</v>
      </c>
      <c r="O450" s="150" t="s">
        <v>2752</v>
      </c>
      <c r="P450" s="660">
        <v>1</v>
      </c>
      <c r="Q450" s="652" t="s">
        <v>2753</v>
      </c>
      <c r="R450" s="23"/>
      <c r="S450" s="10">
        <f t="shared" si="96"/>
        <v>331000</v>
      </c>
      <c r="T450" s="10">
        <f t="shared" si="87"/>
        <v>-330000</v>
      </c>
      <c r="U450" s="10">
        <f t="shared" si="95"/>
        <v>0</v>
      </c>
      <c r="V450" s="10">
        <f t="shared" si="88"/>
        <v>1324000</v>
      </c>
      <c r="W450" s="10">
        <f t="shared" si="98"/>
        <v>220667</v>
      </c>
      <c r="X450" s="10">
        <f t="shared" si="90"/>
        <v>-111334</v>
      </c>
    </row>
    <row r="451" spans="1:24" s="9" customFormat="1" ht="13.5" customHeight="1" x14ac:dyDescent="0.2">
      <c r="A451" s="272">
        <f t="shared" si="91"/>
        <v>447</v>
      </c>
      <c r="B451" s="664" t="s">
        <v>1846</v>
      </c>
      <c r="C451" s="648">
        <v>42488</v>
      </c>
      <c r="D451" s="649">
        <v>33504000</v>
      </c>
      <c r="E451" s="649"/>
      <c r="F451" s="73">
        <f t="shared" si="84"/>
        <v>33504000</v>
      </c>
      <c r="G451" s="73">
        <v>31828800</v>
      </c>
      <c r="H451" s="73">
        <f t="shared" si="92"/>
        <v>1675200</v>
      </c>
      <c r="I451" s="74">
        <v>5</v>
      </c>
      <c r="J451" s="74">
        <v>0.2</v>
      </c>
      <c r="K451" s="68">
        <v>4</v>
      </c>
      <c r="L451" s="140">
        <f t="shared" si="97"/>
        <v>1674200</v>
      </c>
      <c r="M451" s="73">
        <f t="shared" si="94"/>
        <v>33503000</v>
      </c>
      <c r="N451" s="484">
        <f t="shared" si="85"/>
        <v>1000</v>
      </c>
      <c r="O451" s="150" t="s">
        <v>2752</v>
      </c>
      <c r="P451" s="660">
        <v>48</v>
      </c>
      <c r="Q451" s="652" t="s">
        <v>2753</v>
      </c>
      <c r="R451" s="23"/>
      <c r="S451" s="10">
        <f t="shared" si="96"/>
        <v>1675200</v>
      </c>
      <c r="T451" s="10">
        <f t="shared" si="87"/>
        <v>-1674200</v>
      </c>
      <c r="U451" s="10">
        <f t="shared" si="95"/>
        <v>0</v>
      </c>
      <c r="V451" s="10">
        <f t="shared" si="88"/>
        <v>6700800</v>
      </c>
      <c r="W451" s="10">
        <f t="shared" si="98"/>
        <v>2233600</v>
      </c>
      <c r="X451" s="10">
        <f t="shared" si="90"/>
        <v>-559400</v>
      </c>
    </row>
    <row r="452" spans="1:24" s="9" customFormat="1" ht="13.5" customHeight="1" x14ac:dyDescent="0.2">
      <c r="A452" s="272">
        <f t="shared" si="91"/>
        <v>448</v>
      </c>
      <c r="B452" s="664" t="s">
        <v>2083</v>
      </c>
      <c r="C452" s="648">
        <v>42488</v>
      </c>
      <c r="D452" s="649">
        <v>964000</v>
      </c>
      <c r="E452" s="649"/>
      <c r="F452" s="73">
        <f t="shared" si="84"/>
        <v>964000</v>
      </c>
      <c r="G452" s="73">
        <v>915800</v>
      </c>
      <c r="H452" s="73">
        <f t="shared" si="92"/>
        <v>48200</v>
      </c>
      <c r="I452" s="74">
        <v>5</v>
      </c>
      <c r="J452" s="74">
        <v>0.2</v>
      </c>
      <c r="K452" s="68">
        <v>4</v>
      </c>
      <c r="L452" s="140">
        <f t="shared" si="97"/>
        <v>47200</v>
      </c>
      <c r="M452" s="73">
        <f t="shared" si="94"/>
        <v>963000</v>
      </c>
      <c r="N452" s="484">
        <f t="shared" si="85"/>
        <v>1000</v>
      </c>
      <c r="O452" s="150" t="s">
        <v>2752</v>
      </c>
      <c r="P452" s="660">
        <v>2</v>
      </c>
      <c r="Q452" s="652" t="s">
        <v>2753</v>
      </c>
      <c r="R452" s="23"/>
      <c r="S452" s="10">
        <f t="shared" si="96"/>
        <v>48200</v>
      </c>
      <c r="T452" s="10">
        <f t="shared" si="87"/>
        <v>-47200</v>
      </c>
      <c r="U452" s="10">
        <f t="shared" si="95"/>
        <v>0</v>
      </c>
      <c r="V452" s="10">
        <f t="shared" si="88"/>
        <v>192800</v>
      </c>
      <c r="W452" s="10">
        <f t="shared" si="98"/>
        <v>64267</v>
      </c>
      <c r="X452" s="10">
        <f t="shared" si="90"/>
        <v>-17067</v>
      </c>
    </row>
    <row r="453" spans="1:24" s="9" customFormat="1" ht="13.5" customHeight="1" x14ac:dyDescent="0.2">
      <c r="A453" s="272">
        <f t="shared" si="91"/>
        <v>449</v>
      </c>
      <c r="B453" s="664" t="s">
        <v>2747</v>
      </c>
      <c r="C453" s="648">
        <v>42488</v>
      </c>
      <c r="D453" s="649">
        <v>1485900</v>
      </c>
      <c r="E453" s="649"/>
      <c r="F453" s="73">
        <f t="shared" ref="F453:F459" si="99">+D453+E453</f>
        <v>1485900</v>
      </c>
      <c r="G453" s="73">
        <v>1411605</v>
      </c>
      <c r="H453" s="73">
        <f t="shared" si="92"/>
        <v>74295</v>
      </c>
      <c r="I453" s="74">
        <v>5</v>
      </c>
      <c r="J453" s="74">
        <v>0.2</v>
      </c>
      <c r="K453" s="68">
        <v>4</v>
      </c>
      <c r="L453" s="140">
        <f t="shared" si="97"/>
        <v>73295</v>
      </c>
      <c r="M453" s="73">
        <f t="shared" si="94"/>
        <v>1484900</v>
      </c>
      <c r="N453" s="484">
        <f t="shared" ref="N453:N458" si="100">+F453-M453</f>
        <v>1000</v>
      </c>
      <c r="O453" s="150" t="s">
        <v>2752</v>
      </c>
      <c r="P453" s="660">
        <v>10</v>
      </c>
      <c r="Q453" s="652" t="s">
        <v>2753</v>
      </c>
      <c r="R453" s="23"/>
      <c r="S453" s="10">
        <f t="shared" si="96"/>
        <v>74295</v>
      </c>
      <c r="T453" s="10">
        <f t="shared" ref="T453:T458" si="101">N453-S453</f>
        <v>-73295</v>
      </c>
      <c r="U453" s="10">
        <f t="shared" si="95"/>
        <v>0</v>
      </c>
      <c r="V453" s="10">
        <f t="shared" si="88"/>
        <v>297180</v>
      </c>
      <c r="W453" s="10">
        <f t="shared" si="98"/>
        <v>99060</v>
      </c>
      <c r="X453" s="10">
        <f t="shared" ref="X453:X459" si="102">L453-W453</f>
        <v>-25765</v>
      </c>
    </row>
    <row r="454" spans="1:24" s="9" customFormat="1" ht="13.5" customHeight="1" x14ac:dyDescent="0.2">
      <c r="A454" s="272">
        <f>+A453+1</f>
        <v>450</v>
      </c>
      <c r="B454" s="664" t="s">
        <v>2747</v>
      </c>
      <c r="C454" s="648">
        <v>42548</v>
      </c>
      <c r="D454" s="649">
        <v>10797000</v>
      </c>
      <c r="E454" s="649"/>
      <c r="F454" s="73">
        <f t="shared" si="99"/>
        <v>10797000</v>
      </c>
      <c r="G454" s="73">
        <v>9897250</v>
      </c>
      <c r="H454" s="73">
        <f t="shared" si="92"/>
        <v>899750</v>
      </c>
      <c r="I454" s="74">
        <v>5</v>
      </c>
      <c r="J454" s="74">
        <v>0.2</v>
      </c>
      <c r="K454" s="68">
        <v>6</v>
      </c>
      <c r="L454" s="140">
        <f t="shared" si="97"/>
        <v>898750</v>
      </c>
      <c r="M454" s="73">
        <f t="shared" si="94"/>
        <v>10796000</v>
      </c>
      <c r="N454" s="484">
        <f t="shared" si="100"/>
        <v>1000</v>
      </c>
      <c r="O454" s="150" t="s">
        <v>2752</v>
      </c>
      <c r="P454" s="660">
        <v>2</v>
      </c>
      <c r="Q454" s="652" t="s">
        <v>2753</v>
      </c>
      <c r="R454" s="23"/>
      <c r="S454" s="10">
        <f t="shared" si="96"/>
        <v>539850</v>
      </c>
      <c r="T454" s="10">
        <f t="shared" si="101"/>
        <v>-538850</v>
      </c>
      <c r="U454" s="10">
        <f t="shared" si="95"/>
        <v>0</v>
      </c>
      <c r="V454" s="10">
        <f t="shared" si="88"/>
        <v>2159400</v>
      </c>
      <c r="W454" s="10">
        <f t="shared" si="98"/>
        <v>1079700</v>
      </c>
      <c r="X454" s="10">
        <f t="shared" si="102"/>
        <v>-180950</v>
      </c>
    </row>
    <row r="455" spans="1:24" s="9" customFormat="1" ht="13.5" customHeight="1" x14ac:dyDescent="0.2">
      <c r="A455" s="272">
        <f>+A454+1</f>
        <v>451</v>
      </c>
      <c r="B455" s="664" t="s">
        <v>2083</v>
      </c>
      <c r="C455" s="648">
        <v>42600</v>
      </c>
      <c r="D455" s="649">
        <v>696000</v>
      </c>
      <c r="E455" s="649"/>
      <c r="F455" s="73">
        <f t="shared" si="99"/>
        <v>696000</v>
      </c>
      <c r="G455" s="73">
        <v>614800</v>
      </c>
      <c r="H455" s="73">
        <f t="shared" si="92"/>
        <v>81200</v>
      </c>
      <c r="I455" s="74">
        <v>5</v>
      </c>
      <c r="J455" s="74">
        <v>0.2</v>
      </c>
      <c r="K455" s="68">
        <v>8</v>
      </c>
      <c r="L455" s="140">
        <f t="shared" si="97"/>
        <v>80200</v>
      </c>
      <c r="M455" s="73">
        <f t="shared" si="94"/>
        <v>695000</v>
      </c>
      <c r="N455" s="484">
        <f t="shared" si="100"/>
        <v>1000</v>
      </c>
      <c r="O455" s="150" t="s">
        <v>2359</v>
      </c>
      <c r="P455" s="660">
        <v>2</v>
      </c>
      <c r="Q455" s="652" t="s">
        <v>2754</v>
      </c>
      <c r="R455" s="23"/>
      <c r="S455" s="10">
        <f t="shared" si="96"/>
        <v>34800</v>
      </c>
      <c r="T455" s="10">
        <f t="shared" si="101"/>
        <v>-33800</v>
      </c>
      <c r="U455" s="10">
        <f t="shared" si="95"/>
        <v>0</v>
      </c>
      <c r="V455" s="10">
        <f t="shared" si="88"/>
        <v>139200</v>
      </c>
      <c r="W455" s="10">
        <f t="shared" si="98"/>
        <v>92800</v>
      </c>
      <c r="X455" s="10">
        <f t="shared" si="102"/>
        <v>-12600</v>
      </c>
    </row>
    <row r="456" spans="1:24" s="9" customFormat="1" ht="13.5" customHeight="1" x14ac:dyDescent="0.2">
      <c r="A456" s="272">
        <f t="shared" ref="A456:A463" si="103">+A455+1</f>
        <v>452</v>
      </c>
      <c r="B456" s="664" t="s">
        <v>2755</v>
      </c>
      <c r="C456" s="648">
        <v>42972</v>
      </c>
      <c r="D456" s="649">
        <v>3430000</v>
      </c>
      <c r="E456" s="649"/>
      <c r="F456" s="73">
        <f t="shared" si="99"/>
        <v>3430000</v>
      </c>
      <c r="G456" s="73">
        <v>2343833</v>
      </c>
      <c r="H456" s="73">
        <f t="shared" si="92"/>
        <v>1086167</v>
      </c>
      <c r="I456" s="74">
        <v>5</v>
      </c>
      <c r="J456" s="74">
        <v>0.2</v>
      </c>
      <c r="K456" s="68">
        <v>12</v>
      </c>
      <c r="L456" s="140">
        <f t="shared" si="97"/>
        <v>686000</v>
      </c>
      <c r="M456" s="73">
        <f t="shared" si="94"/>
        <v>3029833</v>
      </c>
      <c r="N456" s="484">
        <f t="shared" si="100"/>
        <v>400167</v>
      </c>
      <c r="O456" s="150" t="s">
        <v>2359</v>
      </c>
      <c r="P456" s="660">
        <v>1</v>
      </c>
      <c r="Q456" s="652" t="s">
        <v>2753</v>
      </c>
      <c r="R456" s="23"/>
      <c r="S456" s="10">
        <f t="shared" si="96"/>
        <v>171500</v>
      </c>
      <c r="T456" s="10">
        <f t="shared" si="101"/>
        <v>228667</v>
      </c>
      <c r="U456" s="10">
        <f t="shared" si="95"/>
        <v>399167</v>
      </c>
      <c r="V456" s="10">
        <f t="shared" si="88"/>
        <v>686000</v>
      </c>
      <c r="W456" s="10">
        <f t="shared" si="98"/>
        <v>686000</v>
      </c>
      <c r="X456" s="10">
        <f t="shared" si="102"/>
        <v>0</v>
      </c>
    </row>
    <row r="457" spans="1:24" s="9" customFormat="1" ht="13.5" customHeight="1" x14ac:dyDescent="0.2">
      <c r="A457" s="272">
        <f t="shared" si="103"/>
        <v>453</v>
      </c>
      <c r="B457" s="664" t="s">
        <v>2376</v>
      </c>
      <c r="C457" s="648">
        <v>42996</v>
      </c>
      <c r="D457" s="649">
        <v>2130055</v>
      </c>
      <c r="E457" s="649"/>
      <c r="F457" s="73">
        <f t="shared" si="99"/>
        <v>2130055</v>
      </c>
      <c r="G457" s="73">
        <v>1420037</v>
      </c>
      <c r="H457" s="73">
        <f t="shared" si="92"/>
        <v>710018</v>
      </c>
      <c r="I457" s="74">
        <v>5</v>
      </c>
      <c r="J457" s="74">
        <v>0.2</v>
      </c>
      <c r="K457" s="68">
        <v>12</v>
      </c>
      <c r="L457" s="140">
        <f t="shared" si="97"/>
        <v>426011</v>
      </c>
      <c r="M457" s="73">
        <f t="shared" si="94"/>
        <v>1846048</v>
      </c>
      <c r="N457" s="484">
        <f t="shared" si="100"/>
        <v>284007</v>
      </c>
      <c r="O457" s="150" t="s">
        <v>2756</v>
      </c>
      <c r="P457" s="660">
        <v>1</v>
      </c>
      <c r="Q457" s="652" t="s">
        <v>2757</v>
      </c>
      <c r="R457" s="23"/>
      <c r="S457" s="10">
        <f t="shared" si="96"/>
        <v>106502.75</v>
      </c>
      <c r="T457" s="10">
        <f t="shared" si="101"/>
        <v>177504.25</v>
      </c>
      <c r="U457" s="10">
        <f t="shared" si="95"/>
        <v>283007</v>
      </c>
      <c r="V457" s="10">
        <f t="shared" si="88"/>
        <v>426011</v>
      </c>
      <c r="W457" s="10">
        <f t="shared" si="98"/>
        <v>426011</v>
      </c>
      <c r="X457" s="10">
        <f t="shared" si="102"/>
        <v>0</v>
      </c>
    </row>
    <row r="458" spans="1:24" s="9" customFormat="1" ht="13.5" customHeight="1" x14ac:dyDescent="0.2">
      <c r="A458" s="272">
        <f t="shared" si="103"/>
        <v>454</v>
      </c>
      <c r="B458" s="664" t="s">
        <v>2758</v>
      </c>
      <c r="C458" s="648">
        <v>43396</v>
      </c>
      <c r="D458" s="649">
        <v>1500000</v>
      </c>
      <c r="E458" s="649"/>
      <c r="F458" s="73">
        <f t="shared" si="99"/>
        <v>1500000</v>
      </c>
      <c r="G458" s="73">
        <v>675000</v>
      </c>
      <c r="H458" s="73">
        <f t="shared" si="92"/>
        <v>825000</v>
      </c>
      <c r="I458" s="74">
        <v>5</v>
      </c>
      <c r="J458" s="74">
        <v>0.2</v>
      </c>
      <c r="K458" s="68">
        <v>12</v>
      </c>
      <c r="L458" s="140">
        <f t="shared" ref="L458:L464" si="104">ROUND(IF(F458*J458*K458/12&gt;=H458,H458-1000,F458*J458*K458/12),0)</f>
        <v>300000</v>
      </c>
      <c r="M458" s="73">
        <f t="shared" ref="M458:M464" si="105">+G458+L458</f>
        <v>975000</v>
      </c>
      <c r="N458" s="484">
        <f t="shared" si="100"/>
        <v>525000</v>
      </c>
      <c r="O458" s="150" t="s">
        <v>2759</v>
      </c>
      <c r="P458" s="660">
        <v>1</v>
      </c>
      <c r="Q458" s="652"/>
      <c r="R458" s="23"/>
      <c r="S458" s="10">
        <f>F458*0.05</f>
        <v>75000</v>
      </c>
      <c r="T458" s="10">
        <f t="shared" si="101"/>
        <v>450000</v>
      </c>
      <c r="U458" s="10">
        <f>N458-1000</f>
        <v>524000</v>
      </c>
      <c r="V458" s="10">
        <f>F458/I458</f>
        <v>300000</v>
      </c>
      <c r="W458" s="10">
        <f>ROUND(IF(H458&lt;=1000,0,V458/12*K458),0)</f>
        <v>300000</v>
      </c>
      <c r="X458" s="10">
        <f t="shared" si="102"/>
        <v>0</v>
      </c>
    </row>
    <row r="459" spans="1:24" s="9" customFormat="1" ht="13.5" customHeight="1" x14ac:dyDescent="0.2">
      <c r="A459" s="272">
        <f t="shared" si="103"/>
        <v>455</v>
      </c>
      <c r="B459" s="664" t="s">
        <v>3033</v>
      </c>
      <c r="C459" s="648">
        <v>44286</v>
      </c>
      <c r="D459" s="649"/>
      <c r="E459" s="649">
        <v>1280000</v>
      </c>
      <c r="F459" s="73">
        <f t="shared" si="99"/>
        <v>1280000</v>
      </c>
      <c r="G459" s="73"/>
      <c r="H459" s="73">
        <f t="shared" si="92"/>
        <v>1280000</v>
      </c>
      <c r="I459" s="74">
        <v>5</v>
      </c>
      <c r="J459" s="74">
        <v>0.2</v>
      </c>
      <c r="K459" s="74">
        <v>10</v>
      </c>
      <c r="L459" s="140">
        <f t="shared" si="104"/>
        <v>213333</v>
      </c>
      <c r="M459" s="73">
        <f t="shared" si="105"/>
        <v>213333</v>
      </c>
      <c r="N459" s="484">
        <f t="shared" ref="N459:N464" si="106">+F459-M459</f>
        <v>1066667</v>
      </c>
      <c r="O459" s="150" t="s">
        <v>3034</v>
      </c>
      <c r="P459" s="660">
        <v>8</v>
      </c>
      <c r="Q459" s="652"/>
      <c r="R459" s="23"/>
      <c r="S459" s="10">
        <f>F459*0.05</f>
        <v>64000</v>
      </c>
      <c r="T459" s="10"/>
      <c r="U459" s="10"/>
      <c r="V459" s="10">
        <f>F459/I459</f>
        <v>256000</v>
      </c>
      <c r="W459" s="10">
        <f>ROUND(IF(H459&lt;=1000,0,V459/12*K459),0)</f>
        <v>213333</v>
      </c>
      <c r="X459" s="10">
        <f t="shared" si="102"/>
        <v>0</v>
      </c>
    </row>
    <row r="460" spans="1:24" s="9" customFormat="1" ht="13.5" customHeight="1" x14ac:dyDescent="0.2">
      <c r="A460" s="272">
        <f t="shared" si="103"/>
        <v>456</v>
      </c>
      <c r="B460" s="664" t="s">
        <v>3079</v>
      </c>
      <c r="C460" s="648">
        <v>44389</v>
      </c>
      <c r="D460" s="649"/>
      <c r="E460" s="649">
        <v>510000</v>
      </c>
      <c r="F460" s="73">
        <f t="shared" ref="F460:F463" si="107">+D460+E460</f>
        <v>510000</v>
      </c>
      <c r="G460" s="73"/>
      <c r="H460" s="73">
        <f t="shared" ref="H460:H463" si="108">+F460-G460</f>
        <v>510000</v>
      </c>
      <c r="I460" s="74">
        <v>5</v>
      </c>
      <c r="J460" s="74">
        <v>0.2</v>
      </c>
      <c r="K460" s="74">
        <v>6</v>
      </c>
      <c r="L460" s="140">
        <f t="shared" si="104"/>
        <v>51000</v>
      </c>
      <c r="M460" s="73">
        <f t="shared" si="105"/>
        <v>51000</v>
      </c>
      <c r="N460" s="484">
        <f t="shared" si="106"/>
        <v>459000</v>
      </c>
      <c r="O460" s="150" t="s">
        <v>3082</v>
      </c>
      <c r="P460" s="660">
        <v>1</v>
      </c>
      <c r="Q460" s="652" t="s">
        <v>3084</v>
      </c>
      <c r="R460" s="23"/>
      <c r="S460" s="10"/>
      <c r="T460" s="10"/>
      <c r="U460" s="10"/>
      <c r="V460" s="10"/>
      <c r="W460" s="10"/>
      <c r="X460" s="10"/>
    </row>
    <row r="461" spans="1:24" s="9" customFormat="1" ht="13.5" customHeight="1" x14ac:dyDescent="0.2">
      <c r="A461" s="272">
        <f t="shared" si="103"/>
        <v>457</v>
      </c>
      <c r="B461" s="664" t="s">
        <v>3090</v>
      </c>
      <c r="C461" s="648">
        <v>44428</v>
      </c>
      <c r="D461" s="649"/>
      <c r="E461" s="649">
        <v>2490000</v>
      </c>
      <c r="F461" s="73">
        <f t="shared" ref="F461" si="109">+D461+E461</f>
        <v>2490000</v>
      </c>
      <c r="G461" s="73"/>
      <c r="H461" s="73">
        <f t="shared" ref="H461" si="110">+F461-G461</f>
        <v>2490000</v>
      </c>
      <c r="I461" s="74">
        <v>5</v>
      </c>
      <c r="J461" s="74">
        <v>0.2</v>
      </c>
      <c r="K461" s="74">
        <v>5</v>
      </c>
      <c r="L461" s="140">
        <f t="shared" si="104"/>
        <v>207500</v>
      </c>
      <c r="M461" s="73">
        <f t="shared" si="105"/>
        <v>207500</v>
      </c>
      <c r="N461" s="484">
        <f t="shared" si="106"/>
        <v>2282500</v>
      </c>
      <c r="O461" s="150"/>
      <c r="P461" s="660"/>
      <c r="Q461" s="652"/>
      <c r="R461" s="23"/>
      <c r="S461" s="10"/>
      <c r="T461" s="10"/>
      <c r="U461" s="10"/>
      <c r="V461" s="10"/>
      <c r="W461" s="10"/>
      <c r="X461" s="10"/>
    </row>
    <row r="462" spans="1:24" s="9" customFormat="1" ht="13.5" customHeight="1" x14ac:dyDescent="0.2">
      <c r="A462" s="272">
        <f t="shared" si="103"/>
        <v>458</v>
      </c>
      <c r="B462" s="664" t="s">
        <v>3080</v>
      </c>
      <c r="C462" s="648">
        <v>44452</v>
      </c>
      <c r="D462" s="649"/>
      <c r="E462" s="649">
        <v>1639000</v>
      </c>
      <c r="F462" s="73">
        <f t="shared" si="107"/>
        <v>1639000</v>
      </c>
      <c r="G462" s="73"/>
      <c r="H462" s="73">
        <f t="shared" si="108"/>
        <v>1639000</v>
      </c>
      <c r="I462" s="74">
        <v>5</v>
      </c>
      <c r="J462" s="74">
        <v>0.2</v>
      </c>
      <c r="K462" s="74">
        <v>4</v>
      </c>
      <c r="L462" s="140">
        <f t="shared" si="104"/>
        <v>109267</v>
      </c>
      <c r="M462" s="73">
        <f t="shared" si="105"/>
        <v>109267</v>
      </c>
      <c r="N462" s="484">
        <f t="shared" si="106"/>
        <v>1529733</v>
      </c>
      <c r="O462" s="150" t="s">
        <v>3083</v>
      </c>
      <c r="P462" s="660">
        <v>11</v>
      </c>
      <c r="Q462" s="652" t="s">
        <v>3085</v>
      </c>
      <c r="R462" s="23"/>
      <c r="S462" s="10"/>
      <c r="T462" s="10"/>
      <c r="U462" s="10"/>
      <c r="V462" s="10"/>
      <c r="W462" s="10"/>
      <c r="X462" s="10"/>
    </row>
    <row r="463" spans="1:24" s="9" customFormat="1" ht="13.5" customHeight="1" x14ac:dyDescent="0.2">
      <c r="A463" s="272">
        <f t="shared" si="103"/>
        <v>459</v>
      </c>
      <c r="B463" s="664" t="s">
        <v>3081</v>
      </c>
      <c r="C463" s="648">
        <v>44466</v>
      </c>
      <c r="D463" s="649"/>
      <c r="E463" s="649">
        <v>929000</v>
      </c>
      <c r="F463" s="73">
        <f t="shared" si="107"/>
        <v>929000</v>
      </c>
      <c r="G463" s="73"/>
      <c r="H463" s="73">
        <f t="shared" si="108"/>
        <v>929000</v>
      </c>
      <c r="I463" s="74">
        <v>5</v>
      </c>
      <c r="J463" s="74">
        <v>0.2</v>
      </c>
      <c r="K463" s="74">
        <v>4</v>
      </c>
      <c r="L463" s="140">
        <f t="shared" si="104"/>
        <v>61933</v>
      </c>
      <c r="M463" s="73">
        <f t="shared" si="105"/>
        <v>61933</v>
      </c>
      <c r="N463" s="484">
        <f t="shared" si="106"/>
        <v>867067</v>
      </c>
      <c r="O463" s="150" t="s">
        <v>3083</v>
      </c>
      <c r="P463" s="660">
        <v>9</v>
      </c>
      <c r="Q463" s="652" t="s">
        <v>3086</v>
      </c>
      <c r="R463" s="23"/>
      <c r="S463" s="10"/>
      <c r="T463" s="10"/>
      <c r="U463" s="10"/>
      <c r="V463" s="10"/>
      <c r="W463" s="10"/>
      <c r="X463" s="10"/>
    </row>
    <row r="464" spans="1:24" s="9" customFormat="1" ht="13.5" customHeight="1" x14ac:dyDescent="0.2">
      <c r="A464" s="272">
        <v>460</v>
      </c>
      <c r="B464" s="664" t="s">
        <v>3081</v>
      </c>
      <c r="C464" s="648">
        <v>44489</v>
      </c>
      <c r="D464" s="649"/>
      <c r="E464" s="649">
        <v>404000</v>
      </c>
      <c r="F464" s="73">
        <f t="shared" ref="F464" si="111">+D464+E464</f>
        <v>404000</v>
      </c>
      <c r="G464" s="73"/>
      <c r="H464" s="73">
        <f t="shared" ref="H464" si="112">+F464-G464</f>
        <v>404000</v>
      </c>
      <c r="I464" s="74">
        <v>5</v>
      </c>
      <c r="J464" s="74">
        <v>0.2</v>
      </c>
      <c r="K464" s="74">
        <v>3</v>
      </c>
      <c r="L464" s="140">
        <f t="shared" si="104"/>
        <v>20200</v>
      </c>
      <c r="M464" s="73">
        <f t="shared" si="105"/>
        <v>20200</v>
      </c>
      <c r="N464" s="484">
        <f t="shared" si="106"/>
        <v>383800</v>
      </c>
      <c r="O464" s="150" t="s">
        <v>3083</v>
      </c>
      <c r="P464" s="660">
        <v>4</v>
      </c>
      <c r="Q464" s="652" t="s">
        <v>3086</v>
      </c>
      <c r="R464" s="23"/>
      <c r="S464" s="10"/>
      <c r="T464" s="10"/>
      <c r="U464" s="10"/>
      <c r="V464" s="10"/>
      <c r="W464" s="10"/>
      <c r="X464" s="10"/>
    </row>
    <row r="465" spans="1:24" s="9" customFormat="1" ht="13.5" customHeight="1" thickBot="1" x14ac:dyDescent="0.25">
      <c r="A465" s="272"/>
      <c r="B465" s="152"/>
      <c r="C465" s="665"/>
      <c r="D465" s="543"/>
      <c r="E465" s="666"/>
      <c r="F465" s="130"/>
      <c r="G465" s="130"/>
      <c r="H465" s="130"/>
      <c r="I465" s="156"/>
      <c r="J465" s="156"/>
      <c r="K465" s="156"/>
      <c r="L465" s="155"/>
      <c r="M465" s="130"/>
      <c r="N465" s="544"/>
      <c r="O465" s="153"/>
      <c r="P465" s="667"/>
      <c r="Q465" s="668"/>
      <c r="R465" s="23"/>
      <c r="S465" s="10"/>
      <c r="T465" s="10"/>
      <c r="U465" s="10"/>
      <c r="V465" s="10"/>
      <c r="W465" s="10"/>
      <c r="X465" s="10"/>
    </row>
    <row r="466" spans="1:24" s="9" customFormat="1" ht="13.5" customHeight="1" thickTop="1" thickBot="1" x14ac:dyDescent="0.25">
      <c r="A466" s="669"/>
      <c r="B466" s="96" t="s">
        <v>118</v>
      </c>
      <c r="C466" s="568"/>
      <c r="D466" s="453">
        <f>ROUND(SUM(D5:D465),0)</f>
        <v>481919120</v>
      </c>
      <c r="E466" s="453">
        <f>ROUND(SUM(E5:E465),0)</f>
        <v>6252000</v>
      </c>
      <c r="F466" s="453">
        <f>ROUND(SUM(F5:F465),0)</f>
        <v>488171120</v>
      </c>
      <c r="G466" s="453">
        <f>ROUND(SUM(G5:G465),0)</f>
        <v>475931291</v>
      </c>
      <c r="H466" s="453">
        <f>ROUND(SUM(H5:H465),0)</f>
        <v>13237829</v>
      </c>
      <c r="I466" s="453"/>
      <c r="J466" s="453"/>
      <c r="K466" s="453"/>
      <c r="L466" s="455">
        <f>ROUND(SUM(L5:L465),0)</f>
        <v>5002888</v>
      </c>
      <c r="M466" s="453">
        <f>ROUND(SUM(M5:M465),0)</f>
        <v>479936179</v>
      </c>
      <c r="N466" s="453">
        <f>ROUND(SUM(N5:N465),0)</f>
        <v>8234941</v>
      </c>
      <c r="O466" s="456"/>
      <c r="P466" s="456"/>
      <c r="Q466" s="457"/>
      <c r="R466" s="23">
        <f>SUM(R5:R242)</f>
        <v>31200</v>
      </c>
      <c r="S466" s="10"/>
      <c r="T466" s="10"/>
      <c r="U466" s="10"/>
      <c r="V466" s="10"/>
      <c r="W466" s="10">
        <f>SUM(W5:W465)</f>
        <v>5503772</v>
      </c>
      <c r="X466" s="279"/>
    </row>
  </sheetData>
  <autoFilter ref="A4:Q463"/>
  <mergeCells count="2">
    <mergeCell ref="B1:Q1"/>
    <mergeCell ref="S3:T3"/>
  </mergeCells>
  <phoneticPr fontId="4" type="noConversion"/>
  <printOptions horizontalCentered="1"/>
  <pageMargins left="0.35433070866141736" right="0.23622047244094491" top="0.39370078740157483" bottom="0.43307086614173229" header="0.27559055118110237" footer="0.35433070866141736"/>
  <pageSetup paperSize="9" scale="6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zoomScaleNormal="100" workbookViewId="0">
      <pane xSplit="5" ySplit="4" topLeftCell="F49" activePane="bottomRight" state="frozenSplit"/>
      <selection activeCell="P535" sqref="P535"/>
      <selection pane="topRight" activeCell="P535" sqref="P535"/>
      <selection pane="bottomLeft" activeCell="P535" sqref="P535"/>
      <selection pane="bottomRight" activeCell="P535" sqref="P535"/>
    </sheetView>
  </sheetViews>
  <sheetFormatPr defaultRowHeight="13.5" x14ac:dyDescent="0.25"/>
  <cols>
    <col min="1" max="1" width="5.5703125" customWidth="1"/>
    <col min="2" max="2" width="9.5703125" customWidth="1"/>
    <col min="3" max="3" width="27.7109375" customWidth="1"/>
    <col min="4" max="4" width="10.28515625" customWidth="1"/>
    <col min="5" max="5" width="15" customWidth="1"/>
    <col min="6" max="6" width="13.85546875" customWidth="1"/>
    <col min="7" max="7" width="16.42578125" customWidth="1"/>
    <col min="8" max="8" width="19.85546875" customWidth="1"/>
    <col min="9" max="9" width="17.7109375" customWidth="1"/>
    <col min="10" max="10" width="4.7109375" customWidth="1"/>
    <col min="11" max="11" width="5.85546875" customWidth="1"/>
    <col min="12" max="12" width="5.42578125" customWidth="1"/>
    <col min="13" max="13" width="14.7109375" customWidth="1"/>
    <col min="14" max="14" width="17.7109375" customWidth="1"/>
    <col min="15" max="15" width="15.5703125" customWidth="1"/>
    <col min="16" max="16" width="10.85546875" customWidth="1"/>
    <col min="17" max="17" width="10.28515625" hidden="1" customWidth="1"/>
    <col min="18" max="18" width="10.5703125" hidden="1" customWidth="1"/>
    <col min="19" max="20" width="11.42578125" hidden="1" customWidth="1"/>
    <col min="21" max="21" width="17.7109375" hidden="1" customWidth="1"/>
    <col min="22" max="22" width="11.42578125" hidden="1" customWidth="1"/>
    <col min="23" max="23" width="8" customWidth="1"/>
    <col min="24" max="24" width="11.42578125" customWidth="1"/>
    <col min="25" max="25" width="8" customWidth="1"/>
  </cols>
  <sheetData>
    <row r="1" spans="1:22" ht="31.5" x14ac:dyDescent="0.55000000000000004">
      <c r="A1" s="48"/>
      <c r="B1" s="48"/>
      <c r="C1" s="847" t="s">
        <v>3101</v>
      </c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9"/>
      <c r="R1" s="10"/>
      <c r="S1" s="10"/>
      <c r="T1" s="10"/>
      <c r="U1" s="142"/>
      <c r="V1" s="142"/>
    </row>
    <row r="2" spans="1:22" ht="16.5" x14ac:dyDescent="0.3">
      <c r="A2" s="48"/>
      <c r="B2" s="48"/>
      <c r="C2" s="160"/>
      <c r="D2" s="44"/>
      <c r="E2" s="142"/>
      <c r="F2" s="142"/>
      <c r="G2" s="142"/>
      <c r="H2" s="142"/>
      <c r="I2" s="142"/>
      <c r="J2" s="142"/>
      <c r="K2" s="670"/>
      <c r="L2" s="133"/>
      <c r="M2" s="142"/>
      <c r="N2" s="142"/>
      <c r="O2" s="142"/>
      <c r="P2" s="44"/>
      <c r="Q2" s="9"/>
      <c r="R2" s="10"/>
      <c r="S2" s="10"/>
      <c r="T2" s="10"/>
      <c r="U2" s="142"/>
      <c r="V2" s="142"/>
    </row>
    <row r="3" spans="1:22" ht="17.25" thickBot="1" x14ac:dyDescent="0.35">
      <c r="A3" s="9" t="s">
        <v>2760</v>
      </c>
      <c r="B3" s="9"/>
      <c r="C3" s="161"/>
      <c r="D3" s="45"/>
      <c r="E3" s="125"/>
      <c r="F3" s="125"/>
      <c r="G3" s="125"/>
      <c r="H3" s="671"/>
      <c r="I3" s="125"/>
      <c r="J3" s="125"/>
      <c r="K3" s="672"/>
      <c r="L3" s="125"/>
      <c r="M3" s="125"/>
      <c r="N3" s="125"/>
      <c r="O3" s="125"/>
      <c r="P3" s="49" t="s">
        <v>43</v>
      </c>
      <c r="Q3" s="9"/>
      <c r="R3" s="10"/>
      <c r="S3" s="10"/>
      <c r="T3" s="10"/>
      <c r="U3" s="142"/>
      <c r="V3" s="142"/>
    </row>
    <row r="4" spans="1:22" ht="14.25" thickBot="1" x14ac:dyDescent="0.25">
      <c r="A4" s="50" t="s">
        <v>44</v>
      </c>
      <c r="B4" s="53" t="s">
        <v>2761</v>
      </c>
      <c r="C4" s="673" t="s">
        <v>83</v>
      </c>
      <c r="D4" s="52" t="s">
        <v>2762</v>
      </c>
      <c r="E4" s="135" t="s">
        <v>1140</v>
      </c>
      <c r="F4" s="135" t="s">
        <v>2763</v>
      </c>
      <c r="G4" s="135" t="s">
        <v>87</v>
      </c>
      <c r="H4" s="135" t="s">
        <v>28</v>
      </c>
      <c r="I4" s="135" t="s">
        <v>88</v>
      </c>
      <c r="J4" s="135" t="s">
        <v>51</v>
      </c>
      <c r="K4" s="674" t="s">
        <v>89</v>
      </c>
      <c r="L4" s="135" t="s">
        <v>2764</v>
      </c>
      <c r="M4" s="135" t="s">
        <v>91</v>
      </c>
      <c r="N4" s="135" t="s">
        <v>2765</v>
      </c>
      <c r="O4" s="135" t="s">
        <v>93</v>
      </c>
      <c r="P4" s="55" t="s">
        <v>2766</v>
      </c>
      <c r="Q4" s="9"/>
      <c r="R4" s="10" t="s">
        <v>199</v>
      </c>
      <c r="S4" s="125" t="s">
        <v>98</v>
      </c>
      <c r="T4" s="10" t="s">
        <v>100</v>
      </c>
      <c r="U4" s="10" t="s">
        <v>2767</v>
      </c>
      <c r="V4" s="10" t="s">
        <v>2768</v>
      </c>
    </row>
    <row r="5" spans="1:22" ht="14.25" thickTop="1" x14ac:dyDescent="0.2">
      <c r="A5" s="64">
        <v>1</v>
      </c>
      <c r="B5" s="68"/>
      <c r="C5" s="675" t="s">
        <v>2769</v>
      </c>
      <c r="D5" s="66" t="s">
        <v>2770</v>
      </c>
      <c r="E5" s="110">
        <v>0</v>
      </c>
      <c r="F5" s="462"/>
      <c r="G5" s="110">
        <f t="shared" ref="G5:G46" si="0">E5+F5</f>
        <v>0</v>
      </c>
      <c r="H5" s="462">
        <v>2384000</v>
      </c>
      <c r="I5" s="110">
        <f t="shared" ref="I5:I46" si="1">G5+H5</f>
        <v>2384000</v>
      </c>
      <c r="J5" s="463">
        <v>10</v>
      </c>
      <c r="K5" s="676">
        <v>0.1</v>
      </c>
      <c r="L5" s="463">
        <v>0</v>
      </c>
      <c r="M5" s="110"/>
      <c r="N5" s="110">
        <f t="shared" ref="N5:N59" si="2">+H5+M5</f>
        <v>2384000</v>
      </c>
      <c r="O5" s="110">
        <f t="shared" ref="O5:O59" si="3">+I5-N5</f>
        <v>0</v>
      </c>
      <c r="P5" s="464" t="s">
        <v>2771</v>
      </c>
      <c r="Q5" s="23">
        <f t="shared" ref="Q5:Q18" si="4">+E5-M5</f>
        <v>0</v>
      </c>
      <c r="R5" s="10">
        <f t="shared" ref="R5:R54" si="5">+I5*0.05</f>
        <v>119200</v>
      </c>
      <c r="S5" s="10">
        <f t="shared" ref="S5:S54" si="6">+O5-R5</f>
        <v>-119200</v>
      </c>
      <c r="T5" s="10"/>
      <c r="U5" s="10">
        <f>ROUND(T5/12*3,0)</f>
        <v>0</v>
      </c>
      <c r="V5" s="10">
        <f t="shared" ref="V5:V55" si="7">M5-U5</f>
        <v>0</v>
      </c>
    </row>
    <row r="6" spans="1:22" x14ac:dyDescent="0.2">
      <c r="A6" s="64">
        <f>+A5+1</f>
        <v>2</v>
      </c>
      <c r="B6" s="68"/>
      <c r="C6" s="675" t="s">
        <v>2772</v>
      </c>
      <c r="D6" s="66" t="s">
        <v>2773</v>
      </c>
      <c r="E6" s="110">
        <v>0</v>
      </c>
      <c r="F6" s="462"/>
      <c r="G6" s="110">
        <f t="shared" si="0"/>
        <v>0</v>
      </c>
      <c r="H6" s="462">
        <v>454544</v>
      </c>
      <c r="I6" s="110">
        <f t="shared" si="1"/>
        <v>454544</v>
      </c>
      <c r="J6" s="463">
        <v>10</v>
      </c>
      <c r="K6" s="676">
        <v>0.1</v>
      </c>
      <c r="L6" s="463">
        <v>0</v>
      </c>
      <c r="M6" s="110">
        <v>0</v>
      </c>
      <c r="N6" s="110">
        <f t="shared" si="2"/>
        <v>454544</v>
      </c>
      <c r="O6" s="110">
        <f t="shared" si="3"/>
        <v>0</v>
      </c>
      <c r="P6" s="464" t="s">
        <v>2771</v>
      </c>
      <c r="Q6" s="23">
        <f t="shared" si="4"/>
        <v>0</v>
      </c>
      <c r="R6" s="10">
        <f t="shared" si="5"/>
        <v>22727.200000000001</v>
      </c>
      <c r="S6" s="10">
        <f t="shared" si="6"/>
        <v>-22727.200000000001</v>
      </c>
      <c r="T6" s="10"/>
      <c r="U6" s="10">
        <f t="shared" ref="U6:U15" si="8">ROUND(T6/12*9,0)</f>
        <v>0</v>
      </c>
      <c r="V6" s="10">
        <f t="shared" si="7"/>
        <v>0</v>
      </c>
    </row>
    <row r="7" spans="1:22" x14ac:dyDescent="0.2">
      <c r="A7" s="64">
        <f t="shared" ref="A7:A57" si="9">+A6+1</f>
        <v>3</v>
      </c>
      <c r="B7" s="68"/>
      <c r="C7" s="675" t="s">
        <v>2774</v>
      </c>
      <c r="D7" s="66" t="s">
        <v>2775</v>
      </c>
      <c r="E7" s="110">
        <v>0</v>
      </c>
      <c r="F7" s="462"/>
      <c r="G7" s="110">
        <f t="shared" si="0"/>
        <v>0</v>
      </c>
      <c r="H7" s="462">
        <v>750000</v>
      </c>
      <c r="I7" s="110">
        <f t="shared" si="1"/>
        <v>750000</v>
      </c>
      <c r="J7" s="463">
        <v>5</v>
      </c>
      <c r="K7" s="676">
        <v>0.2</v>
      </c>
      <c r="L7" s="463">
        <v>0</v>
      </c>
      <c r="M7" s="110"/>
      <c r="N7" s="110">
        <f t="shared" si="2"/>
        <v>750000</v>
      </c>
      <c r="O7" s="110">
        <f t="shared" si="3"/>
        <v>0</v>
      </c>
      <c r="P7" s="464" t="s">
        <v>2776</v>
      </c>
      <c r="Q7" s="23">
        <f t="shared" si="4"/>
        <v>0</v>
      </c>
      <c r="R7" s="10">
        <f t="shared" si="5"/>
        <v>37500</v>
      </c>
      <c r="S7" s="10">
        <f t="shared" si="6"/>
        <v>-37500</v>
      </c>
      <c r="T7" s="10"/>
      <c r="U7" s="10">
        <f t="shared" si="8"/>
        <v>0</v>
      </c>
      <c r="V7" s="10">
        <f t="shared" si="7"/>
        <v>0</v>
      </c>
    </row>
    <row r="8" spans="1:22" x14ac:dyDescent="0.2">
      <c r="A8" s="64">
        <f t="shared" si="9"/>
        <v>4</v>
      </c>
      <c r="B8" s="68"/>
      <c r="C8" s="675" t="s">
        <v>1868</v>
      </c>
      <c r="D8" s="66" t="s">
        <v>2777</v>
      </c>
      <c r="E8" s="110">
        <v>0</v>
      </c>
      <c r="F8" s="462"/>
      <c r="G8" s="110">
        <f t="shared" si="0"/>
        <v>0</v>
      </c>
      <c r="H8" s="462">
        <v>180000</v>
      </c>
      <c r="I8" s="110">
        <f t="shared" si="1"/>
        <v>180000</v>
      </c>
      <c r="J8" s="463">
        <v>5</v>
      </c>
      <c r="K8" s="676">
        <v>0.2</v>
      </c>
      <c r="L8" s="463">
        <v>0</v>
      </c>
      <c r="M8" s="110"/>
      <c r="N8" s="110">
        <f t="shared" si="2"/>
        <v>180000</v>
      </c>
      <c r="O8" s="110">
        <f t="shared" si="3"/>
        <v>0</v>
      </c>
      <c r="P8" s="464" t="s">
        <v>2778</v>
      </c>
      <c r="Q8" s="23">
        <f t="shared" si="4"/>
        <v>0</v>
      </c>
      <c r="R8" s="10">
        <f t="shared" si="5"/>
        <v>9000</v>
      </c>
      <c r="S8" s="10">
        <f t="shared" si="6"/>
        <v>-9000</v>
      </c>
      <c r="T8" s="10"/>
      <c r="U8" s="10">
        <f t="shared" si="8"/>
        <v>0</v>
      </c>
      <c r="V8" s="10">
        <f t="shared" si="7"/>
        <v>0</v>
      </c>
    </row>
    <row r="9" spans="1:22" x14ac:dyDescent="0.2">
      <c r="A9" s="64">
        <f t="shared" si="9"/>
        <v>5</v>
      </c>
      <c r="B9" s="68"/>
      <c r="C9" s="675" t="s">
        <v>2779</v>
      </c>
      <c r="D9" s="66" t="s">
        <v>2780</v>
      </c>
      <c r="E9" s="110">
        <v>0</v>
      </c>
      <c r="F9" s="462"/>
      <c r="G9" s="110">
        <f t="shared" si="0"/>
        <v>0</v>
      </c>
      <c r="H9" s="462">
        <v>132000</v>
      </c>
      <c r="I9" s="110">
        <f t="shared" si="1"/>
        <v>132000</v>
      </c>
      <c r="J9" s="463">
        <v>5</v>
      </c>
      <c r="K9" s="676">
        <v>0.2</v>
      </c>
      <c r="L9" s="463">
        <v>0</v>
      </c>
      <c r="M9" s="110"/>
      <c r="N9" s="110">
        <f t="shared" si="2"/>
        <v>132000</v>
      </c>
      <c r="O9" s="110">
        <f t="shared" si="3"/>
        <v>0</v>
      </c>
      <c r="P9" s="464" t="s">
        <v>2781</v>
      </c>
      <c r="Q9" s="23">
        <f t="shared" si="4"/>
        <v>0</v>
      </c>
      <c r="R9" s="10">
        <f t="shared" si="5"/>
        <v>6600</v>
      </c>
      <c r="S9" s="10">
        <f t="shared" si="6"/>
        <v>-6600</v>
      </c>
      <c r="T9" s="10"/>
      <c r="U9" s="10">
        <f t="shared" si="8"/>
        <v>0</v>
      </c>
      <c r="V9" s="10">
        <f t="shared" si="7"/>
        <v>0</v>
      </c>
    </row>
    <row r="10" spans="1:22" x14ac:dyDescent="0.2">
      <c r="A10" s="64">
        <f t="shared" si="9"/>
        <v>6</v>
      </c>
      <c r="B10" s="68"/>
      <c r="C10" s="675" t="s">
        <v>2782</v>
      </c>
      <c r="D10" s="66" t="s">
        <v>2783</v>
      </c>
      <c r="E10" s="110">
        <v>0</v>
      </c>
      <c r="F10" s="462"/>
      <c r="G10" s="110">
        <f t="shared" si="0"/>
        <v>0</v>
      </c>
      <c r="H10" s="462">
        <v>16198000</v>
      </c>
      <c r="I10" s="110">
        <f t="shared" si="1"/>
        <v>16198000</v>
      </c>
      <c r="J10" s="463">
        <v>5</v>
      </c>
      <c r="K10" s="676">
        <v>0.2</v>
      </c>
      <c r="L10" s="463">
        <v>0</v>
      </c>
      <c r="M10" s="185">
        <v>0</v>
      </c>
      <c r="N10" s="110">
        <f t="shared" si="2"/>
        <v>16198000</v>
      </c>
      <c r="O10" s="110">
        <f t="shared" si="3"/>
        <v>0</v>
      </c>
      <c r="P10" s="464" t="s">
        <v>2781</v>
      </c>
      <c r="Q10" s="23">
        <f t="shared" si="4"/>
        <v>0</v>
      </c>
      <c r="R10" s="10">
        <f t="shared" si="5"/>
        <v>809900</v>
      </c>
      <c r="S10" s="10">
        <f t="shared" si="6"/>
        <v>-809900</v>
      </c>
      <c r="T10" s="10"/>
      <c r="U10" s="10">
        <f t="shared" si="8"/>
        <v>0</v>
      </c>
      <c r="V10" s="10">
        <f t="shared" si="7"/>
        <v>0</v>
      </c>
    </row>
    <row r="11" spans="1:22" x14ac:dyDescent="0.2">
      <c r="A11" s="64">
        <f t="shared" si="9"/>
        <v>7</v>
      </c>
      <c r="B11" s="68"/>
      <c r="C11" s="675" t="s">
        <v>1868</v>
      </c>
      <c r="D11" s="66" t="s">
        <v>2784</v>
      </c>
      <c r="E11" s="110">
        <v>0</v>
      </c>
      <c r="F11" s="462"/>
      <c r="G11" s="110">
        <f t="shared" si="0"/>
        <v>0</v>
      </c>
      <c r="H11" s="462">
        <v>1176000</v>
      </c>
      <c r="I11" s="110">
        <f t="shared" si="1"/>
        <v>1176000</v>
      </c>
      <c r="J11" s="463">
        <v>5</v>
      </c>
      <c r="K11" s="676">
        <v>0.2</v>
      </c>
      <c r="L11" s="463">
        <v>0</v>
      </c>
      <c r="M11" s="185">
        <v>0</v>
      </c>
      <c r="N11" s="110">
        <f t="shared" si="2"/>
        <v>1176000</v>
      </c>
      <c r="O11" s="110">
        <f t="shared" si="3"/>
        <v>0</v>
      </c>
      <c r="P11" s="464" t="s">
        <v>2781</v>
      </c>
      <c r="Q11" s="23">
        <f t="shared" si="4"/>
        <v>0</v>
      </c>
      <c r="R11" s="10">
        <f t="shared" si="5"/>
        <v>58800</v>
      </c>
      <c r="S11" s="10">
        <f t="shared" si="6"/>
        <v>-58800</v>
      </c>
      <c r="T11" s="10"/>
      <c r="U11" s="10">
        <f t="shared" si="8"/>
        <v>0</v>
      </c>
      <c r="V11" s="10">
        <f t="shared" si="7"/>
        <v>0</v>
      </c>
    </row>
    <row r="12" spans="1:22" x14ac:dyDescent="0.2">
      <c r="A12" s="64">
        <f t="shared" si="9"/>
        <v>8</v>
      </c>
      <c r="B12" s="68"/>
      <c r="C12" s="675" t="s">
        <v>1868</v>
      </c>
      <c r="D12" s="66" t="s">
        <v>2785</v>
      </c>
      <c r="E12" s="110">
        <v>0</v>
      </c>
      <c r="F12" s="462"/>
      <c r="G12" s="110">
        <f t="shared" si="0"/>
        <v>0</v>
      </c>
      <c r="H12" s="462">
        <v>1140000</v>
      </c>
      <c r="I12" s="110">
        <f t="shared" si="1"/>
        <v>1140000</v>
      </c>
      <c r="J12" s="463">
        <v>5</v>
      </c>
      <c r="K12" s="676">
        <v>0.2</v>
      </c>
      <c r="L12" s="463">
        <v>0</v>
      </c>
      <c r="M12" s="185">
        <v>0</v>
      </c>
      <c r="N12" s="110">
        <f t="shared" si="2"/>
        <v>1140000</v>
      </c>
      <c r="O12" s="110">
        <f t="shared" si="3"/>
        <v>0</v>
      </c>
      <c r="P12" s="464" t="s">
        <v>2781</v>
      </c>
      <c r="Q12" s="23">
        <f t="shared" si="4"/>
        <v>0</v>
      </c>
      <c r="R12" s="10">
        <f t="shared" si="5"/>
        <v>57000</v>
      </c>
      <c r="S12" s="10">
        <f t="shared" si="6"/>
        <v>-57000</v>
      </c>
      <c r="T12" s="10"/>
      <c r="U12" s="10">
        <f t="shared" si="8"/>
        <v>0</v>
      </c>
      <c r="V12" s="10">
        <f t="shared" si="7"/>
        <v>0</v>
      </c>
    </row>
    <row r="13" spans="1:22" x14ac:dyDescent="0.2">
      <c r="A13" s="64">
        <f t="shared" si="9"/>
        <v>9</v>
      </c>
      <c r="B13" s="68"/>
      <c r="C13" s="675" t="s">
        <v>2786</v>
      </c>
      <c r="D13" s="66" t="s">
        <v>2787</v>
      </c>
      <c r="E13" s="110">
        <v>0</v>
      </c>
      <c r="F13" s="462"/>
      <c r="G13" s="110">
        <f t="shared" si="0"/>
        <v>0</v>
      </c>
      <c r="H13" s="462">
        <v>1120000</v>
      </c>
      <c r="I13" s="110">
        <f t="shared" si="1"/>
        <v>1120000</v>
      </c>
      <c r="J13" s="463">
        <v>5</v>
      </c>
      <c r="K13" s="676">
        <v>0.2</v>
      </c>
      <c r="L13" s="463">
        <v>0</v>
      </c>
      <c r="M13" s="185">
        <v>0</v>
      </c>
      <c r="N13" s="110">
        <f t="shared" si="2"/>
        <v>1120000</v>
      </c>
      <c r="O13" s="110">
        <f t="shared" si="3"/>
        <v>0</v>
      </c>
      <c r="P13" s="464" t="s">
        <v>2781</v>
      </c>
      <c r="Q13" s="23">
        <f t="shared" si="4"/>
        <v>0</v>
      </c>
      <c r="R13" s="10">
        <f t="shared" si="5"/>
        <v>56000</v>
      </c>
      <c r="S13" s="10">
        <f t="shared" si="6"/>
        <v>-56000</v>
      </c>
      <c r="T13" s="10"/>
      <c r="U13" s="10">
        <f t="shared" si="8"/>
        <v>0</v>
      </c>
      <c r="V13" s="10">
        <f t="shared" si="7"/>
        <v>0</v>
      </c>
    </row>
    <row r="14" spans="1:22" x14ac:dyDescent="0.2">
      <c r="A14" s="64">
        <f t="shared" si="9"/>
        <v>10</v>
      </c>
      <c r="B14" s="68"/>
      <c r="C14" s="675" t="s">
        <v>2788</v>
      </c>
      <c r="D14" s="66" t="s">
        <v>2789</v>
      </c>
      <c r="E14" s="110">
        <v>0</v>
      </c>
      <c r="F14" s="462"/>
      <c r="G14" s="110">
        <f t="shared" si="0"/>
        <v>0</v>
      </c>
      <c r="H14" s="462">
        <v>426560</v>
      </c>
      <c r="I14" s="110">
        <f t="shared" si="1"/>
        <v>426560</v>
      </c>
      <c r="J14" s="463">
        <v>5</v>
      </c>
      <c r="K14" s="676">
        <v>0.2</v>
      </c>
      <c r="L14" s="463">
        <v>0</v>
      </c>
      <c r="M14" s="110">
        <v>0</v>
      </c>
      <c r="N14" s="110">
        <f t="shared" si="2"/>
        <v>426560</v>
      </c>
      <c r="O14" s="110">
        <f t="shared" si="3"/>
        <v>0</v>
      </c>
      <c r="P14" s="464" t="s">
        <v>2781</v>
      </c>
      <c r="Q14" s="23">
        <f t="shared" si="4"/>
        <v>0</v>
      </c>
      <c r="R14" s="10">
        <f t="shared" si="5"/>
        <v>21328</v>
      </c>
      <c r="S14" s="10">
        <f t="shared" si="6"/>
        <v>-21328</v>
      </c>
      <c r="T14" s="10"/>
      <c r="U14" s="10">
        <f t="shared" si="8"/>
        <v>0</v>
      </c>
      <c r="V14" s="10">
        <f t="shared" si="7"/>
        <v>0</v>
      </c>
    </row>
    <row r="15" spans="1:22" x14ac:dyDescent="0.2">
      <c r="A15" s="64">
        <f t="shared" si="9"/>
        <v>11</v>
      </c>
      <c r="B15" s="68"/>
      <c r="C15" s="675" t="s">
        <v>2782</v>
      </c>
      <c r="D15" s="66" t="s">
        <v>2790</v>
      </c>
      <c r="E15" s="110">
        <v>0</v>
      </c>
      <c r="F15" s="462"/>
      <c r="G15" s="110">
        <f t="shared" si="0"/>
        <v>0</v>
      </c>
      <c r="H15" s="462">
        <v>42300000</v>
      </c>
      <c r="I15" s="110">
        <f t="shared" si="1"/>
        <v>42300000</v>
      </c>
      <c r="J15" s="463">
        <v>5</v>
      </c>
      <c r="K15" s="676">
        <v>0.2</v>
      </c>
      <c r="L15" s="463">
        <v>0</v>
      </c>
      <c r="M15" s="110">
        <f>ROUND((I15*K15*L15/12),0)</f>
        <v>0</v>
      </c>
      <c r="N15" s="110">
        <f t="shared" si="2"/>
        <v>42300000</v>
      </c>
      <c r="O15" s="110">
        <f t="shared" si="3"/>
        <v>0</v>
      </c>
      <c r="P15" s="464" t="s">
        <v>2776</v>
      </c>
      <c r="Q15" s="23">
        <f t="shared" si="4"/>
        <v>0</v>
      </c>
      <c r="R15" s="10">
        <f t="shared" si="5"/>
        <v>2115000</v>
      </c>
      <c r="S15" s="10">
        <f t="shared" si="6"/>
        <v>-2115000</v>
      </c>
      <c r="T15" s="10"/>
      <c r="U15" s="10">
        <f t="shared" si="8"/>
        <v>0</v>
      </c>
      <c r="V15" s="10">
        <f t="shared" si="7"/>
        <v>0</v>
      </c>
    </row>
    <row r="16" spans="1:22" x14ac:dyDescent="0.2">
      <c r="A16" s="64">
        <f t="shared" si="9"/>
        <v>12</v>
      </c>
      <c r="B16" s="68"/>
      <c r="C16" s="675" t="s">
        <v>2791</v>
      </c>
      <c r="D16" s="66" t="s">
        <v>2792</v>
      </c>
      <c r="E16" s="110">
        <v>0</v>
      </c>
      <c r="F16" s="462"/>
      <c r="G16" s="110">
        <f t="shared" si="0"/>
        <v>0</v>
      </c>
      <c r="H16" s="462">
        <v>86958795</v>
      </c>
      <c r="I16" s="110">
        <f t="shared" si="1"/>
        <v>86958795</v>
      </c>
      <c r="J16" s="463">
        <v>5</v>
      </c>
      <c r="K16" s="676">
        <v>0.2</v>
      </c>
      <c r="L16" s="463">
        <v>0</v>
      </c>
      <c r="M16" s="110">
        <f>ROUND((I16*K16*L16/12),0)</f>
        <v>0</v>
      </c>
      <c r="N16" s="110">
        <f t="shared" si="2"/>
        <v>86958795</v>
      </c>
      <c r="O16" s="110">
        <f t="shared" si="3"/>
        <v>0</v>
      </c>
      <c r="P16" s="464" t="s">
        <v>2771</v>
      </c>
      <c r="Q16" s="23">
        <f t="shared" si="4"/>
        <v>0</v>
      </c>
      <c r="R16" s="10">
        <f t="shared" si="5"/>
        <v>4347939.75</v>
      </c>
      <c r="S16" s="10">
        <f t="shared" si="6"/>
        <v>-4347939.75</v>
      </c>
      <c r="T16" s="10"/>
      <c r="U16" s="10">
        <f>ROUND(T16/12*L16,0)</f>
        <v>0</v>
      </c>
      <c r="V16" s="10">
        <f t="shared" si="7"/>
        <v>0</v>
      </c>
    </row>
    <row r="17" spans="1:22" x14ac:dyDescent="0.2">
      <c r="A17" s="64">
        <f t="shared" si="9"/>
        <v>13</v>
      </c>
      <c r="B17" s="68"/>
      <c r="C17" s="675" t="s">
        <v>2793</v>
      </c>
      <c r="D17" s="66" t="s">
        <v>2794</v>
      </c>
      <c r="E17" s="110">
        <v>0</v>
      </c>
      <c r="F17" s="462"/>
      <c r="G17" s="110">
        <f t="shared" si="0"/>
        <v>0</v>
      </c>
      <c r="H17" s="110">
        <v>85491752</v>
      </c>
      <c r="I17" s="110">
        <f t="shared" si="1"/>
        <v>85491752</v>
      </c>
      <c r="J17" s="463">
        <v>5</v>
      </c>
      <c r="K17" s="676">
        <v>0.2</v>
      </c>
      <c r="L17" s="463">
        <v>0</v>
      </c>
      <c r="M17" s="110">
        <f>+I17*K17*L17/12</f>
        <v>0</v>
      </c>
      <c r="N17" s="110">
        <f t="shared" si="2"/>
        <v>85491752</v>
      </c>
      <c r="O17" s="110">
        <f t="shared" si="3"/>
        <v>0</v>
      </c>
      <c r="P17" s="464" t="s">
        <v>2781</v>
      </c>
      <c r="Q17" s="23">
        <f t="shared" si="4"/>
        <v>0</v>
      </c>
      <c r="R17" s="10">
        <f t="shared" si="5"/>
        <v>4274587.6000000006</v>
      </c>
      <c r="S17" s="10">
        <f t="shared" si="6"/>
        <v>-4274587.6000000006</v>
      </c>
      <c r="T17" s="10"/>
      <c r="U17" s="10">
        <f>ROUND(T17/12*9,0)</f>
        <v>0</v>
      </c>
      <c r="V17" s="10">
        <f t="shared" si="7"/>
        <v>0</v>
      </c>
    </row>
    <row r="18" spans="1:22" x14ac:dyDescent="0.2">
      <c r="A18" s="64">
        <f t="shared" si="9"/>
        <v>14</v>
      </c>
      <c r="B18" s="68"/>
      <c r="C18" s="675" t="s">
        <v>2795</v>
      </c>
      <c r="D18" s="66" t="s">
        <v>2794</v>
      </c>
      <c r="E18" s="110">
        <v>0</v>
      </c>
      <c r="F18" s="462"/>
      <c r="G18" s="110">
        <f t="shared" si="0"/>
        <v>0</v>
      </c>
      <c r="H18" s="110">
        <v>32520145</v>
      </c>
      <c r="I18" s="110">
        <f t="shared" si="1"/>
        <v>32520145</v>
      </c>
      <c r="J18" s="463">
        <v>5</v>
      </c>
      <c r="K18" s="676">
        <v>0.2</v>
      </c>
      <c r="L18" s="463">
        <v>0</v>
      </c>
      <c r="M18" s="110">
        <f>+I18*K18*L18/12</f>
        <v>0</v>
      </c>
      <c r="N18" s="110">
        <f t="shared" si="2"/>
        <v>32520145</v>
      </c>
      <c r="O18" s="110">
        <f t="shared" si="3"/>
        <v>0</v>
      </c>
      <c r="P18" s="464" t="s">
        <v>2778</v>
      </c>
      <c r="Q18" s="23">
        <f t="shared" si="4"/>
        <v>0</v>
      </c>
      <c r="R18" s="10">
        <f t="shared" si="5"/>
        <v>1626007.25</v>
      </c>
      <c r="S18" s="10">
        <f t="shared" si="6"/>
        <v>-1626007.25</v>
      </c>
      <c r="T18" s="10"/>
      <c r="U18" s="10">
        <f>ROUND(T18/12*9,0)</f>
        <v>0</v>
      </c>
      <c r="V18" s="10">
        <f t="shared" si="7"/>
        <v>0</v>
      </c>
    </row>
    <row r="19" spans="1:22" x14ac:dyDescent="0.2">
      <c r="A19" s="64">
        <f t="shared" si="9"/>
        <v>15</v>
      </c>
      <c r="B19" s="624" t="str">
        <f>LEFT(C19,3)</f>
        <v>개발비</v>
      </c>
      <c r="C19" s="675" t="s">
        <v>2796</v>
      </c>
      <c r="D19" s="66" t="s">
        <v>2797</v>
      </c>
      <c r="E19" s="110">
        <v>0</v>
      </c>
      <c r="F19" s="462"/>
      <c r="G19" s="110">
        <f t="shared" si="0"/>
        <v>0</v>
      </c>
      <c r="H19" s="110">
        <v>123291550</v>
      </c>
      <c r="I19" s="110">
        <f t="shared" si="1"/>
        <v>123291550</v>
      </c>
      <c r="J19" s="463">
        <v>5</v>
      </c>
      <c r="K19" s="676">
        <v>0.2</v>
      </c>
      <c r="L19" s="463">
        <v>0</v>
      </c>
      <c r="M19" s="110">
        <f t="shared" ref="M19:M51" si="10">ROUND((I19*K19*L19/12),0)</f>
        <v>0</v>
      </c>
      <c r="N19" s="110">
        <f t="shared" si="2"/>
        <v>123291550</v>
      </c>
      <c r="O19" s="110">
        <f t="shared" si="3"/>
        <v>0</v>
      </c>
      <c r="P19" s="464" t="s">
        <v>2781</v>
      </c>
      <c r="Q19" s="23"/>
      <c r="R19" s="10">
        <f t="shared" si="5"/>
        <v>6164577.5</v>
      </c>
      <c r="S19" s="10">
        <f t="shared" si="6"/>
        <v>-6164577.5</v>
      </c>
      <c r="T19" s="10">
        <f t="shared" ref="T19:T55" si="11">I19/J19</f>
        <v>24658310</v>
      </c>
      <c r="U19" s="10">
        <f t="shared" ref="U19:U55" si="12">ROUND(T19/12*L19,0)</f>
        <v>0</v>
      </c>
      <c r="V19" s="10">
        <f t="shared" si="7"/>
        <v>0</v>
      </c>
    </row>
    <row r="20" spans="1:22" x14ac:dyDescent="0.2">
      <c r="A20" s="64">
        <f t="shared" si="9"/>
        <v>16</v>
      </c>
      <c r="B20" s="624" t="str">
        <f>LEFT(C20,3)</f>
        <v>개발비</v>
      </c>
      <c r="C20" s="675" t="s">
        <v>2798</v>
      </c>
      <c r="D20" s="66" t="s">
        <v>2799</v>
      </c>
      <c r="E20" s="110">
        <v>0</v>
      </c>
      <c r="F20" s="462"/>
      <c r="G20" s="110">
        <f t="shared" si="0"/>
        <v>0</v>
      </c>
      <c r="H20" s="110">
        <v>104205523</v>
      </c>
      <c r="I20" s="110">
        <f t="shared" si="1"/>
        <v>104205523</v>
      </c>
      <c r="J20" s="463">
        <v>5</v>
      </c>
      <c r="K20" s="676">
        <v>0.2</v>
      </c>
      <c r="L20" s="463">
        <v>0</v>
      </c>
      <c r="M20" s="110">
        <f t="shared" si="10"/>
        <v>0</v>
      </c>
      <c r="N20" s="110">
        <f t="shared" si="2"/>
        <v>104205523</v>
      </c>
      <c r="O20" s="110">
        <f t="shared" si="3"/>
        <v>0</v>
      </c>
      <c r="P20" s="509" t="s">
        <v>2781</v>
      </c>
      <c r="Q20" s="23"/>
      <c r="R20" s="10">
        <f t="shared" si="5"/>
        <v>5210276.1500000004</v>
      </c>
      <c r="S20" s="10">
        <f t="shared" si="6"/>
        <v>-5210276.1500000004</v>
      </c>
      <c r="T20" s="10">
        <f t="shared" si="11"/>
        <v>20841104.600000001</v>
      </c>
      <c r="U20" s="10">
        <f t="shared" si="12"/>
        <v>0</v>
      </c>
      <c r="V20" s="10">
        <f t="shared" si="7"/>
        <v>0</v>
      </c>
    </row>
    <row r="21" spans="1:22" x14ac:dyDescent="0.2">
      <c r="A21" s="64">
        <f t="shared" si="9"/>
        <v>17</v>
      </c>
      <c r="B21" s="624" t="str">
        <f>LEFT(C21,3)</f>
        <v>개발비</v>
      </c>
      <c r="C21" s="675" t="s">
        <v>2800</v>
      </c>
      <c r="D21" s="66" t="s">
        <v>2799</v>
      </c>
      <c r="E21" s="110">
        <v>0</v>
      </c>
      <c r="F21" s="462"/>
      <c r="G21" s="110">
        <f t="shared" si="0"/>
        <v>0</v>
      </c>
      <c r="H21" s="110">
        <v>31475066</v>
      </c>
      <c r="I21" s="110">
        <f t="shared" si="1"/>
        <v>31475066</v>
      </c>
      <c r="J21" s="463">
        <v>5</v>
      </c>
      <c r="K21" s="676">
        <v>0.2</v>
      </c>
      <c r="L21" s="463">
        <v>0</v>
      </c>
      <c r="M21" s="110">
        <f t="shared" si="10"/>
        <v>0</v>
      </c>
      <c r="N21" s="110">
        <f t="shared" si="2"/>
        <v>31475066</v>
      </c>
      <c r="O21" s="110">
        <f t="shared" si="3"/>
        <v>0</v>
      </c>
      <c r="P21" s="509" t="s">
        <v>2781</v>
      </c>
      <c r="Q21" s="23"/>
      <c r="R21" s="10">
        <f t="shared" si="5"/>
        <v>1573753.3</v>
      </c>
      <c r="S21" s="10">
        <f t="shared" si="6"/>
        <v>-1573753.3</v>
      </c>
      <c r="T21" s="10">
        <f t="shared" si="11"/>
        <v>6295013.2000000002</v>
      </c>
      <c r="U21" s="10">
        <f t="shared" si="12"/>
        <v>0</v>
      </c>
      <c r="V21" s="10">
        <f t="shared" si="7"/>
        <v>0</v>
      </c>
    </row>
    <row r="22" spans="1:22" x14ac:dyDescent="0.2">
      <c r="A22" s="64">
        <f t="shared" si="9"/>
        <v>18</v>
      </c>
      <c r="B22" s="624" t="str">
        <f>LEFT(C22,3)</f>
        <v>개발비</v>
      </c>
      <c r="C22" s="675" t="s">
        <v>2801</v>
      </c>
      <c r="D22" s="66" t="s">
        <v>2802</v>
      </c>
      <c r="E22" s="110">
        <v>0</v>
      </c>
      <c r="F22" s="462"/>
      <c r="G22" s="110">
        <f t="shared" si="0"/>
        <v>0</v>
      </c>
      <c r="H22" s="110">
        <v>30359603</v>
      </c>
      <c r="I22" s="110">
        <f t="shared" si="1"/>
        <v>30359603</v>
      </c>
      <c r="J22" s="463">
        <v>5</v>
      </c>
      <c r="K22" s="676">
        <v>0.2</v>
      </c>
      <c r="L22" s="463">
        <v>0</v>
      </c>
      <c r="M22" s="110">
        <f t="shared" si="10"/>
        <v>0</v>
      </c>
      <c r="N22" s="110">
        <f t="shared" si="2"/>
        <v>30359603</v>
      </c>
      <c r="O22" s="110">
        <f t="shared" si="3"/>
        <v>0</v>
      </c>
      <c r="P22" s="509" t="s">
        <v>2776</v>
      </c>
      <c r="Q22" s="23"/>
      <c r="R22" s="10">
        <f t="shared" si="5"/>
        <v>1517980.1500000001</v>
      </c>
      <c r="S22" s="10">
        <f t="shared" si="6"/>
        <v>-1517980.1500000001</v>
      </c>
      <c r="T22" s="10">
        <f t="shared" si="11"/>
        <v>6071920.5999999996</v>
      </c>
      <c r="U22" s="10">
        <f t="shared" si="12"/>
        <v>0</v>
      </c>
      <c r="V22" s="10">
        <f t="shared" si="7"/>
        <v>0</v>
      </c>
    </row>
    <row r="23" spans="1:22" x14ac:dyDescent="0.2">
      <c r="A23" s="64">
        <f t="shared" si="9"/>
        <v>19</v>
      </c>
      <c r="B23" s="624" t="str">
        <f>LEFT(C23,3)</f>
        <v>개발비</v>
      </c>
      <c r="C23" s="675" t="s">
        <v>2803</v>
      </c>
      <c r="D23" s="66" t="s">
        <v>2804</v>
      </c>
      <c r="E23" s="110">
        <v>0</v>
      </c>
      <c r="F23" s="462"/>
      <c r="G23" s="110">
        <f t="shared" si="0"/>
        <v>0</v>
      </c>
      <c r="H23" s="110">
        <v>40104957</v>
      </c>
      <c r="I23" s="110">
        <f t="shared" si="1"/>
        <v>40104957</v>
      </c>
      <c r="J23" s="463">
        <v>5</v>
      </c>
      <c r="K23" s="676">
        <v>0.2</v>
      </c>
      <c r="L23" s="463">
        <v>0</v>
      </c>
      <c r="M23" s="110">
        <f t="shared" si="10"/>
        <v>0</v>
      </c>
      <c r="N23" s="110">
        <f t="shared" si="2"/>
        <v>40104957</v>
      </c>
      <c r="O23" s="185">
        <f t="shared" si="3"/>
        <v>0</v>
      </c>
      <c r="P23" s="509" t="s">
        <v>2781</v>
      </c>
      <c r="Q23" s="23"/>
      <c r="R23" s="10">
        <f t="shared" si="5"/>
        <v>2005247.85</v>
      </c>
      <c r="S23" s="10">
        <f t="shared" si="6"/>
        <v>-2005247.85</v>
      </c>
      <c r="T23" s="10">
        <f t="shared" si="11"/>
        <v>8020991.4000000004</v>
      </c>
      <c r="U23" s="10">
        <f t="shared" si="12"/>
        <v>0</v>
      </c>
      <c r="V23" s="10">
        <f t="shared" si="7"/>
        <v>0</v>
      </c>
    </row>
    <row r="24" spans="1:22" x14ac:dyDescent="0.2">
      <c r="A24" s="64">
        <f t="shared" si="9"/>
        <v>20</v>
      </c>
      <c r="B24" s="624" t="str">
        <f>LEFT(C24,5)</f>
        <v>소프트웨어</v>
      </c>
      <c r="C24" s="675" t="s">
        <v>1868</v>
      </c>
      <c r="D24" s="66" t="s">
        <v>2805</v>
      </c>
      <c r="E24" s="110">
        <v>0</v>
      </c>
      <c r="F24" s="462"/>
      <c r="G24" s="110">
        <f t="shared" si="0"/>
        <v>0</v>
      </c>
      <c r="H24" s="110">
        <v>700000</v>
      </c>
      <c r="I24" s="110">
        <f t="shared" si="1"/>
        <v>700000</v>
      </c>
      <c r="J24" s="463">
        <v>5</v>
      </c>
      <c r="K24" s="676">
        <v>0.2</v>
      </c>
      <c r="L24" s="463">
        <v>0</v>
      </c>
      <c r="M24" s="110">
        <f t="shared" si="10"/>
        <v>0</v>
      </c>
      <c r="N24" s="110">
        <f t="shared" si="2"/>
        <v>700000</v>
      </c>
      <c r="O24" s="185">
        <f t="shared" si="3"/>
        <v>0</v>
      </c>
      <c r="P24" s="509" t="s">
        <v>2781</v>
      </c>
      <c r="Q24" s="23"/>
      <c r="R24" s="10">
        <f t="shared" si="5"/>
        <v>35000</v>
      </c>
      <c r="S24" s="10">
        <f t="shared" si="6"/>
        <v>-35000</v>
      </c>
      <c r="T24" s="10">
        <f t="shared" si="11"/>
        <v>140000</v>
      </c>
      <c r="U24" s="10">
        <f t="shared" si="12"/>
        <v>0</v>
      </c>
      <c r="V24" s="10">
        <f t="shared" si="7"/>
        <v>0</v>
      </c>
    </row>
    <row r="25" spans="1:22" x14ac:dyDescent="0.2">
      <c r="A25" s="64">
        <f t="shared" si="9"/>
        <v>21</v>
      </c>
      <c r="B25" s="624" t="str">
        <f>LEFT(C25,3)</f>
        <v>개발비</v>
      </c>
      <c r="C25" s="675" t="s">
        <v>2806</v>
      </c>
      <c r="D25" s="66" t="s">
        <v>2807</v>
      </c>
      <c r="E25" s="110">
        <v>0</v>
      </c>
      <c r="F25" s="462"/>
      <c r="G25" s="110">
        <f t="shared" si="0"/>
        <v>0</v>
      </c>
      <c r="H25" s="110">
        <v>49155498</v>
      </c>
      <c r="I25" s="110">
        <f t="shared" si="1"/>
        <v>49155498</v>
      </c>
      <c r="J25" s="463">
        <v>5</v>
      </c>
      <c r="K25" s="676">
        <v>0.2</v>
      </c>
      <c r="L25" s="463">
        <v>0</v>
      </c>
      <c r="M25" s="110">
        <f t="shared" si="10"/>
        <v>0</v>
      </c>
      <c r="N25" s="110">
        <f t="shared" si="2"/>
        <v>49155498</v>
      </c>
      <c r="O25" s="185">
        <f t="shared" si="3"/>
        <v>0</v>
      </c>
      <c r="P25" s="509" t="s">
        <v>2781</v>
      </c>
      <c r="Q25" s="23"/>
      <c r="R25" s="10">
        <f t="shared" si="5"/>
        <v>2457774.9</v>
      </c>
      <c r="S25" s="10">
        <f t="shared" si="6"/>
        <v>-2457774.9</v>
      </c>
      <c r="T25" s="10">
        <f t="shared" si="11"/>
        <v>9831099.5999999996</v>
      </c>
      <c r="U25" s="10">
        <f t="shared" si="12"/>
        <v>0</v>
      </c>
      <c r="V25" s="10">
        <f t="shared" si="7"/>
        <v>0</v>
      </c>
    </row>
    <row r="26" spans="1:22" x14ac:dyDescent="0.2">
      <c r="A26" s="64">
        <f t="shared" si="9"/>
        <v>22</v>
      </c>
      <c r="B26" s="624" t="str">
        <f>LEFT(C26,3)</f>
        <v>개발비</v>
      </c>
      <c r="C26" s="677" t="s">
        <v>2808</v>
      </c>
      <c r="D26" s="90" t="s">
        <v>2809</v>
      </c>
      <c r="E26" s="110">
        <v>0</v>
      </c>
      <c r="F26" s="512"/>
      <c r="G26" s="110">
        <f t="shared" si="0"/>
        <v>0</v>
      </c>
      <c r="H26" s="140">
        <v>87550295</v>
      </c>
      <c r="I26" s="110">
        <f t="shared" si="1"/>
        <v>87550295</v>
      </c>
      <c r="J26" s="485">
        <v>5</v>
      </c>
      <c r="K26" s="678">
        <v>0.2</v>
      </c>
      <c r="L26" s="463">
        <v>0</v>
      </c>
      <c r="M26" s="110">
        <f t="shared" si="10"/>
        <v>0</v>
      </c>
      <c r="N26" s="140">
        <f t="shared" si="2"/>
        <v>87550295</v>
      </c>
      <c r="O26" s="437">
        <f t="shared" si="3"/>
        <v>0</v>
      </c>
      <c r="P26" s="509" t="s">
        <v>2781</v>
      </c>
      <c r="Q26" s="23"/>
      <c r="R26" s="10">
        <f t="shared" si="5"/>
        <v>4377514.75</v>
      </c>
      <c r="S26" s="10">
        <f t="shared" si="6"/>
        <v>-4377514.75</v>
      </c>
      <c r="T26" s="10">
        <f t="shared" si="11"/>
        <v>17510059</v>
      </c>
      <c r="U26" s="10">
        <f t="shared" si="12"/>
        <v>0</v>
      </c>
      <c r="V26" s="10">
        <f t="shared" si="7"/>
        <v>0</v>
      </c>
    </row>
    <row r="27" spans="1:22" x14ac:dyDescent="0.2">
      <c r="A27" s="64">
        <f t="shared" si="9"/>
        <v>23</v>
      </c>
      <c r="B27" s="624" t="str">
        <f>LEFT(C27,3)</f>
        <v>개발비</v>
      </c>
      <c r="C27" s="679" t="s">
        <v>2810</v>
      </c>
      <c r="D27" s="72" t="s">
        <v>2811</v>
      </c>
      <c r="E27" s="110">
        <v>0</v>
      </c>
      <c r="F27" s="462"/>
      <c r="G27" s="110">
        <f t="shared" si="0"/>
        <v>0</v>
      </c>
      <c r="H27" s="110">
        <v>39011255</v>
      </c>
      <c r="I27" s="110">
        <f t="shared" si="1"/>
        <v>39011255</v>
      </c>
      <c r="J27" s="485">
        <v>5</v>
      </c>
      <c r="K27" s="678">
        <v>0.2</v>
      </c>
      <c r="L27" s="463">
        <v>0</v>
      </c>
      <c r="M27" s="110">
        <f t="shared" si="10"/>
        <v>0</v>
      </c>
      <c r="N27" s="140">
        <f t="shared" si="2"/>
        <v>39011255</v>
      </c>
      <c r="O27" s="437">
        <f t="shared" si="3"/>
        <v>0</v>
      </c>
      <c r="P27" s="509" t="s">
        <v>2776</v>
      </c>
      <c r="Q27" s="23"/>
      <c r="R27" s="10">
        <f t="shared" si="5"/>
        <v>1950562.75</v>
      </c>
      <c r="S27" s="10">
        <f t="shared" si="6"/>
        <v>-1950562.75</v>
      </c>
      <c r="T27" s="10">
        <f t="shared" si="11"/>
        <v>7802251</v>
      </c>
      <c r="U27" s="10">
        <f t="shared" si="12"/>
        <v>0</v>
      </c>
      <c r="V27" s="10">
        <f t="shared" si="7"/>
        <v>0</v>
      </c>
    </row>
    <row r="28" spans="1:22" x14ac:dyDescent="0.2">
      <c r="A28" s="64">
        <f t="shared" si="9"/>
        <v>24</v>
      </c>
      <c r="B28" s="624" t="str">
        <f>LEFT(C28,5)</f>
        <v>소프트웨어</v>
      </c>
      <c r="C28" s="679" t="s">
        <v>2782</v>
      </c>
      <c r="D28" s="72" t="s">
        <v>2812</v>
      </c>
      <c r="E28" s="110">
        <v>0</v>
      </c>
      <c r="F28" s="484"/>
      <c r="G28" s="110">
        <f t="shared" si="0"/>
        <v>0</v>
      </c>
      <c r="H28" s="140">
        <v>77272</v>
      </c>
      <c r="I28" s="110">
        <f t="shared" si="1"/>
        <v>77272</v>
      </c>
      <c r="J28" s="485">
        <v>5</v>
      </c>
      <c r="K28" s="678">
        <v>0.2</v>
      </c>
      <c r="L28" s="463">
        <v>0</v>
      </c>
      <c r="M28" s="110">
        <f t="shared" si="10"/>
        <v>0</v>
      </c>
      <c r="N28" s="140">
        <f t="shared" si="2"/>
        <v>77272</v>
      </c>
      <c r="O28" s="437">
        <f t="shared" si="3"/>
        <v>0</v>
      </c>
      <c r="P28" s="509" t="s">
        <v>2781</v>
      </c>
      <c r="Q28" s="23"/>
      <c r="R28" s="10">
        <f t="shared" si="5"/>
        <v>3863.6000000000004</v>
      </c>
      <c r="S28" s="10">
        <f t="shared" si="6"/>
        <v>-3863.6000000000004</v>
      </c>
      <c r="T28" s="10">
        <f t="shared" si="11"/>
        <v>15454.4</v>
      </c>
      <c r="U28" s="10">
        <f t="shared" si="12"/>
        <v>0</v>
      </c>
      <c r="V28" s="10">
        <f t="shared" si="7"/>
        <v>0</v>
      </c>
    </row>
    <row r="29" spans="1:22" x14ac:dyDescent="0.2">
      <c r="A29" s="64">
        <f t="shared" si="9"/>
        <v>25</v>
      </c>
      <c r="B29" s="624" t="str">
        <f>LEFT(C29,3)</f>
        <v>개발비</v>
      </c>
      <c r="C29" s="679" t="s">
        <v>2813</v>
      </c>
      <c r="D29" s="72" t="s">
        <v>2814</v>
      </c>
      <c r="E29" s="110">
        <v>0</v>
      </c>
      <c r="F29" s="484"/>
      <c r="G29" s="110">
        <f t="shared" si="0"/>
        <v>0</v>
      </c>
      <c r="H29" s="140">
        <v>54527657</v>
      </c>
      <c r="I29" s="110">
        <f t="shared" si="1"/>
        <v>54527657</v>
      </c>
      <c r="J29" s="485">
        <v>5</v>
      </c>
      <c r="K29" s="678">
        <v>0.2</v>
      </c>
      <c r="L29" s="463">
        <v>0</v>
      </c>
      <c r="M29" s="110">
        <f t="shared" si="10"/>
        <v>0</v>
      </c>
      <c r="N29" s="140">
        <f t="shared" si="2"/>
        <v>54527657</v>
      </c>
      <c r="O29" s="437">
        <f t="shared" si="3"/>
        <v>0</v>
      </c>
      <c r="P29" s="509" t="s">
        <v>2771</v>
      </c>
      <c r="Q29" s="23"/>
      <c r="R29" s="10">
        <f t="shared" si="5"/>
        <v>2726382.85</v>
      </c>
      <c r="S29" s="10">
        <f t="shared" si="6"/>
        <v>-2726382.85</v>
      </c>
      <c r="T29" s="10">
        <f t="shared" si="11"/>
        <v>10905531.4</v>
      </c>
      <c r="U29" s="10">
        <f t="shared" si="12"/>
        <v>0</v>
      </c>
      <c r="V29" s="10">
        <f t="shared" si="7"/>
        <v>0</v>
      </c>
    </row>
    <row r="30" spans="1:22" x14ac:dyDescent="0.2">
      <c r="A30" s="64">
        <f t="shared" si="9"/>
        <v>26</v>
      </c>
      <c r="B30" s="624" t="str">
        <f>LEFT(C30,5)</f>
        <v>소프트웨어</v>
      </c>
      <c r="C30" s="679" t="s">
        <v>1868</v>
      </c>
      <c r="D30" s="72" t="s">
        <v>2815</v>
      </c>
      <c r="E30" s="110">
        <v>0</v>
      </c>
      <c r="F30" s="484"/>
      <c r="G30" s="110">
        <f t="shared" si="0"/>
        <v>0</v>
      </c>
      <c r="H30" s="140">
        <v>310000</v>
      </c>
      <c r="I30" s="110">
        <f t="shared" si="1"/>
        <v>310000</v>
      </c>
      <c r="J30" s="485">
        <v>5</v>
      </c>
      <c r="K30" s="678">
        <v>0.2</v>
      </c>
      <c r="L30" s="463">
        <v>0</v>
      </c>
      <c r="M30" s="110">
        <f t="shared" si="10"/>
        <v>0</v>
      </c>
      <c r="N30" s="140">
        <f t="shared" si="2"/>
        <v>310000</v>
      </c>
      <c r="O30" s="437">
        <f t="shared" si="3"/>
        <v>0</v>
      </c>
      <c r="P30" s="509" t="s">
        <v>2781</v>
      </c>
      <c r="Q30" s="23"/>
      <c r="R30" s="10">
        <f t="shared" si="5"/>
        <v>15500</v>
      </c>
      <c r="S30" s="10">
        <f t="shared" si="6"/>
        <v>-15500</v>
      </c>
      <c r="T30" s="10">
        <f t="shared" si="11"/>
        <v>62000</v>
      </c>
      <c r="U30" s="10">
        <f t="shared" si="12"/>
        <v>0</v>
      </c>
      <c r="V30" s="10">
        <f t="shared" si="7"/>
        <v>0</v>
      </c>
    </row>
    <row r="31" spans="1:22" x14ac:dyDescent="0.2">
      <c r="A31" s="64">
        <f t="shared" si="9"/>
        <v>27</v>
      </c>
      <c r="B31" s="624" t="str">
        <f>LEFT(C31,5)</f>
        <v>소프트웨어</v>
      </c>
      <c r="C31" s="675" t="s">
        <v>2782</v>
      </c>
      <c r="D31" s="66" t="s">
        <v>2815</v>
      </c>
      <c r="E31" s="110">
        <v>0</v>
      </c>
      <c r="F31" s="462"/>
      <c r="G31" s="110">
        <f t="shared" si="0"/>
        <v>0</v>
      </c>
      <c r="H31" s="110">
        <v>214000</v>
      </c>
      <c r="I31" s="110">
        <f t="shared" si="1"/>
        <v>214000</v>
      </c>
      <c r="J31" s="485">
        <v>5</v>
      </c>
      <c r="K31" s="678">
        <v>0.2</v>
      </c>
      <c r="L31" s="463">
        <v>0</v>
      </c>
      <c r="M31" s="110">
        <f t="shared" si="10"/>
        <v>0</v>
      </c>
      <c r="N31" s="140">
        <f t="shared" si="2"/>
        <v>214000</v>
      </c>
      <c r="O31" s="437">
        <f t="shared" si="3"/>
        <v>0</v>
      </c>
      <c r="P31" s="509" t="s">
        <v>2771</v>
      </c>
      <c r="Q31" s="23"/>
      <c r="R31" s="10">
        <f t="shared" si="5"/>
        <v>10700</v>
      </c>
      <c r="S31" s="10">
        <f t="shared" si="6"/>
        <v>-10700</v>
      </c>
      <c r="T31" s="10">
        <f t="shared" si="11"/>
        <v>42800</v>
      </c>
      <c r="U31" s="10">
        <f t="shared" si="12"/>
        <v>0</v>
      </c>
      <c r="V31" s="10">
        <f t="shared" si="7"/>
        <v>0</v>
      </c>
    </row>
    <row r="32" spans="1:22" x14ac:dyDescent="0.2">
      <c r="A32" s="64">
        <f t="shared" si="9"/>
        <v>28</v>
      </c>
      <c r="B32" s="624" t="str">
        <f>LEFT(C32,5)</f>
        <v>소프트웨어</v>
      </c>
      <c r="C32" s="677" t="s">
        <v>1868</v>
      </c>
      <c r="D32" s="90" t="s">
        <v>2816</v>
      </c>
      <c r="E32" s="110">
        <v>0</v>
      </c>
      <c r="F32" s="512"/>
      <c r="G32" s="110">
        <f t="shared" si="0"/>
        <v>0</v>
      </c>
      <c r="H32" s="121">
        <v>95000</v>
      </c>
      <c r="I32" s="110">
        <f t="shared" si="1"/>
        <v>95000</v>
      </c>
      <c r="J32" s="485">
        <v>5</v>
      </c>
      <c r="K32" s="678">
        <v>0.2</v>
      </c>
      <c r="L32" s="463">
        <v>0</v>
      </c>
      <c r="M32" s="110">
        <f t="shared" si="10"/>
        <v>0</v>
      </c>
      <c r="N32" s="140">
        <f t="shared" si="2"/>
        <v>95000</v>
      </c>
      <c r="O32" s="437">
        <f t="shared" si="3"/>
        <v>0</v>
      </c>
      <c r="P32" s="509" t="s">
        <v>2781</v>
      </c>
      <c r="Q32" s="23"/>
      <c r="R32" s="10">
        <f t="shared" si="5"/>
        <v>4750</v>
      </c>
      <c r="S32" s="10">
        <f t="shared" si="6"/>
        <v>-4750</v>
      </c>
      <c r="T32" s="10">
        <f t="shared" si="11"/>
        <v>19000</v>
      </c>
      <c r="U32" s="10">
        <f t="shared" si="12"/>
        <v>0</v>
      </c>
      <c r="V32" s="10">
        <f t="shared" si="7"/>
        <v>0</v>
      </c>
    </row>
    <row r="33" spans="1:22" x14ac:dyDescent="0.2">
      <c r="A33" s="64">
        <f t="shared" si="9"/>
        <v>29</v>
      </c>
      <c r="B33" s="624" t="str">
        <f>LEFT(C33,3)</f>
        <v>개발비</v>
      </c>
      <c r="C33" s="675" t="s">
        <v>2817</v>
      </c>
      <c r="D33" s="66" t="s">
        <v>2818</v>
      </c>
      <c r="E33" s="110">
        <v>0</v>
      </c>
      <c r="F33" s="462"/>
      <c r="G33" s="110">
        <f t="shared" si="0"/>
        <v>0</v>
      </c>
      <c r="H33" s="110">
        <v>57242701</v>
      </c>
      <c r="I33" s="110">
        <f t="shared" si="1"/>
        <v>57242701</v>
      </c>
      <c r="J33" s="463">
        <v>5</v>
      </c>
      <c r="K33" s="676">
        <v>0.2</v>
      </c>
      <c r="L33" s="463">
        <v>0</v>
      </c>
      <c r="M33" s="110">
        <f t="shared" si="10"/>
        <v>0</v>
      </c>
      <c r="N33" s="140">
        <f t="shared" si="2"/>
        <v>57242701</v>
      </c>
      <c r="O33" s="437">
        <f t="shared" si="3"/>
        <v>0</v>
      </c>
      <c r="P33" s="509" t="s">
        <v>2781</v>
      </c>
      <c r="Q33" s="23"/>
      <c r="R33" s="10">
        <f t="shared" si="5"/>
        <v>2862135.0500000003</v>
      </c>
      <c r="S33" s="10">
        <f t="shared" si="6"/>
        <v>-2862135.0500000003</v>
      </c>
      <c r="T33" s="10">
        <f t="shared" si="11"/>
        <v>11448540.199999999</v>
      </c>
      <c r="U33" s="10">
        <f t="shared" si="12"/>
        <v>0</v>
      </c>
      <c r="V33" s="10">
        <f t="shared" si="7"/>
        <v>0</v>
      </c>
    </row>
    <row r="34" spans="1:22" x14ac:dyDescent="0.2">
      <c r="A34" s="64">
        <f t="shared" si="9"/>
        <v>30</v>
      </c>
      <c r="B34" s="624" t="str">
        <f>LEFT(C34,3)</f>
        <v>개발비</v>
      </c>
      <c r="C34" s="675" t="s">
        <v>2819</v>
      </c>
      <c r="D34" s="66" t="s">
        <v>2820</v>
      </c>
      <c r="E34" s="110">
        <v>0</v>
      </c>
      <c r="F34" s="462"/>
      <c r="G34" s="110">
        <f t="shared" si="0"/>
        <v>0</v>
      </c>
      <c r="H34" s="110">
        <v>20014564</v>
      </c>
      <c r="I34" s="110">
        <f t="shared" si="1"/>
        <v>20014564</v>
      </c>
      <c r="J34" s="463">
        <v>5</v>
      </c>
      <c r="K34" s="676">
        <v>0.2</v>
      </c>
      <c r="L34" s="463">
        <v>0</v>
      </c>
      <c r="M34" s="110">
        <f t="shared" si="10"/>
        <v>0</v>
      </c>
      <c r="N34" s="140">
        <f t="shared" si="2"/>
        <v>20014564</v>
      </c>
      <c r="O34" s="437">
        <f t="shared" si="3"/>
        <v>0</v>
      </c>
      <c r="P34" s="509" t="s">
        <v>2781</v>
      </c>
      <c r="Q34" s="23"/>
      <c r="R34" s="10">
        <f t="shared" si="5"/>
        <v>1000728.2000000001</v>
      </c>
      <c r="S34" s="10">
        <f t="shared" si="6"/>
        <v>-1000728.2000000001</v>
      </c>
      <c r="T34" s="10">
        <f t="shared" si="11"/>
        <v>4002912.8</v>
      </c>
      <c r="U34" s="10">
        <f t="shared" si="12"/>
        <v>0</v>
      </c>
      <c r="V34" s="10">
        <f t="shared" si="7"/>
        <v>0</v>
      </c>
    </row>
    <row r="35" spans="1:22" x14ac:dyDescent="0.2">
      <c r="A35" s="64">
        <f t="shared" si="9"/>
        <v>31</v>
      </c>
      <c r="B35" s="624" t="str">
        <f>LEFT(C35,5)</f>
        <v>소프트웨어</v>
      </c>
      <c r="C35" s="675" t="s">
        <v>2821</v>
      </c>
      <c r="D35" s="66" t="s">
        <v>2822</v>
      </c>
      <c r="E35" s="110">
        <v>0</v>
      </c>
      <c r="F35" s="462"/>
      <c r="G35" s="110">
        <f t="shared" si="0"/>
        <v>0</v>
      </c>
      <c r="H35" s="110">
        <v>190000</v>
      </c>
      <c r="I35" s="110">
        <f t="shared" si="1"/>
        <v>190000</v>
      </c>
      <c r="J35" s="463">
        <v>5</v>
      </c>
      <c r="K35" s="676">
        <v>0.2</v>
      </c>
      <c r="L35" s="463">
        <v>0</v>
      </c>
      <c r="M35" s="110">
        <f t="shared" si="10"/>
        <v>0</v>
      </c>
      <c r="N35" s="140">
        <f t="shared" si="2"/>
        <v>190000</v>
      </c>
      <c r="O35" s="185">
        <f t="shared" si="3"/>
        <v>0</v>
      </c>
      <c r="P35" s="509" t="s">
        <v>2781</v>
      </c>
      <c r="Q35" s="23"/>
      <c r="R35" s="10">
        <f t="shared" si="5"/>
        <v>9500</v>
      </c>
      <c r="S35" s="10">
        <f t="shared" si="6"/>
        <v>-9500</v>
      </c>
      <c r="T35" s="10">
        <f t="shared" si="11"/>
        <v>38000</v>
      </c>
      <c r="U35" s="10">
        <f t="shared" si="12"/>
        <v>0</v>
      </c>
      <c r="V35" s="10">
        <f t="shared" si="7"/>
        <v>0</v>
      </c>
    </row>
    <row r="36" spans="1:22" x14ac:dyDescent="0.2">
      <c r="A36" s="64">
        <f t="shared" si="9"/>
        <v>32</v>
      </c>
      <c r="B36" s="624" t="str">
        <f>LEFT(C36,3)</f>
        <v>개발비</v>
      </c>
      <c r="C36" s="675" t="s">
        <v>2823</v>
      </c>
      <c r="D36" s="66" t="s">
        <v>2824</v>
      </c>
      <c r="E36" s="110">
        <v>0</v>
      </c>
      <c r="F36" s="462"/>
      <c r="G36" s="110">
        <f t="shared" si="0"/>
        <v>0</v>
      </c>
      <c r="H36" s="110">
        <v>71328994</v>
      </c>
      <c r="I36" s="110">
        <f t="shared" si="1"/>
        <v>71328994</v>
      </c>
      <c r="J36" s="463">
        <v>5</v>
      </c>
      <c r="K36" s="676">
        <v>0.2</v>
      </c>
      <c r="L36" s="463">
        <v>0</v>
      </c>
      <c r="M36" s="110">
        <f t="shared" si="10"/>
        <v>0</v>
      </c>
      <c r="N36" s="140">
        <f t="shared" si="2"/>
        <v>71328994</v>
      </c>
      <c r="O36" s="185">
        <f t="shared" si="3"/>
        <v>0</v>
      </c>
      <c r="P36" s="509" t="s">
        <v>2781</v>
      </c>
      <c r="Q36" s="23"/>
      <c r="R36" s="10">
        <f t="shared" si="5"/>
        <v>3566449.7</v>
      </c>
      <c r="S36" s="10">
        <f t="shared" si="6"/>
        <v>-3566449.7</v>
      </c>
      <c r="T36" s="10">
        <f t="shared" si="11"/>
        <v>14265798.800000001</v>
      </c>
      <c r="U36" s="10">
        <f t="shared" si="12"/>
        <v>0</v>
      </c>
      <c r="V36" s="10">
        <f t="shared" si="7"/>
        <v>0</v>
      </c>
    </row>
    <row r="37" spans="1:22" x14ac:dyDescent="0.2">
      <c r="A37" s="64">
        <f t="shared" si="9"/>
        <v>33</v>
      </c>
      <c r="B37" s="624" t="str">
        <f>LEFT(C37,3)</f>
        <v>개발비</v>
      </c>
      <c r="C37" s="675" t="s">
        <v>2825</v>
      </c>
      <c r="D37" s="66" t="s">
        <v>2824</v>
      </c>
      <c r="E37" s="110">
        <v>0</v>
      </c>
      <c r="F37" s="462"/>
      <c r="G37" s="110">
        <f t="shared" si="0"/>
        <v>0</v>
      </c>
      <c r="H37" s="110">
        <v>31129422</v>
      </c>
      <c r="I37" s="110">
        <f t="shared" si="1"/>
        <v>31129422</v>
      </c>
      <c r="J37" s="463">
        <v>5</v>
      </c>
      <c r="K37" s="676">
        <v>0.2</v>
      </c>
      <c r="L37" s="463">
        <v>0</v>
      </c>
      <c r="M37" s="110">
        <f t="shared" si="10"/>
        <v>0</v>
      </c>
      <c r="N37" s="140">
        <f t="shared" si="2"/>
        <v>31129422</v>
      </c>
      <c r="O37" s="185">
        <f t="shared" si="3"/>
        <v>0</v>
      </c>
      <c r="P37" s="509" t="s">
        <v>2781</v>
      </c>
      <c r="Q37" s="23"/>
      <c r="R37" s="10">
        <f t="shared" si="5"/>
        <v>1556471.1</v>
      </c>
      <c r="S37" s="10">
        <f t="shared" si="6"/>
        <v>-1556471.1</v>
      </c>
      <c r="T37" s="10">
        <f t="shared" si="11"/>
        <v>6225884.4000000004</v>
      </c>
      <c r="U37" s="10">
        <f t="shared" si="12"/>
        <v>0</v>
      </c>
      <c r="V37" s="10">
        <f t="shared" si="7"/>
        <v>0</v>
      </c>
    </row>
    <row r="38" spans="1:22" x14ac:dyDescent="0.2">
      <c r="A38" s="64">
        <f t="shared" si="9"/>
        <v>34</v>
      </c>
      <c r="B38" s="624" t="str">
        <f>LEFT(C38,3)</f>
        <v>개발비</v>
      </c>
      <c r="C38" s="675" t="s">
        <v>2826</v>
      </c>
      <c r="D38" s="66" t="s">
        <v>2824</v>
      </c>
      <c r="E38" s="110">
        <v>0</v>
      </c>
      <c r="F38" s="462"/>
      <c r="G38" s="110">
        <f t="shared" si="0"/>
        <v>0</v>
      </c>
      <c r="H38" s="110">
        <v>29543944</v>
      </c>
      <c r="I38" s="110">
        <f t="shared" si="1"/>
        <v>29543944</v>
      </c>
      <c r="J38" s="463">
        <v>5</v>
      </c>
      <c r="K38" s="676">
        <v>0.2</v>
      </c>
      <c r="L38" s="463">
        <v>0</v>
      </c>
      <c r="M38" s="110">
        <f t="shared" si="10"/>
        <v>0</v>
      </c>
      <c r="N38" s="140">
        <f t="shared" si="2"/>
        <v>29543944</v>
      </c>
      <c r="O38" s="185">
        <f t="shared" si="3"/>
        <v>0</v>
      </c>
      <c r="P38" s="509" t="s">
        <v>2781</v>
      </c>
      <c r="Q38" s="23"/>
      <c r="R38" s="10">
        <f t="shared" si="5"/>
        <v>1477197.2000000002</v>
      </c>
      <c r="S38" s="10">
        <f t="shared" si="6"/>
        <v>-1477197.2000000002</v>
      </c>
      <c r="T38" s="10">
        <f t="shared" si="11"/>
        <v>5908788.7999999998</v>
      </c>
      <c r="U38" s="10">
        <f t="shared" si="12"/>
        <v>0</v>
      </c>
      <c r="V38" s="10">
        <f t="shared" si="7"/>
        <v>0</v>
      </c>
    </row>
    <row r="39" spans="1:22" x14ac:dyDescent="0.2">
      <c r="A39" s="64">
        <f t="shared" si="9"/>
        <v>35</v>
      </c>
      <c r="B39" s="624" t="str">
        <f>LEFT(C39,3)</f>
        <v>개발비</v>
      </c>
      <c r="C39" s="675" t="s">
        <v>2827</v>
      </c>
      <c r="D39" s="66" t="s">
        <v>2824</v>
      </c>
      <c r="E39" s="110">
        <v>0</v>
      </c>
      <c r="F39" s="462"/>
      <c r="G39" s="110">
        <f t="shared" si="0"/>
        <v>0</v>
      </c>
      <c r="H39" s="110">
        <v>24107301</v>
      </c>
      <c r="I39" s="110">
        <f t="shared" si="1"/>
        <v>24107301</v>
      </c>
      <c r="J39" s="463">
        <v>5</v>
      </c>
      <c r="K39" s="676">
        <v>0.2</v>
      </c>
      <c r="L39" s="463">
        <v>0</v>
      </c>
      <c r="M39" s="110">
        <f t="shared" si="10"/>
        <v>0</v>
      </c>
      <c r="N39" s="140">
        <f t="shared" si="2"/>
        <v>24107301</v>
      </c>
      <c r="O39" s="110">
        <f t="shared" si="3"/>
        <v>0</v>
      </c>
      <c r="P39" s="464" t="s">
        <v>2781</v>
      </c>
      <c r="Q39" s="23"/>
      <c r="R39" s="10">
        <f t="shared" si="5"/>
        <v>1205365.05</v>
      </c>
      <c r="S39" s="10">
        <f t="shared" si="6"/>
        <v>-1205365.05</v>
      </c>
      <c r="T39" s="10">
        <f t="shared" si="11"/>
        <v>4821460.2</v>
      </c>
      <c r="U39" s="10">
        <f t="shared" si="12"/>
        <v>0</v>
      </c>
      <c r="V39" s="10">
        <f t="shared" si="7"/>
        <v>0</v>
      </c>
    </row>
    <row r="40" spans="1:22" x14ac:dyDescent="0.2">
      <c r="A40" s="64">
        <f t="shared" si="9"/>
        <v>36</v>
      </c>
      <c r="B40" s="624" t="str">
        <f t="shared" ref="B40:B46" si="13">LEFT(C40,5)</f>
        <v>소프트웨어</v>
      </c>
      <c r="C40" s="675" t="s">
        <v>2821</v>
      </c>
      <c r="D40" s="66" t="s">
        <v>2828</v>
      </c>
      <c r="E40" s="185">
        <v>0</v>
      </c>
      <c r="F40" s="462"/>
      <c r="G40" s="110">
        <f t="shared" si="0"/>
        <v>0</v>
      </c>
      <c r="H40" s="110">
        <v>459992</v>
      </c>
      <c r="I40" s="110">
        <f t="shared" si="1"/>
        <v>459992</v>
      </c>
      <c r="J40" s="463">
        <v>5</v>
      </c>
      <c r="K40" s="676">
        <v>0.2</v>
      </c>
      <c r="L40" s="463">
        <v>0</v>
      </c>
      <c r="M40" s="110">
        <f t="shared" si="10"/>
        <v>0</v>
      </c>
      <c r="N40" s="110">
        <f t="shared" si="2"/>
        <v>459992</v>
      </c>
      <c r="O40" s="185">
        <f t="shared" si="3"/>
        <v>0</v>
      </c>
      <c r="P40" s="509" t="s">
        <v>2771</v>
      </c>
      <c r="Q40" s="23"/>
      <c r="R40" s="10">
        <f t="shared" si="5"/>
        <v>22999.600000000002</v>
      </c>
      <c r="S40" s="10">
        <f t="shared" si="6"/>
        <v>-22999.600000000002</v>
      </c>
      <c r="T40" s="10">
        <f t="shared" si="11"/>
        <v>91998.399999999994</v>
      </c>
      <c r="U40" s="10">
        <f t="shared" si="12"/>
        <v>0</v>
      </c>
      <c r="V40" s="10">
        <f t="shared" si="7"/>
        <v>0</v>
      </c>
    </row>
    <row r="41" spans="1:22" x14ac:dyDescent="0.2">
      <c r="A41" s="64">
        <f t="shared" si="9"/>
        <v>37</v>
      </c>
      <c r="B41" s="624" t="str">
        <f t="shared" si="13"/>
        <v>소프트웨어</v>
      </c>
      <c r="C41" s="675" t="s">
        <v>1868</v>
      </c>
      <c r="D41" s="66" t="s">
        <v>2829</v>
      </c>
      <c r="E41" s="185">
        <v>0</v>
      </c>
      <c r="F41" s="462"/>
      <c r="G41" s="110">
        <f t="shared" si="0"/>
        <v>0</v>
      </c>
      <c r="H41" s="110">
        <v>436364</v>
      </c>
      <c r="I41" s="110">
        <f t="shared" si="1"/>
        <v>436364</v>
      </c>
      <c r="J41" s="463">
        <v>5</v>
      </c>
      <c r="K41" s="676">
        <v>0.2</v>
      </c>
      <c r="L41" s="463">
        <v>0</v>
      </c>
      <c r="M41" s="110">
        <f t="shared" si="10"/>
        <v>0</v>
      </c>
      <c r="N41" s="110">
        <f t="shared" si="2"/>
        <v>436364</v>
      </c>
      <c r="O41" s="185">
        <f t="shared" si="3"/>
        <v>0</v>
      </c>
      <c r="P41" s="509" t="s">
        <v>2781</v>
      </c>
      <c r="Q41" s="23"/>
      <c r="R41" s="10">
        <f t="shared" si="5"/>
        <v>21818.2</v>
      </c>
      <c r="S41" s="10">
        <f t="shared" si="6"/>
        <v>-21818.2</v>
      </c>
      <c r="T41" s="10">
        <f t="shared" si="11"/>
        <v>87272.8</v>
      </c>
      <c r="U41" s="10">
        <f t="shared" si="12"/>
        <v>0</v>
      </c>
      <c r="V41" s="10">
        <f t="shared" si="7"/>
        <v>0</v>
      </c>
    </row>
    <row r="42" spans="1:22" ht="16.5" hidden="1" customHeight="1" x14ac:dyDescent="0.2">
      <c r="A42" s="64">
        <f t="shared" si="9"/>
        <v>38</v>
      </c>
      <c r="B42" s="624" t="str">
        <f t="shared" si="13"/>
        <v>OP30T</v>
      </c>
      <c r="C42" s="675" t="s">
        <v>2830</v>
      </c>
      <c r="D42" s="66" t="s">
        <v>2831</v>
      </c>
      <c r="E42" s="185">
        <v>0</v>
      </c>
      <c r="F42" s="462"/>
      <c r="G42" s="110">
        <f t="shared" si="0"/>
        <v>0</v>
      </c>
      <c r="H42" s="110">
        <v>0</v>
      </c>
      <c r="I42" s="110">
        <f t="shared" si="1"/>
        <v>0</v>
      </c>
      <c r="J42" s="463">
        <v>5</v>
      </c>
      <c r="K42" s="676">
        <v>0.2</v>
      </c>
      <c r="L42" s="463">
        <v>6</v>
      </c>
      <c r="M42" s="110">
        <f t="shared" si="10"/>
        <v>0</v>
      </c>
      <c r="N42" s="110">
        <f t="shared" si="2"/>
        <v>0</v>
      </c>
      <c r="O42" s="185">
        <f t="shared" si="3"/>
        <v>0</v>
      </c>
      <c r="P42" s="509" t="s">
        <v>2781</v>
      </c>
      <c r="Q42" s="23"/>
      <c r="R42" s="10">
        <f t="shared" si="5"/>
        <v>0</v>
      </c>
      <c r="S42" s="10">
        <f t="shared" si="6"/>
        <v>0</v>
      </c>
      <c r="T42" s="10">
        <f t="shared" si="11"/>
        <v>0</v>
      </c>
      <c r="U42" s="10">
        <f t="shared" si="12"/>
        <v>0</v>
      </c>
      <c r="V42" s="10">
        <f t="shared" si="7"/>
        <v>0</v>
      </c>
    </row>
    <row r="43" spans="1:22" ht="16.5" hidden="1" customHeight="1" x14ac:dyDescent="0.2">
      <c r="A43" s="64">
        <f t="shared" si="9"/>
        <v>39</v>
      </c>
      <c r="B43" s="624" t="str">
        <f t="shared" si="13"/>
        <v>개발비(S</v>
      </c>
      <c r="C43" s="675" t="s">
        <v>2832</v>
      </c>
      <c r="D43" s="66" t="s">
        <v>2833</v>
      </c>
      <c r="E43" s="185">
        <v>0</v>
      </c>
      <c r="F43" s="462"/>
      <c r="G43" s="110">
        <f t="shared" si="0"/>
        <v>0</v>
      </c>
      <c r="H43" s="110">
        <v>0</v>
      </c>
      <c r="I43" s="110">
        <f t="shared" si="1"/>
        <v>0</v>
      </c>
      <c r="J43" s="463">
        <v>5</v>
      </c>
      <c r="K43" s="676">
        <v>0.2</v>
      </c>
      <c r="L43" s="463">
        <v>6</v>
      </c>
      <c r="M43" s="110">
        <f t="shared" si="10"/>
        <v>0</v>
      </c>
      <c r="N43" s="110">
        <f t="shared" si="2"/>
        <v>0</v>
      </c>
      <c r="O43" s="185">
        <f t="shared" si="3"/>
        <v>0</v>
      </c>
      <c r="P43" s="509" t="s">
        <v>2781</v>
      </c>
      <c r="Q43" s="23"/>
      <c r="R43" s="10">
        <f t="shared" si="5"/>
        <v>0</v>
      </c>
      <c r="S43" s="10">
        <f t="shared" si="6"/>
        <v>0</v>
      </c>
      <c r="T43" s="10">
        <f t="shared" si="11"/>
        <v>0</v>
      </c>
      <c r="U43" s="10">
        <f t="shared" si="12"/>
        <v>0</v>
      </c>
      <c r="V43" s="10">
        <f t="shared" si="7"/>
        <v>0</v>
      </c>
    </row>
    <row r="44" spans="1:22" x14ac:dyDescent="0.2">
      <c r="A44" s="64">
        <f t="shared" si="9"/>
        <v>40</v>
      </c>
      <c r="B44" s="624" t="str">
        <f t="shared" si="13"/>
        <v>소프트웨어</v>
      </c>
      <c r="C44" s="675" t="s">
        <v>1868</v>
      </c>
      <c r="D44" s="66" t="s">
        <v>2834</v>
      </c>
      <c r="E44" s="185">
        <v>0</v>
      </c>
      <c r="F44" s="462"/>
      <c r="G44" s="110">
        <f t="shared" si="0"/>
        <v>0</v>
      </c>
      <c r="H44" s="110">
        <v>230000</v>
      </c>
      <c r="I44" s="110">
        <f t="shared" si="1"/>
        <v>230000</v>
      </c>
      <c r="J44" s="463">
        <v>5</v>
      </c>
      <c r="K44" s="676">
        <v>0.2</v>
      </c>
      <c r="L44" s="463">
        <v>0</v>
      </c>
      <c r="M44" s="110">
        <f t="shared" si="10"/>
        <v>0</v>
      </c>
      <c r="N44" s="110">
        <f t="shared" si="2"/>
        <v>230000</v>
      </c>
      <c r="O44" s="185">
        <f t="shared" si="3"/>
        <v>0</v>
      </c>
      <c r="P44" s="509" t="s">
        <v>2781</v>
      </c>
      <c r="Q44" s="23"/>
      <c r="R44" s="10">
        <f t="shared" si="5"/>
        <v>11500</v>
      </c>
      <c r="S44" s="10">
        <f t="shared" si="6"/>
        <v>-11500</v>
      </c>
      <c r="T44" s="10">
        <f t="shared" si="11"/>
        <v>46000</v>
      </c>
      <c r="U44" s="10">
        <f t="shared" si="12"/>
        <v>0</v>
      </c>
      <c r="V44" s="10">
        <f t="shared" si="7"/>
        <v>0</v>
      </c>
    </row>
    <row r="45" spans="1:22" x14ac:dyDescent="0.2">
      <c r="A45" s="64">
        <f t="shared" si="9"/>
        <v>41</v>
      </c>
      <c r="B45" s="624" t="str">
        <f t="shared" si="13"/>
        <v>소프트웨어</v>
      </c>
      <c r="C45" s="675" t="s">
        <v>1868</v>
      </c>
      <c r="D45" s="66" t="s">
        <v>2835</v>
      </c>
      <c r="E45" s="185">
        <v>0</v>
      </c>
      <c r="F45" s="462"/>
      <c r="G45" s="110">
        <f t="shared" si="0"/>
        <v>0</v>
      </c>
      <c r="H45" s="110">
        <v>2121640</v>
      </c>
      <c r="I45" s="110">
        <f t="shared" si="1"/>
        <v>2121640</v>
      </c>
      <c r="J45" s="463">
        <v>5</v>
      </c>
      <c r="K45" s="676">
        <v>0.2</v>
      </c>
      <c r="L45" s="463">
        <v>0</v>
      </c>
      <c r="M45" s="110">
        <f t="shared" si="10"/>
        <v>0</v>
      </c>
      <c r="N45" s="110">
        <f t="shared" si="2"/>
        <v>2121640</v>
      </c>
      <c r="O45" s="185">
        <f t="shared" si="3"/>
        <v>0</v>
      </c>
      <c r="P45" s="509" t="s">
        <v>2781</v>
      </c>
      <c r="Q45" s="23"/>
      <c r="R45" s="10">
        <f t="shared" si="5"/>
        <v>106082</v>
      </c>
      <c r="S45" s="10">
        <f t="shared" si="6"/>
        <v>-106082</v>
      </c>
      <c r="T45" s="10">
        <f t="shared" si="11"/>
        <v>424328</v>
      </c>
      <c r="U45" s="10">
        <f t="shared" si="12"/>
        <v>0</v>
      </c>
      <c r="V45" s="10">
        <f t="shared" si="7"/>
        <v>0</v>
      </c>
    </row>
    <row r="46" spans="1:22" x14ac:dyDescent="0.2">
      <c r="A46" s="64">
        <f t="shared" si="9"/>
        <v>42</v>
      </c>
      <c r="B46" s="624" t="str">
        <f t="shared" si="13"/>
        <v>소프트웨어</v>
      </c>
      <c r="C46" s="675" t="s">
        <v>1868</v>
      </c>
      <c r="D46" s="66" t="s">
        <v>2836</v>
      </c>
      <c r="E46" s="185">
        <v>0</v>
      </c>
      <c r="F46" s="462"/>
      <c r="G46" s="110">
        <f t="shared" si="0"/>
        <v>0</v>
      </c>
      <c r="H46" s="110">
        <v>21207367</v>
      </c>
      <c r="I46" s="110">
        <f t="shared" si="1"/>
        <v>21207367</v>
      </c>
      <c r="J46" s="463">
        <v>5</v>
      </c>
      <c r="K46" s="676">
        <v>0.2</v>
      </c>
      <c r="L46" s="463">
        <v>0</v>
      </c>
      <c r="M46" s="110">
        <f t="shared" si="10"/>
        <v>0</v>
      </c>
      <c r="N46" s="110">
        <f t="shared" si="2"/>
        <v>21207367</v>
      </c>
      <c r="O46" s="185">
        <f t="shared" si="3"/>
        <v>0</v>
      </c>
      <c r="P46" s="509" t="s">
        <v>2781</v>
      </c>
      <c r="Q46" s="23"/>
      <c r="R46" s="10">
        <f t="shared" si="5"/>
        <v>1060368.3500000001</v>
      </c>
      <c r="S46" s="10">
        <f t="shared" si="6"/>
        <v>-1060368.3500000001</v>
      </c>
      <c r="T46" s="10">
        <f t="shared" si="11"/>
        <v>4241473.4000000004</v>
      </c>
      <c r="U46" s="10">
        <f t="shared" si="12"/>
        <v>0</v>
      </c>
      <c r="V46" s="10">
        <f t="shared" si="7"/>
        <v>0</v>
      </c>
    </row>
    <row r="47" spans="1:22" x14ac:dyDescent="0.2">
      <c r="A47" s="64">
        <f t="shared" si="9"/>
        <v>43</v>
      </c>
      <c r="B47" s="624" t="str">
        <f>LEFT(C47,3)</f>
        <v>개발비</v>
      </c>
      <c r="C47" s="675" t="s">
        <v>2837</v>
      </c>
      <c r="D47" s="66" t="s">
        <v>2838</v>
      </c>
      <c r="E47" s="110">
        <v>0</v>
      </c>
      <c r="F47" s="462"/>
      <c r="G47" s="110">
        <f t="shared" ref="G47:G59" si="14">+F47+E47</f>
        <v>0</v>
      </c>
      <c r="H47" s="110">
        <v>25913385</v>
      </c>
      <c r="I47" s="462">
        <f t="shared" ref="I47:I59" si="15">SUM(G47:H47)</f>
        <v>25913385</v>
      </c>
      <c r="J47" s="463">
        <v>5</v>
      </c>
      <c r="K47" s="676">
        <v>0.2</v>
      </c>
      <c r="L47" s="463">
        <v>0</v>
      </c>
      <c r="M47" s="110">
        <f t="shared" si="10"/>
        <v>0</v>
      </c>
      <c r="N47" s="110">
        <f t="shared" si="2"/>
        <v>25913385</v>
      </c>
      <c r="O47" s="110">
        <f t="shared" si="3"/>
        <v>0</v>
      </c>
      <c r="P47" s="509" t="s">
        <v>2781</v>
      </c>
      <c r="Q47" s="23"/>
      <c r="R47" s="10">
        <f t="shared" si="5"/>
        <v>1295669.25</v>
      </c>
      <c r="S47" s="10">
        <f t="shared" si="6"/>
        <v>-1295669.25</v>
      </c>
      <c r="T47" s="10">
        <f t="shared" si="11"/>
        <v>5182677</v>
      </c>
      <c r="U47" s="10">
        <f t="shared" si="12"/>
        <v>0</v>
      </c>
      <c r="V47" s="10">
        <f t="shared" si="7"/>
        <v>0</v>
      </c>
    </row>
    <row r="48" spans="1:22" x14ac:dyDescent="0.2">
      <c r="A48" s="64">
        <f t="shared" si="9"/>
        <v>44</v>
      </c>
      <c r="B48" s="624" t="str">
        <f>LEFT(C48,3)</f>
        <v>개발비</v>
      </c>
      <c r="C48" s="675" t="s">
        <v>2839</v>
      </c>
      <c r="D48" s="66" t="s">
        <v>2838</v>
      </c>
      <c r="E48" s="110">
        <v>0</v>
      </c>
      <c r="F48" s="462"/>
      <c r="G48" s="110">
        <f t="shared" si="14"/>
        <v>0</v>
      </c>
      <c r="H48" s="110">
        <v>89227695</v>
      </c>
      <c r="I48" s="462">
        <f t="shared" si="15"/>
        <v>89227695</v>
      </c>
      <c r="J48" s="463">
        <v>5</v>
      </c>
      <c r="K48" s="676">
        <v>0.2</v>
      </c>
      <c r="L48" s="463">
        <v>0</v>
      </c>
      <c r="M48" s="110">
        <f t="shared" si="10"/>
        <v>0</v>
      </c>
      <c r="N48" s="110">
        <f t="shared" si="2"/>
        <v>89227695</v>
      </c>
      <c r="O48" s="110">
        <f t="shared" si="3"/>
        <v>0</v>
      </c>
      <c r="P48" s="509" t="s">
        <v>2781</v>
      </c>
      <c r="Q48" s="23"/>
      <c r="R48" s="10">
        <f t="shared" si="5"/>
        <v>4461384.75</v>
      </c>
      <c r="S48" s="10">
        <f t="shared" si="6"/>
        <v>-4461384.75</v>
      </c>
      <c r="T48" s="10">
        <f t="shared" si="11"/>
        <v>17845539</v>
      </c>
      <c r="U48" s="10">
        <f t="shared" si="12"/>
        <v>0</v>
      </c>
      <c r="V48" s="10">
        <f t="shared" si="7"/>
        <v>0</v>
      </c>
    </row>
    <row r="49" spans="1:22" x14ac:dyDescent="0.2">
      <c r="A49" s="64">
        <f t="shared" si="9"/>
        <v>45</v>
      </c>
      <c r="B49" s="624" t="str">
        <f>LEFT(C49,3)</f>
        <v>개발비</v>
      </c>
      <c r="C49" s="675" t="s">
        <v>2840</v>
      </c>
      <c r="D49" s="66" t="s">
        <v>2838</v>
      </c>
      <c r="E49" s="110">
        <v>0</v>
      </c>
      <c r="F49" s="462"/>
      <c r="G49" s="110">
        <f t="shared" si="14"/>
        <v>0</v>
      </c>
      <c r="H49" s="110">
        <v>54450477</v>
      </c>
      <c r="I49" s="462">
        <f t="shared" si="15"/>
        <v>54450477</v>
      </c>
      <c r="J49" s="463">
        <v>5</v>
      </c>
      <c r="K49" s="676">
        <v>0.2</v>
      </c>
      <c r="L49" s="463">
        <v>0</v>
      </c>
      <c r="M49" s="110">
        <f t="shared" si="10"/>
        <v>0</v>
      </c>
      <c r="N49" s="110">
        <f t="shared" si="2"/>
        <v>54450477</v>
      </c>
      <c r="O49" s="110">
        <f t="shared" si="3"/>
        <v>0</v>
      </c>
      <c r="P49" s="509" t="s">
        <v>2781</v>
      </c>
      <c r="Q49" s="23"/>
      <c r="R49" s="10">
        <f t="shared" si="5"/>
        <v>2722523.85</v>
      </c>
      <c r="S49" s="10">
        <f t="shared" si="6"/>
        <v>-2722523.85</v>
      </c>
      <c r="T49" s="10">
        <f t="shared" si="11"/>
        <v>10890095.4</v>
      </c>
      <c r="U49" s="10">
        <f t="shared" si="12"/>
        <v>0</v>
      </c>
      <c r="V49" s="10">
        <f t="shared" si="7"/>
        <v>0</v>
      </c>
    </row>
    <row r="50" spans="1:22" x14ac:dyDescent="0.2">
      <c r="A50" s="64">
        <f t="shared" si="9"/>
        <v>46</v>
      </c>
      <c r="B50" s="624" t="str">
        <f>LEFT(C50,3)</f>
        <v>개발비</v>
      </c>
      <c r="C50" s="675" t="s">
        <v>2841</v>
      </c>
      <c r="D50" s="66" t="s">
        <v>2838</v>
      </c>
      <c r="E50" s="110">
        <v>0</v>
      </c>
      <c r="F50" s="462"/>
      <c r="G50" s="110">
        <f t="shared" si="14"/>
        <v>0</v>
      </c>
      <c r="H50" s="110">
        <v>72675744</v>
      </c>
      <c r="I50" s="462">
        <f t="shared" si="15"/>
        <v>72675744</v>
      </c>
      <c r="J50" s="463">
        <v>5</v>
      </c>
      <c r="K50" s="676">
        <v>0.2</v>
      </c>
      <c r="L50" s="463">
        <v>0</v>
      </c>
      <c r="M50" s="110">
        <f t="shared" si="10"/>
        <v>0</v>
      </c>
      <c r="N50" s="110">
        <f t="shared" si="2"/>
        <v>72675744</v>
      </c>
      <c r="O50" s="110">
        <f t="shared" si="3"/>
        <v>0</v>
      </c>
      <c r="P50" s="509" t="s">
        <v>2781</v>
      </c>
      <c r="Q50" s="23"/>
      <c r="R50" s="10">
        <f t="shared" si="5"/>
        <v>3633787.2</v>
      </c>
      <c r="S50" s="10">
        <f t="shared" si="6"/>
        <v>-3633787.2</v>
      </c>
      <c r="T50" s="10">
        <f t="shared" si="11"/>
        <v>14535148.800000001</v>
      </c>
      <c r="U50" s="10">
        <f t="shared" si="12"/>
        <v>0</v>
      </c>
      <c r="V50" s="10">
        <f t="shared" si="7"/>
        <v>0</v>
      </c>
    </row>
    <row r="51" spans="1:22" x14ac:dyDescent="0.2">
      <c r="A51" s="64">
        <f t="shared" si="9"/>
        <v>47</v>
      </c>
      <c r="B51" s="680" t="s">
        <v>1868</v>
      </c>
      <c r="C51" s="65" t="s">
        <v>1868</v>
      </c>
      <c r="D51" s="66" t="s">
        <v>2842</v>
      </c>
      <c r="E51" s="110">
        <v>0</v>
      </c>
      <c r="F51" s="462"/>
      <c r="G51" s="110">
        <f t="shared" si="14"/>
        <v>0</v>
      </c>
      <c r="H51" s="110">
        <v>5592000</v>
      </c>
      <c r="I51" s="462">
        <f t="shared" si="15"/>
        <v>5592000</v>
      </c>
      <c r="J51" s="463">
        <v>5</v>
      </c>
      <c r="K51" s="676">
        <v>0.2</v>
      </c>
      <c r="L51" s="463">
        <v>0</v>
      </c>
      <c r="M51" s="110">
        <f t="shared" si="10"/>
        <v>0</v>
      </c>
      <c r="N51" s="110">
        <f t="shared" si="2"/>
        <v>5592000</v>
      </c>
      <c r="O51" s="110">
        <f t="shared" si="3"/>
        <v>0</v>
      </c>
      <c r="P51" s="509" t="s">
        <v>2781</v>
      </c>
      <c r="Q51" s="23"/>
      <c r="R51" s="10">
        <f t="shared" si="5"/>
        <v>279600</v>
      </c>
      <c r="S51" s="10">
        <f t="shared" si="6"/>
        <v>-279600</v>
      </c>
      <c r="T51" s="10">
        <f t="shared" si="11"/>
        <v>1118400</v>
      </c>
      <c r="U51" s="10">
        <f t="shared" si="12"/>
        <v>0</v>
      </c>
      <c r="V51" s="10">
        <f t="shared" si="7"/>
        <v>0</v>
      </c>
    </row>
    <row r="52" spans="1:22" x14ac:dyDescent="0.2">
      <c r="A52" s="64">
        <f t="shared" si="9"/>
        <v>48</v>
      </c>
      <c r="B52" s="680" t="s">
        <v>1868</v>
      </c>
      <c r="C52" s="65" t="s">
        <v>1868</v>
      </c>
      <c r="D52" s="66" t="s">
        <v>2843</v>
      </c>
      <c r="E52" s="110">
        <v>0</v>
      </c>
      <c r="F52" s="462"/>
      <c r="G52" s="110">
        <f t="shared" si="14"/>
        <v>0</v>
      </c>
      <c r="H52" s="110">
        <v>29345000</v>
      </c>
      <c r="I52" s="462">
        <f>SUM(G52:H52)</f>
        <v>29345000</v>
      </c>
      <c r="J52" s="463">
        <v>5</v>
      </c>
      <c r="K52" s="676">
        <v>0.2</v>
      </c>
      <c r="L52" s="463">
        <v>0</v>
      </c>
      <c r="M52" s="110">
        <f>ROUND((I52*K52*L52/12),0)</f>
        <v>0</v>
      </c>
      <c r="N52" s="110">
        <f t="shared" si="2"/>
        <v>29345000</v>
      </c>
      <c r="O52" s="110">
        <f>+I52-N52</f>
        <v>0</v>
      </c>
      <c r="P52" s="509" t="s">
        <v>2771</v>
      </c>
      <c r="Q52" s="23"/>
      <c r="R52" s="10">
        <f t="shared" si="5"/>
        <v>1467250</v>
      </c>
      <c r="S52" s="10">
        <f t="shared" si="6"/>
        <v>-1467250</v>
      </c>
      <c r="T52" s="10">
        <f t="shared" si="11"/>
        <v>5869000</v>
      </c>
      <c r="U52" s="10">
        <f t="shared" si="12"/>
        <v>0</v>
      </c>
      <c r="V52" s="10">
        <f t="shared" si="7"/>
        <v>0</v>
      </c>
    </row>
    <row r="53" spans="1:22" x14ac:dyDescent="0.2">
      <c r="A53" s="64">
        <f t="shared" si="9"/>
        <v>49</v>
      </c>
      <c r="B53" s="680" t="s">
        <v>1868</v>
      </c>
      <c r="C53" s="65" t="s">
        <v>2844</v>
      </c>
      <c r="D53" s="66" t="s">
        <v>2845</v>
      </c>
      <c r="E53" s="462">
        <v>5250000</v>
      </c>
      <c r="F53" s="462"/>
      <c r="G53" s="110">
        <f t="shared" si="14"/>
        <v>5250000</v>
      </c>
      <c r="H53" s="110">
        <v>12250000</v>
      </c>
      <c r="I53" s="462">
        <f t="shared" si="15"/>
        <v>17500000</v>
      </c>
      <c r="J53" s="463">
        <v>5</v>
      </c>
      <c r="K53" s="676">
        <v>0.2</v>
      </c>
      <c r="L53" s="463">
        <v>12</v>
      </c>
      <c r="M53" s="110">
        <f>ROUND((I53*K53*L53/12),0)</f>
        <v>3500000</v>
      </c>
      <c r="N53" s="110">
        <f t="shared" si="2"/>
        <v>15750000</v>
      </c>
      <c r="O53" s="110">
        <f t="shared" si="3"/>
        <v>1750000</v>
      </c>
      <c r="P53" s="464"/>
      <c r="Q53" s="23"/>
      <c r="R53" s="10">
        <f t="shared" si="5"/>
        <v>875000</v>
      </c>
      <c r="S53" s="10">
        <f t="shared" si="6"/>
        <v>875000</v>
      </c>
      <c r="T53" s="10">
        <f t="shared" si="11"/>
        <v>3500000</v>
      </c>
      <c r="U53" s="10">
        <f t="shared" si="12"/>
        <v>3500000</v>
      </c>
      <c r="V53" s="10">
        <f t="shared" si="7"/>
        <v>0</v>
      </c>
    </row>
    <row r="54" spans="1:22" x14ac:dyDescent="0.2">
      <c r="A54" s="64">
        <f t="shared" si="9"/>
        <v>50</v>
      </c>
      <c r="B54" s="680" t="s">
        <v>1868</v>
      </c>
      <c r="C54" s="65" t="s">
        <v>2846</v>
      </c>
      <c r="D54" s="66" t="s">
        <v>2847</v>
      </c>
      <c r="E54" s="462">
        <v>384356</v>
      </c>
      <c r="F54" s="462"/>
      <c r="G54" s="110">
        <f t="shared" si="14"/>
        <v>384356</v>
      </c>
      <c r="H54" s="110">
        <v>713801</v>
      </c>
      <c r="I54" s="462">
        <f t="shared" si="15"/>
        <v>1098157</v>
      </c>
      <c r="J54" s="463">
        <v>5</v>
      </c>
      <c r="K54" s="676">
        <v>0.2</v>
      </c>
      <c r="L54" s="463">
        <v>12</v>
      </c>
      <c r="M54" s="110">
        <f>ROUND((I54*K54*L54/12),0)</f>
        <v>219631</v>
      </c>
      <c r="N54" s="110">
        <f t="shared" si="2"/>
        <v>933432</v>
      </c>
      <c r="O54" s="110">
        <f t="shared" si="3"/>
        <v>164725</v>
      </c>
      <c r="P54" s="464"/>
      <c r="Q54" s="23"/>
      <c r="R54" s="10">
        <f t="shared" si="5"/>
        <v>54907.850000000006</v>
      </c>
      <c r="S54" s="10">
        <f t="shared" si="6"/>
        <v>109817.15</v>
      </c>
      <c r="T54" s="10">
        <f t="shared" si="11"/>
        <v>219631.4</v>
      </c>
      <c r="U54" s="10">
        <f t="shared" si="12"/>
        <v>219631</v>
      </c>
      <c r="V54" s="10">
        <f t="shared" si="7"/>
        <v>0</v>
      </c>
    </row>
    <row r="55" spans="1:22" ht="16.5" x14ac:dyDescent="0.3">
      <c r="A55" s="64">
        <f t="shared" si="9"/>
        <v>51</v>
      </c>
      <c r="B55" s="680" t="s">
        <v>2966</v>
      </c>
      <c r="C55" s="65" t="s">
        <v>2967</v>
      </c>
      <c r="D55" s="774" t="s">
        <v>2968</v>
      </c>
      <c r="E55" s="462">
        <v>4416000</v>
      </c>
      <c r="F55" s="462"/>
      <c r="G55" s="110">
        <f>+F55+E55</f>
        <v>4416000</v>
      </c>
      <c r="H55" s="110">
        <v>1104000</v>
      </c>
      <c r="I55" s="462">
        <f t="shared" si="15"/>
        <v>5520000</v>
      </c>
      <c r="J55" s="463">
        <v>5</v>
      </c>
      <c r="K55" s="676">
        <v>0.2</v>
      </c>
      <c r="L55" s="463">
        <v>12</v>
      </c>
      <c r="M55" s="110">
        <f>+I55*K55*L55/12</f>
        <v>1104000</v>
      </c>
      <c r="N55" s="110">
        <f t="shared" si="2"/>
        <v>2208000</v>
      </c>
      <c r="O55" s="110">
        <f t="shared" si="3"/>
        <v>3312000</v>
      </c>
      <c r="P55" s="464"/>
      <c r="Q55" s="23"/>
      <c r="R55" s="10"/>
      <c r="S55" s="10"/>
      <c r="T55" s="10">
        <f t="shared" si="11"/>
        <v>1104000</v>
      </c>
      <c r="U55" s="142">
        <f t="shared" si="12"/>
        <v>1104000</v>
      </c>
      <c r="V55" s="142">
        <f t="shared" si="7"/>
        <v>0</v>
      </c>
    </row>
    <row r="56" spans="1:22" ht="16.5" x14ac:dyDescent="0.3">
      <c r="A56" s="64">
        <f t="shared" si="9"/>
        <v>52</v>
      </c>
      <c r="B56" s="680" t="s">
        <v>2966</v>
      </c>
      <c r="C56" s="65" t="s">
        <v>2988</v>
      </c>
      <c r="D56" s="774" t="s">
        <v>2989</v>
      </c>
      <c r="E56" s="462">
        <v>169955800</v>
      </c>
      <c r="F56" s="462"/>
      <c r="G56" s="110">
        <f>+F56+E56</f>
        <v>169955800</v>
      </c>
      <c r="H56" s="110">
        <v>29992200</v>
      </c>
      <c r="I56" s="462">
        <f t="shared" si="15"/>
        <v>199948000</v>
      </c>
      <c r="J56" s="463">
        <v>5</v>
      </c>
      <c r="K56" s="676">
        <v>0.2</v>
      </c>
      <c r="L56" s="463">
        <v>12</v>
      </c>
      <c r="M56" s="110">
        <f>+I56*K56*L56/12</f>
        <v>39989600</v>
      </c>
      <c r="N56" s="110">
        <f>+H56+M56</f>
        <v>69981800</v>
      </c>
      <c r="O56" s="110">
        <f>+I56-N56</f>
        <v>129966200</v>
      </c>
      <c r="P56" s="464"/>
      <c r="Q56" s="23"/>
      <c r="R56" s="10"/>
      <c r="S56" s="10"/>
      <c r="T56" s="10"/>
      <c r="U56" s="142"/>
      <c r="V56" s="142"/>
    </row>
    <row r="57" spans="1:22" ht="16.5" x14ac:dyDescent="0.3">
      <c r="A57" s="64">
        <f t="shared" si="9"/>
        <v>53</v>
      </c>
      <c r="B57" s="805" t="s">
        <v>2991</v>
      </c>
      <c r="C57" s="65" t="s">
        <v>2992</v>
      </c>
      <c r="D57" s="774" t="s">
        <v>2993</v>
      </c>
      <c r="E57" s="462">
        <v>86666666.666666672</v>
      </c>
      <c r="F57" s="462"/>
      <c r="G57" s="110">
        <f>+F57+E57</f>
        <v>86666666.666666672</v>
      </c>
      <c r="H57" s="110">
        <v>13333333.333333334</v>
      </c>
      <c r="I57" s="462">
        <f>SUM(G57:H57)</f>
        <v>100000000</v>
      </c>
      <c r="J57" s="463">
        <v>5</v>
      </c>
      <c r="K57" s="676">
        <v>0.2</v>
      </c>
      <c r="L57" s="463">
        <v>12</v>
      </c>
      <c r="M57" s="110">
        <f>+I57*K57*L57/12</f>
        <v>20000000</v>
      </c>
      <c r="N57" s="110">
        <f>+H57+M57</f>
        <v>33333333.333333336</v>
      </c>
      <c r="O57" s="110">
        <f>+I57-N57</f>
        <v>66666666.666666664</v>
      </c>
      <c r="P57" s="464"/>
      <c r="Q57" s="23"/>
      <c r="R57" s="10"/>
      <c r="S57" s="10"/>
      <c r="T57" s="10"/>
      <c r="U57" s="142"/>
      <c r="V57" s="142"/>
    </row>
    <row r="58" spans="1:22" ht="16.5" x14ac:dyDescent="0.3">
      <c r="A58" s="64">
        <v>54</v>
      </c>
      <c r="B58" s="805" t="s">
        <v>3058</v>
      </c>
      <c r="C58" s="65" t="s">
        <v>3059</v>
      </c>
      <c r="D58" s="774" t="s">
        <v>3060</v>
      </c>
      <c r="E58" s="462"/>
      <c r="F58" s="462">
        <v>5400000</v>
      </c>
      <c r="G58" s="110">
        <f>+F58+E58</f>
        <v>5400000</v>
      </c>
      <c r="H58" s="110"/>
      <c r="I58" s="462">
        <f>SUM(G58:H58)</f>
        <v>5400000</v>
      </c>
      <c r="J58" s="463">
        <v>5</v>
      </c>
      <c r="K58" s="676">
        <v>0.2</v>
      </c>
      <c r="L58" s="463">
        <v>7</v>
      </c>
      <c r="M58" s="110">
        <f>+I58*K58*L58/12</f>
        <v>630000</v>
      </c>
      <c r="N58" s="110">
        <f>+H58+M58</f>
        <v>630000</v>
      </c>
      <c r="O58" s="110">
        <f>+I58-N58</f>
        <v>4770000</v>
      </c>
      <c r="P58" s="464"/>
      <c r="Q58" s="23"/>
      <c r="R58" s="10"/>
      <c r="S58" s="10"/>
      <c r="T58" s="10"/>
      <c r="U58" s="142"/>
      <c r="V58" s="142"/>
    </row>
    <row r="59" spans="1:22" ht="17.25" thickBot="1" x14ac:dyDescent="0.35">
      <c r="A59" s="64"/>
      <c r="B59" s="680"/>
      <c r="C59" s="65"/>
      <c r="D59" s="66"/>
      <c r="E59" s="462"/>
      <c r="F59" s="462"/>
      <c r="G59" s="110">
        <f t="shared" si="14"/>
        <v>0</v>
      </c>
      <c r="H59" s="110">
        <v>0</v>
      </c>
      <c r="I59" s="462">
        <f t="shared" si="15"/>
        <v>0</v>
      </c>
      <c r="J59" s="463"/>
      <c r="K59" s="676"/>
      <c r="L59" s="463"/>
      <c r="M59" s="110">
        <f>+I59*K59*L59/12</f>
        <v>0</v>
      </c>
      <c r="N59" s="110">
        <f t="shared" si="2"/>
        <v>0</v>
      </c>
      <c r="O59" s="110">
        <f t="shared" si="3"/>
        <v>0</v>
      </c>
      <c r="P59" s="464"/>
      <c r="Q59" s="23"/>
      <c r="R59" s="10"/>
      <c r="S59" s="10"/>
      <c r="T59" s="10"/>
      <c r="U59" s="142"/>
      <c r="V59" s="142"/>
    </row>
    <row r="60" spans="1:22" ht="18" thickTop="1" thickBot="1" x14ac:dyDescent="0.35">
      <c r="A60" s="95"/>
      <c r="B60" s="681"/>
      <c r="C60" s="278" t="s">
        <v>1138</v>
      </c>
      <c r="D60" s="97"/>
      <c r="E60" s="454">
        <f>SUM(E5:E59)</f>
        <v>266672822.66666669</v>
      </c>
      <c r="F60" s="454">
        <f>SUM(F5:F59)</f>
        <v>5400000</v>
      </c>
      <c r="G60" s="454">
        <f>SUM(G5:G59)</f>
        <v>272072822.66666669</v>
      </c>
      <c r="H60" s="454">
        <f>SUM(H5:H59)</f>
        <v>1424919396.3333333</v>
      </c>
      <c r="I60" s="454">
        <f>SUM(I5:I59)</f>
        <v>1696992219</v>
      </c>
      <c r="J60" s="454"/>
      <c r="K60" s="454"/>
      <c r="L60" s="454"/>
      <c r="M60" s="488">
        <f>ROUND(SUM(M5:M59),0)</f>
        <v>65443231</v>
      </c>
      <c r="N60" s="454">
        <f>SUM(N5:N59)</f>
        <v>1490362627.3333333</v>
      </c>
      <c r="O60" s="454">
        <f>SUM(O5:O59)</f>
        <v>206629591.66666666</v>
      </c>
      <c r="P60" s="489"/>
      <c r="Q60" s="9"/>
      <c r="R60" s="10"/>
      <c r="S60" s="10"/>
      <c r="T60" s="10"/>
      <c r="U60" s="142">
        <f>SUM(U5:U59)</f>
        <v>4823631</v>
      </c>
      <c r="V60" s="142"/>
    </row>
    <row r="61" spans="1:22" s="9" customFormat="1" ht="12" x14ac:dyDescent="0.2">
      <c r="C61" s="161"/>
      <c r="E61" s="10"/>
      <c r="F61" s="10"/>
      <c r="G61" s="10"/>
      <c r="H61" s="10"/>
      <c r="I61" s="10"/>
      <c r="J61" s="10"/>
      <c r="K61" s="672"/>
      <c r="L61" s="125"/>
      <c r="M61" s="10"/>
      <c r="N61" s="10"/>
      <c r="O61" s="10"/>
      <c r="R61" s="10"/>
      <c r="S61" s="10"/>
      <c r="T61" s="10"/>
      <c r="U61" s="10"/>
      <c r="V61" s="10"/>
    </row>
    <row r="62" spans="1:22" ht="16.5" hidden="1" x14ac:dyDescent="0.3">
      <c r="A62" s="44"/>
      <c r="B62" s="44"/>
      <c r="C62" s="160"/>
      <c r="D62" s="44"/>
      <c r="E62" s="142"/>
      <c r="F62" s="142"/>
      <c r="G62" s="142"/>
      <c r="H62" s="682"/>
      <c r="I62" s="142"/>
      <c r="J62" s="142"/>
      <c r="K62" s="670"/>
      <c r="L62" s="133"/>
      <c r="M62" s="142"/>
      <c r="N62" s="142"/>
      <c r="O62" s="142"/>
      <c r="P62" s="44"/>
      <c r="Q62" s="9"/>
      <c r="R62" s="10"/>
      <c r="S62" s="10"/>
      <c r="T62" s="10"/>
      <c r="U62" s="142" t="b">
        <f>U60=M60</f>
        <v>0</v>
      </c>
      <c r="V62" s="142"/>
    </row>
    <row r="63" spans="1:22" ht="16.5" hidden="1" x14ac:dyDescent="0.3">
      <c r="A63" s="44"/>
      <c r="B63" s="44" t="s">
        <v>2848</v>
      </c>
      <c r="C63" s="628" t="s">
        <v>2849</v>
      </c>
      <c r="D63" s="9" t="s">
        <v>1868</v>
      </c>
      <c r="E63" s="10">
        <f>G65+G63</f>
        <v>16473307</v>
      </c>
      <c r="F63" s="10" t="s">
        <v>2769</v>
      </c>
      <c r="G63" s="10">
        <f>+M57-G69-G75-G81</f>
        <v>5000000</v>
      </c>
      <c r="H63" s="683"/>
      <c r="I63" s="142"/>
      <c r="J63" s="142"/>
      <c r="K63" s="670"/>
      <c r="L63" s="133"/>
      <c r="M63" s="142"/>
      <c r="N63" s="142"/>
      <c r="O63" s="142"/>
      <c r="P63" s="44"/>
      <c r="Q63" s="9"/>
      <c r="R63" s="10"/>
      <c r="S63" s="10"/>
      <c r="T63" s="10"/>
      <c r="U63" s="142"/>
      <c r="V63" s="142"/>
    </row>
    <row r="64" spans="1:22" ht="16.5" hidden="1" x14ac:dyDescent="0.3">
      <c r="A64" s="44"/>
      <c r="B64" s="44"/>
      <c r="C64" s="628" t="s">
        <v>4</v>
      </c>
      <c r="D64" s="9" t="s">
        <v>2850</v>
      </c>
      <c r="E64" s="10">
        <f>G66</f>
        <v>0</v>
      </c>
      <c r="F64" s="10" t="s">
        <v>2788</v>
      </c>
      <c r="G64" s="10"/>
      <c r="H64" s="683"/>
      <c r="I64" s="142"/>
      <c r="J64" s="142"/>
      <c r="K64" s="670"/>
      <c r="L64" s="133"/>
      <c r="M64" s="142"/>
      <c r="N64" s="142"/>
      <c r="O64" s="142"/>
      <c r="P64" s="44"/>
      <c r="Q64" s="9"/>
      <c r="R64" s="10"/>
      <c r="S64" s="10"/>
      <c r="T64" s="10"/>
      <c r="U64" s="142"/>
      <c r="V64" s="142"/>
    </row>
    <row r="65" spans="1:22" ht="16.5" hidden="1" x14ac:dyDescent="0.3">
      <c r="A65" s="44"/>
      <c r="B65" s="44"/>
      <c r="C65" s="160"/>
      <c r="D65" s="9"/>
      <c r="E65" s="10"/>
      <c r="F65" s="10" t="s">
        <v>1868</v>
      </c>
      <c r="G65" s="10">
        <f>M40+M41+M44+M45+M46+M51+M52+M53+M54+M55+M56+M58-G77-G83-G71</f>
        <v>11473307</v>
      </c>
      <c r="H65" s="683"/>
      <c r="I65" s="142"/>
      <c r="J65" s="142"/>
      <c r="K65" s="670"/>
      <c r="L65" s="133"/>
      <c r="M65" s="142"/>
      <c r="N65" s="142"/>
      <c r="O65" s="142"/>
      <c r="P65" s="44"/>
      <c r="Q65" s="9"/>
      <c r="R65" s="10"/>
      <c r="S65" s="10"/>
      <c r="T65" s="10"/>
      <c r="U65" s="142"/>
      <c r="V65" s="142"/>
    </row>
    <row r="66" spans="1:22" ht="16.5" hidden="1" x14ac:dyDescent="0.3">
      <c r="A66" s="44"/>
      <c r="B66" s="44"/>
      <c r="C66" s="160"/>
      <c r="D66" s="9"/>
      <c r="E66" s="10"/>
      <c r="F66" s="10" t="s">
        <v>2850</v>
      </c>
      <c r="G66" s="684">
        <f>M47+M48+M49+M50-G78-G84-G72</f>
        <v>0</v>
      </c>
      <c r="H66" s="683"/>
      <c r="I66" s="142"/>
      <c r="J66" s="142"/>
      <c r="K66" s="670"/>
      <c r="L66" s="133"/>
      <c r="M66" s="142"/>
      <c r="N66" s="142"/>
      <c r="O66" s="142"/>
      <c r="P66" s="44"/>
      <c r="Q66" s="9"/>
      <c r="R66" s="10"/>
      <c r="S66" s="10"/>
      <c r="T66" s="10"/>
      <c r="U66" s="142"/>
      <c r="V66" s="142"/>
    </row>
    <row r="67" spans="1:22" ht="16.5" hidden="1" x14ac:dyDescent="0.3">
      <c r="A67" s="44"/>
      <c r="B67" s="44"/>
      <c r="C67" s="160"/>
      <c r="D67" s="9"/>
      <c r="E67" s="10"/>
      <c r="F67" s="10"/>
      <c r="G67" s="10"/>
      <c r="H67" s="683"/>
      <c r="I67" s="142"/>
      <c r="J67" s="142"/>
      <c r="K67" s="670"/>
      <c r="L67" s="133"/>
      <c r="M67" s="142"/>
      <c r="N67" s="142"/>
      <c r="O67" s="142"/>
      <c r="P67" s="44"/>
      <c r="Q67" s="9"/>
      <c r="R67" s="10"/>
      <c r="S67" s="10"/>
      <c r="T67" s="10"/>
      <c r="U67" s="142"/>
      <c r="V67" s="142"/>
    </row>
    <row r="68" spans="1:22" ht="16.5" hidden="1" x14ac:dyDescent="0.3">
      <c r="B68" s="44"/>
      <c r="C68" s="160"/>
      <c r="D68" s="44"/>
      <c r="E68" s="142"/>
      <c r="F68" s="142"/>
      <c r="G68" s="142"/>
      <c r="H68" s="142"/>
      <c r="I68" s="142"/>
      <c r="J68" s="142"/>
      <c r="K68" s="670"/>
      <c r="L68" s="133"/>
      <c r="M68" s="142"/>
      <c r="N68" s="142"/>
      <c r="O68" s="142"/>
      <c r="P68" s="44"/>
      <c r="Q68" s="9"/>
      <c r="R68" s="10"/>
      <c r="S68" s="10"/>
      <c r="T68" s="10"/>
      <c r="U68" s="142"/>
      <c r="V68" s="142"/>
    </row>
    <row r="69" spans="1:22" s="9" customFormat="1" hidden="1" x14ac:dyDescent="0.25">
      <c r="B69" s="9" t="s">
        <v>2851</v>
      </c>
      <c r="C69" s="628" t="s">
        <v>3041</v>
      </c>
      <c r="D69" s="9" t="s">
        <v>3038</v>
      </c>
      <c r="E69" s="10">
        <v>16473308</v>
      </c>
      <c r="F69" s="10" t="s">
        <v>3036</v>
      </c>
      <c r="G69" s="10">
        <v>5000000</v>
      </c>
      <c r="H69" s="10"/>
      <c r="I69" s="10"/>
      <c r="J69" s="10"/>
      <c r="K69" s="672"/>
      <c r="L69" s="125"/>
      <c r="M69" s="10"/>
      <c r="N69" s="10"/>
      <c r="O69" s="10"/>
      <c r="R69" s="10"/>
      <c r="S69" s="10"/>
      <c r="T69" s="10"/>
      <c r="U69" s="10"/>
      <c r="V69" s="10"/>
    </row>
    <row r="70" spans="1:22" s="9" customFormat="1" hidden="1" x14ac:dyDescent="0.25">
      <c r="C70" s="628" t="s">
        <v>3040</v>
      </c>
      <c r="D70" s="9" t="s">
        <v>3042</v>
      </c>
      <c r="E70" s="10">
        <v>0</v>
      </c>
      <c r="F70" s="10" t="s">
        <v>3037</v>
      </c>
      <c r="G70" s="10"/>
      <c r="H70" s="10"/>
      <c r="I70" s="10"/>
      <c r="J70" s="10"/>
      <c r="K70" s="672"/>
      <c r="L70" s="125"/>
      <c r="M70" s="10"/>
      <c r="N70" s="10"/>
      <c r="O70" s="10"/>
      <c r="R70" s="10"/>
      <c r="S70" s="10"/>
      <c r="T70" s="10"/>
      <c r="U70" s="10"/>
      <c r="V70" s="10"/>
    </row>
    <row r="71" spans="1:22" s="9" customFormat="1" ht="12" hidden="1" x14ac:dyDescent="0.2">
      <c r="C71" s="161"/>
      <c r="E71" s="10"/>
      <c r="F71" s="10" t="s">
        <v>3038</v>
      </c>
      <c r="G71" s="10">
        <v>11473308</v>
      </c>
      <c r="H71" s="10"/>
      <c r="I71" s="10"/>
      <c r="J71" s="10"/>
      <c r="K71" s="672"/>
      <c r="L71" s="125"/>
      <c r="M71" s="10"/>
      <c r="N71" s="10"/>
      <c r="O71" s="10"/>
      <c r="R71" s="10"/>
      <c r="S71" s="10"/>
      <c r="T71" s="10"/>
      <c r="U71" s="10"/>
      <c r="V71" s="10"/>
    </row>
    <row r="72" spans="1:22" s="9" customFormat="1" ht="12" hidden="1" x14ac:dyDescent="0.2">
      <c r="C72" s="161"/>
      <c r="E72" s="10"/>
      <c r="F72" s="10" t="s">
        <v>3042</v>
      </c>
      <c r="G72" s="684">
        <v>0</v>
      </c>
      <c r="H72" s="10"/>
      <c r="I72" s="10"/>
      <c r="J72" s="10"/>
      <c r="K72" s="672"/>
      <c r="L72" s="125"/>
      <c r="M72" s="10"/>
      <c r="N72" s="10"/>
      <c r="O72" s="10"/>
      <c r="R72" s="10"/>
      <c r="S72" s="10"/>
      <c r="T72" s="10"/>
      <c r="U72" s="10"/>
      <c r="V72" s="10"/>
    </row>
    <row r="73" spans="1:22" s="9" customFormat="1" ht="12" hidden="1" x14ac:dyDescent="0.2">
      <c r="C73" s="161"/>
      <c r="E73" s="10"/>
      <c r="F73" s="10"/>
      <c r="G73" s="10"/>
      <c r="H73" s="10"/>
      <c r="I73" s="10"/>
      <c r="J73" s="10"/>
      <c r="K73" s="672"/>
      <c r="L73" s="125"/>
      <c r="M73" s="10"/>
      <c r="N73" s="10"/>
      <c r="O73" s="10"/>
      <c r="R73" s="10"/>
      <c r="S73" s="10"/>
      <c r="T73" s="10"/>
      <c r="U73" s="10"/>
      <c r="V73" s="10"/>
    </row>
    <row r="74" spans="1:22" s="9" customFormat="1" ht="12" hidden="1" x14ac:dyDescent="0.2">
      <c r="C74" s="161"/>
      <c r="E74" s="10"/>
      <c r="F74" s="10"/>
      <c r="G74" s="10"/>
      <c r="H74" s="10"/>
      <c r="I74" s="10"/>
      <c r="J74" s="10"/>
      <c r="K74" s="672"/>
      <c r="L74" s="125"/>
      <c r="M74" s="10"/>
      <c r="N74" s="10"/>
      <c r="O74" s="10"/>
      <c r="R74" s="10"/>
      <c r="S74" s="10"/>
      <c r="T74" s="10"/>
      <c r="U74" s="10"/>
      <c r="V74" s="10"/>
    </row>
    <row r="75" spans="1:22" s="9" customFormat="1" hidden="1" x14ac:dyDescent="0.25">
      <c r="B75" s="9" t="s">
        <v>2852</v>
      </c>
      <c r="C75" s="628" t="s">
        <v>2849</v>
      </c>
      <c r="D75" s="9" t="s">
        <v>3038</v>
      </c>
      <c r="E75" s="10">
        <v>16293308</v>
      </c>
      <c r="F75" s="10" t="s">
        <v>3036</v>
      </c>
      <c r="G75" s="10">
        <v>5000000</v>
      </c>
      <c r="H75" s="10"/>
      <c r="I75" s="10"/>
      <c r="J75" s="10"/>
      <c r="K75" s="672"/>
      <c r="L75" s="125"/>
      <c r="M75" s="10"/>
      <c r="N75" s="10"/>
      <c r="O75" s="10"/>
      <c r="R75" s="10"/>
      <c r="S75" s="10"/>
      <c r="T75" s="10"/>
      <c r="U75" s="10"/>
      <c r="V75" s="10"/>
    </row>
    <row r="76" spans="1:22" s="9" customFormat="1" hidden="1" x14ac:dyDescent="0.25">
      <c r="C76" s="628" t="s">
        <v>4</v>
      </c>
      <c r="D76" s="9" t="s">
        <v>3042</v>
      </c>
      <c r="E76" s="10">
        <v>0</v>
      </c>
      <c r="F76" s="10" t="s">
        <v>3037</v>
      </c>
      <c r="G76" s="10"/>
      <c r="H76" s="10"/>
      <c r="I76" s="10"/>
      <c r="J76" s="10"/>
      <c r="K76" s="672"/>
      <c r="L76" s="125"/>
      <c r="M76" s="10"/>
      <c r="N76" s="10"/>
      <c r="O76" s="10"/>
      <c r="R76" s="10"/>
      <c r="S76" s="10"/>
      <c r="T76" s="10"/>
      <c r="U76" s="10"/>
      <c r="V76" s="10"/>
    </row>
    <row r="77" spans="1:22" s="9" customFormat="1" ht="12" hidden="1" x14ac:dyDescent="0.2">
      <c r="C77" s="161" t="s">
        <v>2994</v>
      </c>
      <c r="E77" s="10"/>
      <c r="F77" s="10" t="s">
        <v>3038</v>
      </c>
      <c r="G77" s="10">
        <v>11293308</v>
      </c>
      <c r="H77" s="10"/>
      <c r="I77" s="10"/>
      <c r="J77" s="10"/>
      <c r="K77" s="672"/>
      <c r="L77" s="125"/>
      <c r="M77" s="10"/>
      <c r="N77" s="10"/>
      <c r="O77" s="10"/>
      <c r="R77" s="10"/>
      <c r="S77" s="10"/>
      <c r="T77" s="10"/>
      <c r="U77" s="10"/>
      <c r="V77" s="10"/>
    </row>
    <row r="78" spans="1:22" s="9" customFormat="1" ht="12" hidden="1" x14ac:dyDescent="0.2">
      <c r="C78" s="161"/>
      <c r="E78" s="10"/>
      <c r="F78" s="10" t="s">
        <v>2850</v>
      </c>
      <c r="G78" s="684"/>
      <c r="H78" s="10"/>
      <c r="I78" s="10"/>
      <c r="J78" s="10"/>
      <c r="K78" s="672"/>
      <c r="L78" s="125"/>
      <c r="M78" s="10"/>
      <c r="N78" s="10"/>
      <c r="O78" s="10"/>
      <c r="R78" s="10"/>
      <c r="S78" s="10"/>
      <c r="T78" s="10"/>
      <c r="U78" s="10"/>
      <c r="V78" s="10"/>
    </row>
    <row r="79" spans="1:22" s="9" customFormat="1" ht="12" hidden="1" x14ac:dyDescent="0.2">
      <c r="C79" s="161"/>
      <c r="E79" s="10"/>
      <c r="F79" s="10"/>
      <c r="G79" s="10"/>
      <c r="H79" s="10"/>
      <c r="I79" s="10"/>
      <c r="J79" s="10"/>
      <c r="K79" s="672"/>
      <c r="L79" s="125"/>
      <c r="M79" s="10"/>
      <c r="N79" s="10"/>
      <c r="O79" s="10"/>
      <c r="R79" s="10"/>
      <c r="S79" s="10"/>
      <c r="T79" s="10"/>
      <c r="U79" s="10"/>
      <c r="V79" s="10"/>
    </row>
    <row r="80" spans="1:22" s="9" customFormat="1" ht="12" hidden="1" x14ac:dyDescent="0.2">
      <c r="C80" s="161"/>
      <c r="E80" s="10"/>
      <c r="F80" s="10"/>
      <c r="G80" s="10"/>
      <c r="H80" s="10"/>
      <c r="I80" s="10"/>
      <c r="J80" s="10"/>
      <c r="K80" s="672"/>
      <c r="L80" s="125"/>
      <c r="M80" s="10"/>
      <c r="N80" s="10"/>
      <c r="O80" s="10"/>
      <c r="R80" s="10"/>
      <c r="S80" s="10"/>
      <c r="T80" s="10"/>
      <c r="U80" s="10"/>
      <c r="V80" s="10"/>
    </row>
    <row r="81" spans="2:22" ht="16.5" hidden="1" x14ac:dyDescent="0.3">
      <c r="B81" s="44" t="s">
        <v>2853</v>
      </c>
      <c r="C81" s="160" t="s">
        <v>3041</v>
      </c>
      <c r="D81" s="9" t="s">
        <v>3038</v>
      </c>
      <c r="E81" s="23">
        <v>16203308</v>
      </c>
      <c r="F81" s="10" t="s">
        <v>3036</v>
      </c>
      <c r="G81" s="685">
        <v>5000000</v>
      </c>
      <c r="H81" s="685"/>
      <c r="I81" s="142"/>
      <c r="J81" s="142"/>
      <c r="K81" s="670"/>
      <c r="L81" s="133"/>
      <c r="M81" s="142"/>
      <c r="N81" s="142"/>
      <c r="O81" s="142"/>
      <c r="P81" s="44"/>
      <c r="Q81" s="9"/>
      <c r="R81" s="10"/>
      <c r="S81" s="10"/>
      <c r="T81" s="10"/>
      <c r="U81" s="142"/>
      <c r="V81" s="142"/>
    </row>
    <row r="82" spans="2:22" ht="16.5" hidden="1" x14ac:dyDescent="0.3">
      <c r="B82" s="44"/>
      <c r="C82" s="160" t="s">
        <v>3040</v>
      </c>
      <c r="D82" s="9" t="s">
        <v>3042</v>
      </c>
      <c r="E82" s="23">
        <v>0</v>
      </c>
      <c r="F82" s="10" t="s">
        <v>3037</v>
      </c>
      <c r="G82" s="23"/>
      <c r="H82" s="686"/>
      <c r="I82" s="142"/>
      <c r="J82" s="142"/>
      <c r="K82" s="670"/>
      <c r="L82" s="133"/>
      <c r="M82" s="142"/>
      <c r="N82" s="142"/>
      <c r="O82" s="142"/>
      <c r="P82" s="44"/>
      <c r="Q82" s="9"/>
      <c r="R82" s="10"/>
      <c r="S82" s="10"/>
      <c r="T82" s="10"/>
      <c r="U82" s="142"/>
      <c r="V82" s="142"/>
    </row>
    <row r="83" spans="2:22" ht="16.5" hidden="1" x14ac:dyDescent="0.3">
      <c r="B83" s="44"/>
      <c r="C83" s="160"/>
      <c r="D83" s="44"/>
      <c r="E83" s="23"/>
      <c r="F83" s="10" t="s">
        <v>3038</v>
      </c>
      <c r="G83" s="23">
        <v>11203308</v>
      </c>
      <c r="H83" s="686"/>
      <c r="I83" s="142"/>
      <c r="J83" s="142"/>
      <c r="K83" s="670"/>
      <c r="L83" s="133"/>
      <c r="M83" s="142"/>
      <c r="N83" s="142"/>
      <c r="O83" s="142"/>
      <c r="P83" s="44"/>
      <c r="Q83" s="9"/>
      <c r="R83" s="10"/>
      <c r="S83" s="10"/>
      <c r="T83" s="10"/>
      <c r="U83" s="142"/>
      <c r="V83" s="142"/>
    </row>
    <row r="84" spans="2:22" hidden="1" x14ac:dyDescent="0.2">
      <c r="F84" s="10" t="s">
        <v>3042</v>
      </c>
      <c r="G84" s="23">
        <v>0</v>
      </c>
      <c r="H84" s="686"/>
    </row>
    <row r="85" spans="2:22" ht="16.5" hidden="1" x14ac:dyDescent="0.3">
      <c r="F85" s="142"/>
      <c r="G85" s="23">
        <f>SUM(G83:G84)</f>
        <v>11203308</v>
      </c>
      <c r="H85" s="686"/>
    </row>
  </sheetData>
  <mergeCells count="1">
    <mergeCell ref="C1:P1"/>
  </mergeCells>
  <phoneticPr fontId="4" type="noConversion"/>
  <pageMargins left="0.47244094488188981" right="0.47244094488188981" top="0.39370078740157483" bottom="0.35433070866141736" header="0.23622047244094491" footer="0.19685039370078741"/>
  <pageSetup paperSize="9" scale="5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workbookViewId="0">
      <selection activeCell="P535" sqref="P535"/>
    </sheetView>
  </sheetViews>
  <sheetFormatPr defaultRowHeight="11.25" x14ac:dyDescent="0.15"/>
  <cols>
    <col min="1" max="1" width="22.5703125" style="687" customWidth="1"/>
    <col min="2" max="2" width="13.85546875" style="687" customWidth="1"/>
    <col min="3" max="4" width="11.42578125" style="687" customWidth="1"/>
    <col min="5" max="5" width="13.85546875" style="687" customWidth="1"/>
    <col min="6" max="6" width="11.42578125" style="687" customWidth="1"/>
    <col min="7" max="7" width="13" style="687" hidden="1" customWidth="1"/>
    <col min="8" max="8" width="11.42578125" style="687" customWidth="1"/>
    <col min="9" max="9" width="12.85546875" style="687" customWidth="1"/>
    <col min="10" max="11" width="12.85546875" style="687" hidden="1" customWidth="1"/>
    <col min="12" max="12" width="11.42578125" style="687" hidden="1" customWidth="1"/>
    <col min="13" max="16384" width="9.140625" style="687"/>
  </cols>
  <sheetData>
    <row r="1" spans="1:12" ht="12" x14ac:dyDescent="0.2">
      <c r="A1" s="850" t="s">
        <v>2854</v>
      </c>
      <c r="B1" s="850"/>
      <c r="C1" s="850"/>
      <c r="D1" s="850"/>
      <c r="E1" s="850"/>
      <c r="F1" s="850"/>
      <c r="G1" s="125" t="s">
        <v>2855</v>
      </c>
      <c r="K1" s="688" t="s">
        <v>2856</v>
      </c>
      <c r="L1" s="688" t="s">
        <v>2857</v>
      </c>
    </row>
    <row r="2" spans="1:12" ht="12" x14ac:dyDescent="0.2">
      <c r="A2" s="10" t="s">
        <v>2858</v>
      </c>
      <c r="B2" s="10">
        <v>16203308</v>
      </c>
      <c r="C2" s="10"/>
      <c r="D2" s="10" t="s">
        <v>3036</v>
      </c>
      <c r="E2" s="10">
        <v>5000000</v>
      </c>
      <c r="F2" s="10"/>
      <c r="G2" s="10"/>
      <c r="J2" s="687">
        <f>+E2+E10+E18+E26</f>
        <v>20000000</v>
      </c>
      <c r="K2" s="689"/>
      <c r="L2" s="689" t="s">
        <v>2769</v>
      </c>
    </row>
    <row r="3" spans="1:12" ht="12" x14ac:dyDescent="0.2">
      <c r="A3" s="10" t="s">
        <v>2859</v>
      </c>
      <c r="B3" s="10">
        <v>0</v>
      </c>
      <c r="C3" s="10"/>
      <c r="D3" s="10" t="s">
        <v>3037</v>
      </c>
      <c r="E3" s="10"/>
      <c r="F3" s="10"/>
      <c r="G3" s="10"/>
      <c r="J3" s="687">
        <f>+E3+E11+E19+E27</f>
        <v>0</v>
      </c>
      <c r="K3" s="689"/>
      <c r="L3" s="689" t="s">
        <v>2788</v>
      </c>
    </row>
    <row r="4" spans="1:12" ht="12" x14ac:dyDescent="0.2">
      <c r="A4" s="10"/>
      <c r="B4" s="10"/>
      <c r="C4" s="10"/>
      <c r="D4" s="10" t="s">
        <v>3038</v>
      </c>
      <c r="E4" s="10">
        <v>11203308</v>
      </c>
      <c r="F4" s="10"/>
      <c r="G4" s="10"/>
      <c r="J4" s="687">
        <f>+E4+E12+E20+E28</f>
        <v>45443231</v>
      </c>
      <c r="K4" s="689"/>
      <c r="L4" s="689" t="s">
        <v>1868</v>
      </c>
    </row>
    <row r="5" spans="1:12" ht="12" x14ac:dyDescent="0.2">
      <c r="A5" s="10"/>
      <c r="B5" s="10"/>
      <c r="C5" s="10"/>
      <c r="D5" s="10" t="s">
        <v>2850</v>
      </c>
      <c r="E5" s="10">
        <f>'무형자산-D&amp;M사업부'!G84</f>
        <v>0</v>
      </c>
      <c r="F5" s="10"/>
      <c r="G5" s="10"/>
      <c r="J5" s="687">
        <f>+E5+E13+E21+E29</f>
        <v>0</v>
      </c>
      <c r="K5" s="689"/>
      <c r="L5" s="689" t="s">
        <v>2850</v>
      </c>
    </row>
    <row r="6" spans="1:12" ht="12" x14ac:dyDescent="0.2">
      <c r="A6" s="10"/>
      <c r="B6" s="690">
        <f>SUM(B2:B5)</f>
        <v>16203308</v>
      </c>
      <c r="C6" s="10"/>
      <c r="D6" s="10"/>
      <c r="E6" s="690">
        <f>SUM(E2:E5)</f>
        <v>16203308</v>
      </c>
      <c r="F6" s="10"/>
      <c r="G6" s="691">
        <f>+E6-B6</f>
        <v>0</v>
      </c>
      <c r="J6" s="687">
        <f>SUM(J2:J5)</f>
        <v>65443231</v>
      </c>
    </row>
    <row r="7" spans="1:12" ht="12" x14ac:dyDescent="0.2">
      <c r="A7" s="10"/>
      <c r="B7" s="10"/>
      <c r="C7" s="10"/>
      <c r="D7" s="10"/>
      <c r="E7" s="10"/>
      <c r="F7" s="10"/>
      <c r="G7" s="10"/>
      <c r="K7" s="687">
        <f>+K6-J6</f>
        <v>-65443231</v>
      </c>
    </row>
    <row r="8" spans="1:12" ht="12" x14ac:dyDescent="0.2">
      <c r="A8" s="10"/>
      <c r="B8" s="10"/>
      <c r="C8" s="10"/>
      <c r="D8" s="10"/>
      <c r="E8" s="10"/>
      <c r="F8" s="10"/>
      <c r="G8" s="10"/>
    </row>
    <row r="9" spans="1:12" ht="12" x14ac:dyDescent="0.2">
      <c r="A9" s="850" t="s">
        <v>2852</v>
      </c>
      <c r="B9" s="850"/>
      <c r="C9" s="850"/>
      <c r="D9" s="850"/>
      <c r="E9" s="850"/>
      <c r="F9" s="850"/>
      <c r="G9" s="125" t="s">
        <v>41</v>
      </c>
    </row>
    <row r="10" spans="1:12" ht="12" x14ac:dyDescent="0.2">
      <c r="A10" s="10" t="s">
        <v>2860</v>
      </c>
      <c r="B10" s="10">
        <f>E12+E10</f>
        <v>16293308</v>
      </c>
      <c r="C10" s="10"/>
      <c r="D10" s="10" t="s">
        <v>2769</v>
      </c>
      <c r="E10" s="10">
        <f>'무형자산-D&amp;M사업부'!G75</f>
        <v>5000000</v>
      </c>
      <c r="F10" s="10"/>
      <c r="G10" s="10"/>
    </row>
    <row r="11" spans="1:12" ht="12" x14ac:dyDescent="0.2">
      <c r="A11" s="10" t="s">
        <v>2859</v>
      </c>
      <c r="B11" s="10">
        <f>E13</f>
        <v>0</v>
      </c>
      <c r="C11" s="10"/>
      <c r="D11" s="10" t="s">
        <v>2861</v>
      </c>
      <c r="E11" s="10"/>
      <c r="F11" s="10"/>
      <c r="G11" s="10"/>
    </row>
    <row r="12" spans="1:12" ht="12" x14ac:dyDescent="0.2">
      <c r="A12" s="10"/>
      <c r="B12" s="10"/>
      <c r="C12" s="10"/>
      <c r="D12" s="10" t="s">
        <v>1868</v>
      </c>
      <c r="E12" s="10">
        <f>'무형자산-D&amp;M사업부'!G77</f>
        <v>11293308</v>
      </c>
      <c r="F12" s="10"/>
      <c r="G12" s="10"/>
    </row>
    <row r="13" spans="1:12" ht="12" x14ac:dyDescent="0.2">
      <c r="A13" s="10"/>
      <c r="B13" s="10"/>
      <c r="C13" s="10"/>
      <c r="D13" s="10" t="s">
        <v>2850</v>
      </c>
      <c r="E13" s="10">
        <f>'무형자산-D&amp;M사업부'!G78</f>
        <v>0</v>
      </c>
      <c r="F13" s="10"/>
      <c r="G13" s="10"/>
    </row>
    <row r="14" spans="1:12" ht="12" x14ac:dyDescent="0.2">
      <c r="A14" s="10"/>
      <c r="B14" s="690">
        <f>SUM(B10:B13)</f>
        <v>16293308</v>
      </c>
      <c r="C14" s="10"/>
      <c r="D14" s="10"/>
      <c r="E14" s="690">
        <f>SUM(E10:E13)</f>
        <v>16293308</v>
      </c>
      <c r="F14" s="10"/>
      <c r="G14" s="691">
        <f>+E14-B14</f>
        <v>0</v>
      </c>
    </row>
    <row r="15" spans="1:12" ht="12" x14ac:dyDescent="0.2">
      <c r="A15" s="10"/>
      <c r="B15" s="10"/>
      <c r="C15" s="10"/>
      <c r="D15" s="10"/>
      <c r="E15" s="10"/>
      <c r="F15" s="10"/>
      <c r="G15" s="10"/>
    </row>
    <row r="16" spans="1:12" ht="12" x14ac:dyDescent="0.2">
      <c r="A16" s="10"/>
      <c r="B16" s="10"/>
      <c r="C16" s="10"/>
      <c r="D16" s="10"/>
      <c r="E16" s="10"/>
      <c r="F16" s="10"/>
      <c r="G16" s="10"/>
    </row>
    <row r="17" spans="1:7" ht="12" x14ac:dyDescent="0.2">
      <c r="A17" s="850" t="s">
        <v>2851</v>
      </c>
      <c r="B17" s="850"/>
      <c r="C17" s="850"/>
      <c r="D17" s="850"/>
      <c r="E17" s="850"/>
      <c r="F17" s="850"/>
      <c r="G17" s="125" t="s">
        <v>2862</v>
      </c>
    </row>
    <row r="18" spans="1:7" ht="12" x14ac:dyDescent="0.2">
      <c r="A18" s="10" t="s">
        <v>2860</v>
      </c>
      <c r="B18" s="10">
        <f>E20+E18</f>
        <v>16473308</v>
      </c>
      <c r="C18" s="10"/>
      <c r="D18" s="10" t="s">
        <v>2863</v>
      </c>
      <c r="E18" s="10">
        <f>'무형자산-D&amp;M사업부'!G69</f>
        <v>5000000</v>
      </c>
      <c r="F18" s="10"/>
      <c r="G18" s="10"/>
    </row>
    <row r="19" spans="1:7" ht="12" x14ac:dyDescent="0.2">
      <c r="A19" s="10" t="s">
        <v>2864</v>
      </c>
      <c r="B19" s="10">
        <f>E21</f>
        <v>0</v>
      </c>
      <c r="C19" s="10"/>
      <c r="D19" s="10" t="s">
        <v>2861</v>
      </c>
      <c r="E19" s="10"/>
      <c r="F19" s="10"/>
      <c r="G19" s="10"/>
    </row>
    <row r="20" spans="1:7" ht="12" x14ac:dyDescent="0.2">
      <c r="A20" s="10"/>
      <c r="B20" s="10"/>
      <c r="C20" s="10"/>
      <c r="D20" s="10" t="s">
        <v>2865</v>
      </c>
      <c r="E20" s="10">
        <f>'무형자산-D&amp;M사업부'!G71</f>
        <v>11473308</v>
      </c>
      <c r="F20" s="10"/>
      <c r="G20" s="10"/>
    </row>
    <row r="21" spans="1:7" ht="12" x14ac:dyDescent="0.2">
      <c r="A21" s="10"/>
      <c r="B21" s="10"/>
      <c r="C21" s="10"/>
      <c r="D21" s="10" t="s">
        <v>2850</v>
      </c>
      <c r="E21" s="10">
        <f>'무형자산-D&amp;M사업부'!G72</f>
        <v>0</v>
      </c>
      <c r="F21" s="10"/>
      <c r="G21" s="10"/>
    </row>
    <row r="22" spans="1:7" ht="12" x14ac:dyDescent="0.2">
      <c r="A22" s="10"/>
      <c r="B22" s="690">
        <f>SUM(B18:B21)</f>
        <v>16473308</v>
      </c>
      <c r="C22" s="10"/>
      <c r="D22" s="10"/>
      <c r="E22" s="690">
        <f>SUM(E18:E21)</f>
        <v>16473308</v>
      </c>
      <c r="F22" s="10"/>
      <c r="G22" s="691">
        <f>+E22-B22</f>
        <v>0</v>
      </c>
    </row>
    <row r="23" spans="1:7" ht="12" x14ac:dyDescent="0.2">
      <c r="A23" s="10"/>
      <c r="B23" s="10"/>
      <c r="C23" s="10"/>
      <c r="D23" s="10"/>
      <c r="E23" s="10"/>
      <c r="F23" s="10"/>
      <c r="G23" s="10"/>
    </row>
    <row r="24" spans="1:7" ht="12" x14ac:dyDescent="0.2">
      <c r="A24" s="10"/>
      <c r="B24" s="10"/>
      <c r="C24" s="10"/>
      <c r="D24" s="10"/>
      <c r="E24" s="10"/>
      <c r="F24" s="10"/>
      <c r="G24" s="10"/>
    </row>
    <row r="25" spans="1:7" ht="12" x14ac:dyDescent="0.2">
      <c r="A25" s="850" t="s">
        <v>3112</v>
      </c>
      <c r="B25" s="850"/>
      <c r="C25" s="850"/>
      <c r="D25" s="850"/>
      <c r="E25" s="850"/>
      <c r="F25" s="850"/>
      <c r="G25" s="125" t="s">
        <v>41</v>
      </c>
    </row>
    <row r="26" spans="1:7" ht="12" x14ac:dyDescent="0.2">
      <c r="A26" s="10" t="s">
        <v>2860</v>
      </c>
      <c r="B26" s="10">
        <f>E28+E26</f>
        <v>16473307</v>
      </c>
      <c r="C26" s="10"/>
      <c r="D26" s="10" t="s">
        <v>2863</v>
      </c>
      <c r="E26" s="10">
        <f>+'무형자산-D&amp;M사업부'!G63</f>
        <v>5000000</v>
      </c>
      <c r="F26" s="10"/>
      <c r="G26" s="10"/>
    </row>
    <row r="27" spans="1:7" ht="12" x14ac:dyDescent="0.2">
      <c r="A27" s="10" t="s">
        <v>2864</v>
      </c>
      <c r="B27" s="10">
        <f>E29</f>
        <v>0</v>
      </c>
      <c r="C27" s="10"/>
      <c r="D27" s="10" t="s">
        <v>2861</v>
      </c>
      <c r="E27" s="10"/>
      <c r="F27" s="10"/>
      <c r="G27" s="10"/>
    </row>
    <row r="28" spans="1:7" ht="12" x14ac:dyDescent="0.2">
      <c r="A28" s="10"/>
      <c r="B28" s="10"/>
      <c r="C28" s="10"/>
      <c r="D28" s="10" t="s">
        <v>2865</v>
      </c>
      <c r="E28" s="10">
        <f>'무형자산-D&amp;M사업부'!G65</f>
        <v>11473307</v>
      </c>
      <c r="F28" s="10"/>
      <c r="G28" s="10"/>
    </row>
    <row r="29" spans="1:7" ht="12" x14ac:dyDescent="0.2">
      <c r="A29" s="10"/>
      <c r="B29" s="10"/>
      <c r="C29" s="10"/>
      <c r="D29" s="10" t="s">
        <v>2866</v>
      </c>
      <c r="E29" s="10">
        <f>'무형자산-D&amp;M사업부'!G66</f>
        <v>0</v>
      </c>
      <c r="F29" s="10"/>
      <c r="G29" s="10"/>
    </row>
    <row r="30" spans="1:7" ht="12" x14ac:dyDescent="0.2">
      <c r="A30" s="10"/>
      <c r="B30" s="690">
        <f>SUM(B26:B29)</f>
        <v>16473307</v>
      </c>
      <c r="C30" s="10"/>
      <c r="D30" s="10"/>
      <c r="E30" s="690">
        <f>SUM(E26:E29)</f>
        <v>16473307</v>
      </c>
      <c r="F30" s="10"/>
      <c r="G30" s="691">
        <f>+E30-B30</f>
        <v>0</v>
      </c>
    </row>
    <row r="31" spans="1:7" ht="12" x14ac:dyDescent="0.2">
      <c r="A31" s="10"/>
      <c r="B31" s="10"/>
      <c r="C31" s="10"/>
      <c r="D31" s="10"/>
      <c r="E31" s="10"/>
      <c r="F31" s="10"/>
      <c r="G31" s="10"/>
    </row>
    <row r="32" spans="1:7" ht="12" x14ac:dyDescent="0.2">
      <c r="A32" s="10"/>
      <c r="B32" s="10"/>
      <c r="C32" s="10"/>
      <c r="D32" s="10"/>
      <c r="E32" s="10"/>
      <c r="F32" s="10"/>
      <c r="G32" s="10"/>
    </row>
    <row r="33" spans="1:7" ht="12" x14ac:dyDescent="0.2">
      <c r="A33" s="851" t="s">
        <v>2867</v>
      </c>
      <c r="B33" s="851"/>
      <c r="C33" s="851"/>
      <c r="D33" s="851"/>
      <c r="E33" s="851"/>
      <c r="F33" s="851"/>
      <c r="G33" s="125" t="s">
        <v>2868</v>
      </c>
    </row>
    <row r="34" spans="1:7" ht="12" x14ac:dyDescent="0.2">
      <c r="A34" s="10" t="s">
        <v>2869</v>
      </c>
      <c r="B34" s="10">
        <f>E36+E34</f>
        <v>65443231</v>
      </c>
      <c r="C34" s="10"/>
      <c r="D34" s="10" t="s">
        <v>2769</v>
      </c>
      <c r="E34" s="10">
        <f>E2+E10+E18+E26</f>
        <v>20000000</v>
      </c>
      <c r="F34" s="10"/>
      <c r="G34" s="10"/>
    </row>
    <row r="35" spans="1:7" ht="12" x14ac:dyDescent="0.2">
      <c r="A35" s="10" t="s">
        <v>2859</v>
      </c>
      <c r="B35" s="10">
        <f>E37</f>
        <v>0</v>
      </c>
      <c r="C35" s="10"/>
      <c r="D35" s="10" t="s">
        <v>2788</v>
      </c>
      <c r="E35" s="10">
        <f>E3+E11+E19+E27</f>
        <v>0</v>
      </c>
      <c r="F35" s="10"/>
      <c r="G35" s="10"/>
    </row>
    <row r="36" spans="1:7" ht="12" x14ac:dyDescent="0.2">
      <c r="A36" s="10"/>
      <c r="B36" s="10"/>
      <c r="C36" s="10"/>
      <c r="D36" s="10" t="s">
        <v>2865</v>
      </c>
      <c r="E36" s="10">
        <f>E4+E12+E20+E28</f>
        <v>45443231</v>
      </c>
      <c r="F36" s="10"/>
      <c r="G36" s="10"/>
    </row>
    <row r="37" spans="1:7" ht="12" x14ac:dyDescent="0.2">
      <c r="A37" s="10"/>
      <c r="B37" s="10"/>
      <c r="C37" s="10"/>
      <c r="D37" s="10" t="s">
        <v>2866</v>
      </c>
      <c r="E37" s="10">
        <f>E5+E13+E21+E29</f>
        <v>0</v>
      </c>
      <c r="F37" s="10"/>
      <c r="G37" s="10"/>
    </row>
    <row r="38" spans="1:7" ht="12" x14ac:dyDescent="0.2">
      <c r="A38" s="10"/>
      <c r="B38" s="690">
        <f>SUM(B34:B37)</f>
        <v>65443231</v>
      </c>
      <c r="C38" s="10"/>
      <c r="D38" s="10"/>
      <c r="E38" s="690">
        <f>SUM(E34:E37)</f>
        <v>65443231</v>
      </c>
      <c r="F38" s="10"/>
      <c r="G38" s="691">
        <f>+E38-B38</f>
        <v>0</v>
      </c>
    </row>
    <row r="39" spans="1:7" ht="12" x14ac:dyDescent="0.2">
      <c r="A39" s="10"/>
      <c r="B39" s="10"/>
      <c r="C39" s="10"/>
      <c r="D39" s="10"/>
      <c r="E39" s="10"/>
      <c r="F39" s="10"/>
      <c r="G39" s="10"/>
    </row>
    <row r="40" spans="1:7" ht="12" x14ac:dyDescent="0.2">
      <c r="A40" s="10"/>
      <c r="B40" s="10"/>
      <c r="C40" s="10"/>
      <c r="D40" s="10"/>
      <c r="E40" s="10"/>
      <c r="F40" s="10"/>
      <c r="G40" s="10"/>
    </row>
  </sheetData>
  <mergeCells count="5">
    <mergeCell ref="A1:F1"/>
    <mergeCell ref="A9:F9"/>
    <mergeCell ref="A17:F17"/>
    <mergeCell ref="A25:F25"/>
    <mergeCell ref="A33:F33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zoomScaleNormal="100" workbookViewId="0">
      <pane xSplit="1" ySplit="6" topLeftCell="B7" activePane="bottomRight" state="frozenSplit"/>
      <selection activeCell="O2" sqref="O2"/>
      <selection pane="topRight" activeCell="O2" sqref="O2"/>
      <selection pane="bottomLeft" activeCell="O2" sqref="O2"/>
      <selection pane="bottomRight" activeCell="G20" sqref="G20"/>
    </sheetView>
  </sheetViews>
  <sheetFormatPr defaultRowHeight="12" x14ac:dyDescent="0.2"/>
  <cols>
    <col min="1" max="1" width="16.28515625" style="9" customWidth="1"/>
    <col min="2" max="2" width="17" style="9" customWidth="1"/>
    <col min="3" max="3" width="16" style="9" customWidth="1"/>
    <col min="4" max="4" width="16.28515625" style="9" customWidth="1"/>
    <col min="5" max="5" width="19.42578125" style="10" customWidth="1"/>
    <col min="6" max="6" width="17.5703125" style="9" customWidth="1"/>
    <col min="7" max="7" width="16" style="10" customWidth="1"/>
    <col min="8" max="8" width="20.42578125" style="10" customWidth="1"/>
    <col min="9" max="9" width="18.140625" style="10" customWidth="1"/>
    <col min="10" max="10" width="12" style="9" hidden="1" customWidth="1"/>
    <col min="11" max="11" width="14.7109375" style="10" hidden="1" customWidth="1"/>
    <col min="12" max="12" width="14.7109375" style="9" hidden="1" customWidth="1"/>
    <col min="13" max="13" width="11.42578125" style="9" hidden="1" customWidth="1"/>
    <col min="14" max="14" width="11.42578125" style="9" customWidth="1"/>
    <col min="15" max="15" width="15.7109375" style="9" customWidth="1"/>
    <col min="16" max="16" width="12.28515625" style="807" bestFit="1" customWidth="1"/>
    <col min="17" max="16384" width="9.140625" style="9"/>
  </cols>
  <sheetData>
    <row r="1" spans="1:15" ht="26.25" x14ac:dyDescent="0.45">
      <c r="A1" s="846" t="s">
        <v>3091</v>
      </c>
      <c r="B1" s="846"/>
      <c r="C1" s="846"/>
      <c r="D1" s="846"/>
      <c r="E1" s="846"/>
      <c r="F1" s="846"/>
      <c r="G1" s="846"/>
      <c r="H1" s="846"/>
      <c r="I1" s="846"/>
    </row>
    <row r="2" spans="1:15" ht="13.5" x14ac:dyDescent="0.25">
      <c r="A2" s="11"/>
      <c r="B2" s="11"/>
      <c r="C2" s="11"/>
      <c r="D2" s="11"/>
      <c r="E2" s="2"/>
      <c r="F2" s="11"/>
      <c r="G2" s="2"/>
      <c r="H2" s="2"/>
      <c r="I2" s="2"/>
    </row>
    <row r="3" spans="1:15" ht="13.5" x14ac:dyDescent="0.25">
      <c r="A3" s="11"/>
      <c r="B3" s="11"/>
      <c r="C3" s="11"/>
      <c r="D3" s="11"/>
      <c r="E3" s="2"/>
      <c r="F3" s="11"/>
      <c r="G3" s="2"/>
      <c r="H3" s="2"/>
      <c r="I3" s="2"/>
    </row>
    <row r="4" spans="1:15" ht="13.5" x14ac:dyDescent="0.25">
      <c r="A4" s="11"/>
      <c r="B4" s="11"/>
      <c r="C4" s="11"/>
      <c r="D4" s="11"/>
      <c r="E4" s="2"/>
      <c r="F4" s="11"/>
      <c r="G4" s="2"/>
      <c r="H4" s="2"/>
      <c r="I4" s="2"/>
    </row>
    <row r="5" spans="1:15" ht="14.25" thickBot="1" x14ac:dyDescent="0.3">
      <c r="A5" s="11" t="s">
        <v>22</v>
      </c>
      <c r="B5" s="11"/>
      <c r="C5" s="11"/>
      <c r="D5" s="11"/>
      <c r="E5" s="2"/>
      <c r="F5" s="11"/>
      <c r="G5" s="2"/>
      <c r="H5" s="2"/>
      <c r="I5" s="12" t="s">
        <v>23</v>
      </c>
    </row>
    <row r="6" spans="1:15" ht="22.5" customHeight="1" thickBot="1" x14ac:dyDescent="0.25">
      <c r="A6" s="13" t="s">
        <v>24</v>
      </c>
      <c r="B6" s="14" t="s">
        <v>25</v>
      </c>
      <c r="C6" s="15" t="s">
        <v>26</v>
      </c>
      <c r="D6" s="15" t="s">
        <v>27</v>
      </c>
      <c r="E6" s="16" t="s">
        <v>28</v>
      </c>
      <c r="F6" s="15" t="s">
        <v>29</v>
      </c>
      <c r="G6" s="16" t="s">
        <v>30</v>
      </c>
      <c r="H6" s="16" t="s">
        <v>31</v>
      </c>
      <c r="I6" s="17" t="s">
        <v>32</v>
      </c>
    </row>
    <row r="7" spans="1:15" ht="22.5" customHeight="1" thickTop="1" x14ac:dyDescent="0.2">
      <c r="A7" s="18" t="s">
        <v>33</v>
      </c>
      <c r="B7" s="19">
        <f>토지!D13</f>
        <v>550502710</v>
      </c>
      <c r="C7" s="20">
        <f>토지!E13</f>
        <v>0</v>
      </c>
      <c r="D7" s="20">
        <f t="shared" ref="D7:D13" si="0">+B7+C7</f>
        <v>550502710</v>
      </c>
      <c r="E7" s="21">
        <f>+토지!G13</f>
        <v>0</v>
      </c>
      <c r="F7" s="21">
        <f>+토지!H13</f>
        <v>550502710</v>
      </c>
      <c r="G7" s="21">
        <f>+토지!L13</f>
        <v>0</v>
      </c>
      <c r="H7" s="21">
        <f>+E7+G7</f>
        <v>0</v>
      </c>
      <c r="I7" s="22">
        <f t="shared" ref="I7:I13" si="1">+D7-H7</f>
        <v>550502710</v>
      </c>
      <c r="J7" s="23">
        <f t="shared" ref="J7:J13" si="2">+D7-E7-G7</f>
        <v>550502710</v>
      </c>
      <c r="K7" s="10">
        <f>+I7</f>
        <v>550502710</v>
      </c>
      <c r="L7" s="23"/>
    </row>
    <row r="8" spans="1:15" ht="22.5" customHeight="1" x14ac:dyDescent="0.2">
      <c r="A8" s="24" t="s">
        <v>34</v>
      </c>
      <c r="B8" s="25">
        <f>'건물(DM)'!D14</f>
        <v>3291581318</v>
      </c>
      <c r="C8" s="26">
        <f>+'건물(DM)'!E14</f>
        <v>135436524</v>
      </c>
      <c r="D8" s="20">
        <f t="shared" si="0"/>
        <v>3427017842</v>
      </c>
      <c r="E8" s="27">
        <f>'건물(DM)'!G14</f>
        <v>900792120</v>
      </c>
      <c r="F8" s="21">
        <f>'건물(DM)'!H14</f>
        <v>2526225722</v>
      </c>
      <c r="G8" s="27">
        <f>'건물(DM)'!L14</f>
        <v>85675446</v>
      </c>
      <c r="H8" s="21">
        <f t="shared" ref="H8:H11" si="3">ROUND((E8+G8),0)</f>
        <v>986467566</v>
      </c>
      <c r="I8" s="28">
        <f t="shared" si="1"/>
        <v>2440550276</v>
      </c>
      <c r="J8" s="23">
        <f t="shared" si="2"/>
        <v>2440550276</v>
      </c>
      <c r="K8" s="10">
        <f>1905810910-192002278</f>
        <v>1713808632</v>
      </c>
      <c r="L8" s="10">
        <f t="shared" ref="L8:L13" si="4">+F8-G8</f>
        <v>2440550276</v>
      </c>
      <c r="M8" s="10">
        <f t="shared" ref="M8:M13" si="5">+I8-L8</f>
        <v>0</v>
      </c>
      <c r="O8" s="29"/>
    </row>
    <row r="9" spans="1:15" ht="22.5" customHeight="1" x14ac:dyDescent="0.2">
      <c r="A9" s="24" t="s">
        <v>35</v>
      </c>
      <c r="B9" s="25">
        <f>'구축물(DM)'!D15</f>
        <v>69411572</v>
      </c>
      <c r="C9" s="26">
        <f>+'구축물(DM)'!E15</f>
        <v>0</v>
      </c>
      <c r="D9" s="20">
        <f t="shared" si="0"/>
        <v>69411572</v>
      </c>
      <c r="E9" s="27">
        <f>'구축물(DM)'!G15</f>
        <v>21961249</v>
      </c>
      <c r="F9" s="21">
        <f>'구축물(DM)'!H15</f>
        <v>47450323</v>
      </c>
      <c r="G9" s="27">
        <f>'구축물(DM)'!L15</f>
        <v>3470579</v>
      </c>
      <c r="H9" s="21">
        <f t="shared" si="3"/>
        <v>25431828</v>
      </c>
      <c r="I9" s="28">
        <f t="shared" si="1"/>
        <v>43979744</v>
      </c>
      <c r="J9" s="23">
        <f t="shared" si="2"/>
        <v>43979744</v>
      </c>
      <c r="K9" s="10">
        <f>22818200-2880003</f>
        <v>19938197</v>
      </c>
      <c r="L9" s="10">
        <f t="shared" si="4"/>
        <v>43979744</v>
      </c>
      <c r="M9" s="10">
        <f t="shared" si="5"/>
        <v>0</v>
      </c>
      <c r="O9" s="29"/>
    </row>
    <row r="10" spans="1:15" ht="22.5" customHeight="1" x14ac:dyDescent="0.2">
      <c r="A10" s="30" t="s">
        <v>36</v>
      </c>
      <c r="B10" s="25">
        <f>'기계설비(D&amp;M)'!D240</f>
        <v>7847175669</v>
      </c>
      <c r="C10" s="26">
        <f>'기계설비(D&amp;M)'!E240</f>
        <v>-87274000</v>
      </c>
      <c r="D10" s="20">
        <f>+B10+C10</f>
        <v>7759901669</v>
      </c>
      <c r="E10" s="27">
        <f>'기계설비(D&amp;M)'!G240</f>
        <v>6877214373</v>
      </c>
      <c r="F10" s="27">
        <f>'기계설비(D&amp;M)'!H240</f>
        <v>1416259296</v>
      </c>
      <c r="G10" s="27">
        <f>'기계설비(D&amp;M)'!L240</f>
        <v>359624893</v>
      </c>
      <c r="H10" s="21">
        <f>ROUND((E10+G10),0)-274633400-258938600</f>
        <v>6703267266</v>
      </c>
      <c r="I10" s="28">
        <f>+D10-H10</f>
        <v>1056634403</v>
      </c>
      <c r="J10" s="23">
        <f t="shared" si="2"/>
        <v>523062403</v>
      </c>
      <c r="K10" s="10">
        <f>8694921783-7134799145</f>
        <v>1560122638</v>
      </c>
      <c r="L10" s="10">
        <f t="shared" si="4"/>
        <v>1056634403</v>
      </c>
      <c r="M10" s="10">
        <f t="shared" si="5"/>
        <v>0</v>
      </c>
      <c r="O10" s="29"/>
    </row>
    <row r="11" spans="1:15" ht="22.5" customHeight="1" x14ac:dyDescent="0.2">
      <c r="A11" s="24" t="s">
        <v>37</v>
      </c>
      <c r="B11" s="25">
        <f>'차량운반(D&amp;M)'!D18</f>
        <v>2550000</v>
      </c>
      <c r="C11" s="26">
        <f>+'차량운반(D&amp;M)'!E18</f>
        <v>0</v>
      </c>
      <c r="D11" s="20">
        <f>+B11+C11</f>
        <v>2550000</v>
      </c>
      <c r="E11" s="27">
        <f>'차량운반(D&amp;M)'!G18</f>
        <v>2549000</v>
      </c>
      <c r="F11" s="31">
        <f>'차량운반(D&amp;M)'!H18</f>
        <v>1000</v>
      </c>
      <c r="G11" s="27">
        <f>'차량운반(D&amp;M)'!L18</f>
        <v>0</v>
      </c>
      <c r="H11" s="31">
        <f t="shared" si="3"/>
        <v>2549000</v>
      </c>
      <c r="I11" s="28">
        <f t="shared" si="1"/>
        <v>1000</v>
      </c>
      <c r="J11" s="23">
        <f t="shared" si="2"/>
        <v>1000</v>
      </c>
      <c r="K11" s="10">
        <f>226197725-187128729</f>
        <v>39068996</v>
      </c>
      <c r="L11" s="10">
        <f t="shared" si="4"/>
        <v>1000</v>
      </c>
      <c r="M11" s="10">
        <f t="shared" si="5"/>
        <v>0</v>
      </c>
      <c r="O11" s="29"/>
    </row>
    <row r="12" spans="1:15" ht="22.5" customHeight="1" x14ac:dyDescent="0.2">
      <c r="A12" s="30" t="s">
        <v>38</v>
      </c>
      <c r="B12" s="25">
        <f>'공구와기구(D&amp;M)'!D447</f>
        <v>3273616772</v>
      </c>
      <c r="C12" s="26">
        <f>+'공구와기구(D&amp;M)'!E447</f>
        <v>125286819</v>
      </c>
      <c r="D12" s="20">
        <f t="shared" si="0"/>
        <v>3398903591</v>
      </c>
      <c r="E12" s="27">
        <f>'공구와기구(D&amp;M)'!G447</f>
        <v>2777106742</v>
      </c>
      <c r="F12" s="31">
        <f>'공구와기구(D&amp;M)'!H447</f>
        <v>621796849</v>
      </c>
      <c r="G12" s="32">
        <f>'공구와기구(D&amp;M)'!L447</f>
        <v>169666993</v>
      </c>
      <c r="H12" s="31">
        <f>ROUND((E12+G12),0)</f>
        <v>2946773735</v>
      </c>
      <c r="I12" s="28">
        <f t="shared" si="1"/>
        <v>452129856</v>
      </c>
      <c r="J12" s="23">
        <f t="shared" si="2"/>
        <v>452129856</v>
      </c>
      <c r="K12" s="10">
        <f>1640955738-1360987598</f>
        <v>279968140</v>
      </c>
      <c r="L12" s="10">
        <f t="shared" si="4"/>
        <v>452129856</v>
      </c>
      <c r="M12" s="10">
        <f t="shared" si="5"/>
        <v>0</v>
      </c>
      <c r="O12" s="29"/>
    </row>
    <row r="13" spans="1:15" ht="22.5" customHeight="1" thickBot="1" x14ac:dyDescent="0.25">
      <c r="A13" s="33" t="s">
        <v>39</v>
      </c>
      <c r="B13" s="34">
        <f>'비품(D&amp;M)'!D537</f>
        <v>696689087</v>
      </c>
      <c r="C13" s="35">
        <f>+'비품(D&amp;M)'!E537</f>
        <v>6080000</v>
      </c>
      <c r="D13" s="20">
        <f t="shared" si="0"/>
        <v>702769087</v>
      </c>
      <c r="E13" s="36">
        <f>'비품(D&amp;M)'!G537</f>
        <v>655076693</v>
      </c>
      <c r="F13" s="37">
        <f>'비품(D&amp;M)'!H537</f>
        <v>47692394</v>
      </c>
      <c r="G13" s="36">
        <f>'비품(D&amp;M)'!L537</f>
        <v>14984532</v>
      </c>
      <c r="H13" s="21">
        <f>ROUND((E13+G13),0)</f>
        <v>670061225</v>
      </c>
      <c r="I13" s="38">
        <f t="shared" si="1"/>
        <v>32707862</v>
      </c>
      <c r="J13" s="23">
        <f t="shared" si="2"/>
        <v>32707862</v>
      </c>
      <c r="K13" s="10">
        <f>622279007-508345527</f>
        <v>113933480</v>
      </c>
      <c r="L13" s="10">
        <f t="shared" si="4"/>
        <v>32707862</v>
      </c>
      <c r="M13" s="10">
        <f t="shared" si="5"/>
        <v>0</v>
      </c>
      <c r="O13" s="29"/>
    </row>
    <row r="14" spans="1:15" ht="22.5" customHeight="1" thickTop="1" thickBot="1" x14ac:dyDescent="0.35">
      <c r="A14" s="39" t="s">
        <v>40</v>
      </c>
      <c r="B14" s="40">
        <f t="shared" ref="B14:K14" si="6">SUM(B7:B13)</f>
        <v>15731527128</v>
      </c>
      <c r="C14" s="41">
        <f t="shared" si="6"/>
        <v>179529343</v>
      </c>
      <c r="D14" s="41">
        <f t="shared" si="6"/>
        <v>15911056471</v>
      </c>
      <c r="E14" s="42">
        <f t="shared" si="6"/>
        <v>11234700177</v>
      </c>
      <c r="F14" s="41">
        <f t="shared" si="6"/>
        <v>5209928294</v>
      </c>
      <c r="G14" s="42">
        <f t="shared" si="6"/>
        <v>633422443</v>
      </c>
      <c r="H14" s="42">
        <f t="shared" si="6"/>
        <v>11334550620</v>
      </c>
      <c r="I14" s="43">
        <f t="shared" si="6"/>
        <v>4576505851</v>
      </c>
      <c r="J14" s="23">
        <f t="shared" si="6"/>
        <v>4042933851</v>
      </c>
      <c r="K14" s="10">
        <f t="shared" si="6"/>
        <v>4277342793</v>
      </c>
      <c r="L14" s="44"/>
      <c r="M14" s="23"/>
      <c r="O14" s="10"/>
    </row>
    <row r="15" spans="1:15" hidden="1" x14ac:dyDescent="0.2">
      <c r="B15" s="23"/>
      <c r="C15" s="10"/>
      <c r="D15" s="23"/>
      <c r="F15" s="10"/>
    </row>
    <row r="16" spans="1:15" hidden="1" x14ac:dyDescent="0.2">
      <c r="A16" s="45" t="s">
        <v>41</v>
      </c>
      <c r="B16" s="23">
        <f>토지!D13+'건물(DM)'!D14+'건물(반도체)'!D6+'구축물(DM)'!D15+'구축물(반도체)'!D9+'기계설비(D&amp;M)'!D240+'기계설비(반도체)'!D378+'차량운반(D&amp;M)'!D18+'차량운반(반도체)'!D10+'공구와기구(D&amp;M)'!D447+'공구와기구(반도체)'!D201+'비품(D&amp;M)'!D537+'비품(반도체)'!D466</f>
        <v>44204051612</v>
      </c>
      <c r="C16" s="10"/>
      <c r="D16" s="23">
        <f>토지!F13+'건물(DM)'!F14+'건물(반도체)'!F6+'구축물(DM)'!F15+'구축물(반도체)'!F9+'기계설비(D&amp;M)'!F240+'기계설비(반도체)'!F378+'차량운반(D&amp;M)'!F18+'차량운반(반도체)'!F10+'공구와기구(D&amp;M)'!F447+'공구와기구(반도체)'!F201+'비품(D&amp;M)'!F537+'비품(반도체)'!F466</f>
        <v>44934032955</v>
      </c>
      <c r="E16" s="10">
        <f>'건물(DM)'!G14+'건물(반도체)'!G6+'구축물(DM)'!G15+'구축물(반도체)'!G9+'기계설비(D&amp;M)'!G240+'기계설비(반도체)'!G378+'차량운반(D&amp;M)'!G18+'공구와기구(D&amp;M)'!G447+'공구와기구(반도체)'!G201+'비품(D&amp;M)'!G537+'비품(반도체)'!G466</f>
        <v>35426191682</v>
      </c>
      <c r="F16" s="10">
        <f>+D14-E14-F14</f>
        <v>-533572000</v>
      </c>
      <c r="H16" s="10">
        <f>+H14-G14-E14</f>
        <v>-533572000</v>
      </c>
      <c r="I16" s="10">
        <f>+D14-H14-I14</f>
        <v>0</v>
      </c>
    </row>
    <row r="17" spans="1:9" hidden="1" x14ac:dyDescent="0.2">
      <c r="B17" s="23" t="b">
        <f>B14=B16</f>
        <v>0</v>
      </c>
      <c r="C17" s="10"/>
      <c r="D17" s="23" t="b">
        <f>D14=D16</f>
        <v>0</v>
      </c>
      <c r="E17" s="10" t="b">
        <f>E14=E16</f>
        <v>0</v>
      </c>
      <c r="F17" s="10">
        <f>토지!H13+'건물(DM)'!H14+'건물(반도체)'!H6+'구축물(DM)'!H15+'구축물(반도체)'!H9+'기계설비(D&amp;M)'!H240+'기계설비(반도체)'!H378+'차량운반(D&amp;M)'!H18+'차량운반(반도체)'!H10+'공구와기구(D&amp;M)'!H447+'공구와기구(반도체)'!H201+'비품(D&amp;M)'!H537+'비품(반도체)'!H466</f>
        <v>10042411273</v>
      </c>
      <c r="G17" s="10">
        <f>'건물(DM)'!L14+'건물(반도체)'!L6+'구축물(DM)'!L15+'구축물(반도체)'!L9+'기계설비(D&amp;M)'!L240+'기계설비(반도체)'!L378+'차량운반(D&amp;M)'!L18+'공구와기구(D&amp;M)'!L447+'공구와기구(반도체)'!L201+'비품(D&amp;M)'!L537+'비품(반도체)'!L466</f>
        <v>1614040934</v>
      </c>
      <c r="H17" s="10">
        <f>'건물(DM)'!M14+'건물(반도체)'!M6+'구축물(DM)'!M15+'구축물(반도체)'!M9+'기계설비(D&amp;M)'!M240+'기계설비(반도체)'!M378+'차량운반(D&amp;M)'!M18+'공구와기구(D&amp;M)'!M447+'공구와기구(반도체)'!M201+'비품(D&amp;M)'!M537+'비품(반도체)'!M466</f>
        <v>36505662616</v>
      </c>
    </row>
    <row r="18" spans="1:9" hidden="1" x14ac:dyDescent="0.2">
      <c r="B18" s="23"/>
      <c r="C18" s="10"/>
      <c r="D18" s="23"/>
      <c r="F18" s="10" t="b">
        <f>F14=F17</f>
        <v>0</v>
      </c>
      <c r="G18" s="10" t="b">
        <f>G14=G17</f>
        <v>0</v>
      </c>
      <c r="H18" s="10" t="b">
        <f>H14=H17</f>
        <v>0</v>
      </c>
    </row>
    <row r="19" spans="1:9" hidden="1" x14ac:dyDescent="0.2">
      <c r="B19" s="23"/>
      <c r="C19" s="10"/>
      <c r="D19" s="23"/>
      <c r="F19" s="10"/>
      <c r="H19" s="10">
        <f>H14-H17</f>
        <v>-25171111996</v>
      </c>
    </row>
    <row r="20" spans="1:9" ht="12" customHeight="1" x14ac:dyDescent="0.2">
      <c r="B20" s="46"/>
      <c r="C20" s="45"/>
      <c r="D20" s="23"/>
      <c r="G20" s="10">
        <f>SUM(G8:G13)</f>
        <v>633422443</v>
      </c>
      <c r="H20" s="10">
        <f>SUM(H8:H13)</f>
        <v>11334550620</v>
      </c>
      <c r="I20" s="10">
        <f>SUM(I8:I13)</f>
        <v>4026003141</v>
      </c>
    </row>
    <row r="21" spans="1:9" ht="12" customHeight="1" x14ac:dyDescent="0.2">
      <c r="B21" s="46"/>
      <c r="C21" s="45"/>
    </row>
    <row r="22" spans="1:9" ht="14.25" customHeight="1" thickBot="1" x14ac:dyDescent="0.3">
      <c r="A22" s="844" t="s">
        <v>3130</v>
      </c>
      <c r="B22" s="11"/>
      <c r="C22" s="11"/>
      <c r="D22" s="11"/>
      <c r="E22" s="2"/>
      <c r="F22" s="11"/>
      <c r="G22" s="2"/>
      <c r="H22" s="2"/>
      <c r="I22" s="12" t="s">
        <v>120</v>
      </c>
    </row>
    <row r="23" spans="1:9" ht="22.5" customHeight="1" thickBot="1" x14ac:dyDescent="0.25">
      <c r="A23" s="13" t="s">
        <v>3113</v>
      </c>
      <c r="B23" s="14" t="s">
        <v>3114</v>
      </c>
      <c r="C23" s="15" t="s">
        <v>3115</v>
      </c>
      <c r="D23" s="15" t="s">
        <v>3116</v>
      </c>
      <c r="E23" s="16" t="s">
        <v>3117</v>
      </c>
      <c r="F23" s="15" t="s">
        <v>3118</v>
      </c>
      <c r="G23" s="16" t="s">
        <v>3119</v>
      </c>
      <c r="H23" s="16" t="s">
        <v>3120</v>
      </c>
      <c r="I23" s="17" t="s">
        <v>3121</v>
      </c>
    </row>
    <row r="24" spans="1:9" ht="22.5" customHeight="1" thickTop="1" x14ac:dyDescent="0.2">
      <c r="A24" s="18" t="s">
        <v>3122</v>
      </c>
      <c r="B24" s="19"/>
      <c r="C24" s="20"/>
      <c r="D24" s="20"/>
      <c r="E24" s="21"/>
      <c r="F24" s="21"/>
      <c r="G24" s="21"/>
      <c r="H24" s="21"/>
      <c r="I24" s="22"/>
    </row>
    <row r="25" spans="1:9" ht="22.5" customHeight="1" x14ac:dyDescent="0.2">
      <c r="A25" s="24" t="s">
        <v>3123</v>
      </c>
      <c r="B25" s="25">
        <f>'건물(반도체)'!D6</f>
        <v>3694805680</v>
      </c>
      <c r="C25" s="26">
        <f>+'건물(DM)'!E31+'건물(반도체)'!E6</f>
        <v>0</v>
      </c>
      <c r="D25" s="20">
        <f t="shared" ref="D25:D26" si="7">+B25+C25</f>
        <v>3694805680</v>
      </c>
      <c r="E25" s="27">
        <f>'건물(반도체)'!G6</f>
        <v>931398931</v>
      </c>
      <c r="F25" s="21">
        <f>'건물(DM)'!H31+'건물(반도체)'!H6</f>
        <v>2763406749</v>
      </c>
      <c r="G25" s="27">
        <f>'건물(DM)'!L31+'건물(반도체)'!L6</f>
        <v>92370142</v>
      </c>
      <c r="H25" s="21">
        <f t="shared" ref="H25:H26" si="8">ROUND((E25+G25),0)</f>
        <v>1023769073</v>
      </c>
      <c r="I25" s="28">
        <f t="shared" ref="I25:I26" si="9">+D25-H25</f>
        <v>2671036607</v>
      </c>
    </row>
    <row r="26" spans="1:9" ht="22.5" customHeight="1" x14ac:dyDescent="0.2">
      <c r="A26" s="24" t="s">
        <v>3124</v>
      </c>
      <c r="B26" s="25">
        <f>'구축물(반도체)'!D9</f>
        <v>96362000</v>
      </c>
      <c r="C26" s="26">
        <f>+'구축물(DM)'!E32+'구축물(반도체)'!E9</f>
        <v>0</v>
      </c>
      <c r="D26" s="20">
        <f t="shared" si="7"/>
        <v>96362000</v>
      </c>
      <c r="E26" s="27">
        <f>'구축물(반도체)'!G9</f>
        <v>46411876</v>
      </c>
      <c r="F26" s="21">
        <f>'구축물(DM)'!H32+'구축물(반도체)'!H9</f>
        <v>49950124</v>
      </c>
      <c r="G26" s="27">
        <f>'구축물(DM)'!L32+'구축물(반도체)'!L9</f>
        <v>4818100</v>
      </c>
      <c r="H26" s="21">
        <f t="shared" si="8"/>
        <v>51229976</v>
      </c>
      <c r="I26" s="28">
        <f t="shared" si="9"/>
        <v>45132024</v>
      </c>
    </row>
    <row r="27" spans="1:9" ht="22.5" customHeight="1" x14ac:dyDescent="0.2">
      <c r="A27" s="30" t="s">
        <v>3125</v>
      </c>
      <c r="B27" s="25">
        <f>'기계설비(반도체)'!D378</f>
        <v>23398390035</v>
      </c>
      <c r="C27" s="26">
        <f>'기계설비(D&amp;M)'!E257+'기계설비(반도체)'!E378</f>
        <v>544200000</v>
      </c>
      <c r="D27" s="20">
        <f>+B27+C27</f>
        <v>23942590035</v>
      </c>
      <c r="E27" s="27">
        <f>'기계설비(반도체)'!G378</f>
        <v>21995133090</v>
      </c>
      <c r="F27" s="27">
        <f>'기계설비(D&amp;M)'!H257+'기계설비(반도체)'!H378</f>
        <v>1947456945</v>
      </c>
      <c r="G27" s="27">
        <f>'기계설비(D&amp;M)'!L257+'기계설비(반도체)'!L378</f>
        <v>844031361</v>
      </c>
      <c r="H27" s="21">
        <f>ROUND((E27+G27),0)</f>
        <v>22839164451</v>
      </c>
      <c r="I27" s="28">
        <f>+D27-H27</f>
        <v>1103425584</v>
      </c>
    </row>
    <row r="28" spans="1:9" ht="22.5" customHeight="1" x14ac:dyDescent="0.2">
      <c r="A28" s="24" t="s">
        <v>3126</v>
      </c>
      <c r="B28" s="25">
        <f>'차량운반(반도체)'!D10</f>
        <v>0</v>
      </c>
      <c r="C28" s="26">
        <f>+'차량운반(D&amp;M)'!E35+'차량운반(반도체)'!E10</f>
        <v>0</v>
      </c>
      <c r="D28" s="20">
        <f>+B28+C28</f>
        <v>0</v>
      </c>
      <c r="E28" s="27">
        <f>'차량운반(반도체)'!G10</f>
        <v>0</v>
      </c>
      <c r="F28" s="31">
        <f>'차량운반(D&amp;M)'!H35+'차량운반(반도체)'!H10</f>
        <v>0</v>
      </c>
      <c r="G28" s="27">
        <f>'차량운반(D&amp;M)'!L35+'차량운반(반도체)'!L10</f>
        <v>0</v>
      </c>
      <c r="H28" s="31">
        <f t="shared" ref="H28" si="10">ROUND((E28+G28),0)</f>
        <v>0</v>
      </c>
      <c r="I28" s="28">
        <f t="shared" ref="I28:I30" si="11">+D28-H28</f>
        <v>0</v>
      </c>
    </row>
    <row r="29" spans="1:9" ht="22.5" customHeight="1" x14ac:dyDescent="0.2">
      <c r="A29" s="30" t="s">
        <v>3127</v>
      </c>
      <c r="B29" s="25">
        <f>'공구와기구(반도체)'!D201</f>
        <v>801047649</v>
      </c>
      <c r="C29" s="26">
        <f>+'공구와기구(D&amp;M)'!E464+'공구와기구(반도체)'!E201</f>
        <v>0</v>
      </c>
      <c r="D29" s="20">
        <f t="shared" ref="D29:D30" si="12">+B29+C29</f>
        <v>801047649</v>
      </c>
      <c r="E29" s="27">
        <f>'공구와기구(반도체)'!G201</f>
        <v>742616317</v>
      </c>
      <c r="F29" s="31">
        <f>'공구와기구(D&amp;M)'!H464+'공구와기구(반도체)'!H201</f>
        <v>58431332</v>
      </c>
      <c r="G29" s="32">
        <f>'공구와기구(D&amp;M)'!L464+'공구와기구(반도체)'!L201</f>
        <v>34396000</v>
      </c>
      <c r="H29" s="31">
        <f>ROUND((E29+G29),0)</f>
        <v>777012317</v>
      </c>
      <c r="I29" s="28">
        <f t="shared" si="11"/>
        <v>24035332</v>
      </c>
    </row>
    <row r="30" spans="1:9" ht="22.5" customHeight="1" thickBot="1" x14ac:dyDescent="0.25">
      <c r="A30" s="33" t="s">
        <v>3128</v>
      </c>
      <c r="B30" s="34">
        <f>'비품(반도체)'!D466</f>
        <v>481919120</v>
      </c>
      <c r="C30" s="35">
        <f>+'비품(D&amp;M)'!E554+'비품(반도체)'!E466</f>
        <v>6252000</v>
      </c>
      <c r="D30" s="20">
        <f t="shared" si="12"/>
        <v>488171120</v>
      </c>
      <c r="E30" s="36">
        <f>'비품(반도체)'!G466</f>
        <v>475931291</v>
      </c>
      <c r="F30" s="37">
        <f>'비품(D&amp;M)'!H554+'비품(반도체)'!H466</f>
        <v>13237829</v>
      </c>
      <c r="G30" s="36">
        <f>'비품(D&amp;M)'!L554+'비품(반도체)'!L466</f>
        <v>5002888</v>
      </c>
      <c r="H30" s="21">
        <f>ROUND((E30+G30),0)-799000-199000</f>
        <v>479936179</v>
      </c>
      <c r="I30" s="38">
        <f t="shared" si="11"/>
        <v>8234941</v>
      </c>
    </row>
    <row r="31" spans="1:9" ht="22.5" customHeight="1" thickTop="1" thickBot="1" x14ac:dyDescent="0.25">
      <c r="A31" s="39" t="s">
        <v>3129</v>
      </c>
      <c r="B31" s="40">
        <f t="shared" ref="B31:I31" si="13">SUM(B24:B30)</f>
        <v>28472524484</v>
      </c>
      <c r="C31" s="41">
        <f t="shared" si="13"/>
        <v>550452000</v>
      </c>
      <c r="D31" s="41">
        <f t="shared" si="13"/>
        <v>29022976484</v>
      </c>
      <c r="E31" s="42">
        <f t="shared" si="13"/>
        <v>24191491505</v>
      </c>
      <c r="F31" s="41">
        <f t="shared" si="13"/>
        <v>4832482979</v>
      </c>
      <c r="G31" s="42">
        <f t="shared" si="13"/>
        <v>980618491</v>
      </c>
      <c r="H31" s="42">
        <f t="shared" si="13"/>
        <v>25171111996</v>
      </c>
      <c r="I31" s="43">
        <f t="shared" si="13"/>
        <v>3851864488</v>
      </c>
    </row>
    <row r="32" spans="1:9" x14ac:dyDescent="0.2">
      <c r="C32" s="45"/>
      <c r="D32" s="47"/>
    </row>
    <row r="33" spans="1:6" x14ac:dyDescent="0.2">
      <c r="C33" s="45"/>
      <c r="D33" s="47"/>
    </row>
    <row r="34" spans="1:6" x14ac:dyDescent="0.2">
      <c r="D34" s="47"/>
    </row>
    <row r="35" spans="1:6" x14ac:dyDescent="0.2">
      <c r="B35" s="10"/>
      <c r="D35" s="23"/>
    </row>
    <row r="36" spans="1:6" x14ac:dyDescent="0.2">
      <c r="F36" s="47"/>
    </row>
    <row r="39" spans="1:6" x14ac:dyDescent="0.2">
      <c r="A39" s="10"/>
      <c r="B39" s="10"/>
      <c r="C39" s="10"/>
      <c r="D39" s="10"/>
      <c r="F39" s="10"/>
    </row>
    <row r="40" spans="1:6" x14ac:dyDescent="0.2">
      <c r="A40" s="10"/>
      <c r="B40" s="10"/>
      <c r="C40" s="10"/>
      <c r="D40" s="10"/>
      <c r="F40" s="10"/>
    </row>
    <row r="41" spans="1:6" x14ac:dyDescent="0.2">
      <c r="A41" s="10"/>
      <c r="B41" s="10"/>
      <c r="C41" s="10"/>
      <c r="D41" s="10"/>
      <c r="F41" s="10"/>
    </row>
    <row r="42" spans="1:6" x14ac:dyDescent="0.2">
      <c r="A42" s="10"/>
      <c r="B42" s="10"/>
      <c r="C42" s="10"/>
      <c r="D42" s="10"/>
      <c r="F42" s="10"/>
    </row>
    <row r="43" spans="1:6" x14ac:dyDescent="0.2">
      <c r="A43" s="10"/>
      <c r="B43" s="10"/>
      <c r="C43" s="10"/>
      <c r="D43" s="10"/>
      <c r="F43" s="10"/>
    </row>
    <row r="44" spans="1:6" x14ac:dyDescent="0.2">
      <c r="A44" s="10"/>
      <c r="B44" s="10"/>
      <c r="C44" s="10"/>
      <c r="D44" s="10"/>
      <c r="F44" s="10"/>
    </row>
    <row r="45" spans="1:6" x14ac:dyDescent="0.2">
      <c r="A45" s="10"/>
      <c r="B45" s="10"/>
      <c r="C45" s="10"/>
      <c r="D45" s="10"/>
      <c r="F45" s="10"/>
    </row>
    <row r="46" spans="1:6" x14ac:dyDescent="0.2">
      <c r="A46" s="10"/>
      <c r="B46" s="10"/>
      <c r="C46" s="10"/>
      <c r="D46" s="10"/>
      <c r="F46" s="10"/>
    </row>
    <row r="47" spans="1:6" x14ac:dyDescent="0.2">
      <c r="A47" s="10"/>
      <c r="B47" s="10"/>
      <c r="C47" s="10"/>
      <c r="F47" s="10"/>
    </row>
    <row r="48" spans="1:6" x14ac:dyDescent="0.2">
      <c r="A48" s="10"/>
      <c r="B48" s="10"/>
      <c r="C48" s="10"/>
      <c r="F48" s="10"/>
    </row>
    <row r="49" spans="1:6" x14ac:dyDescent="0.2">
      <c r="A49" s="10"/>
      <c r="B49" s="10"/>
      <c r="C49" s="10"/>
      <c r="F49" s="10"/>
    </row>
    <row r="50" spans="1:6" x14ac:dyDescent="0.2">
      <c r="A50" s="10"/>
      <c r="B50" s="10"/>
      <c r="C50" s="10"/>
      <c r="F50" s="10"/>
    </row>
    <row r="51" spans="1:6" x14ac:dyDescent="0.2">
      <c r="B51" s="10"/>
      <c r="C51" s="10"/>
      <c r="D51" s="10"/>
      <c r="F51" s="10"/>
    </row>
    <row r="52" spans="1:6" x14ac:dyDescent="0.2">
      <c r="B52" s="10"/>
      <c r="C52" s="10"/>
      <c r="D52" s="10"/>
    </row>
    <row r="53" spans="1:6" x14ac:dyDescent="0.2">
      <c r="C53" s="10"/>
      <c r="D53" s="10"/>
    </row>
    <row r="54" spans="1:6" x14ac:dyDescent="0.2">
      <c r="D54" s="10"/>
    </row>
  </sheetData>
  <mergeCells count="1">
    <mergeCell ref="A1:I1"/>
  </mergeCells>
  <phoneticPr fontId="4" type="noConversion"/>
  <pageMargins left="0.75" right="0.51" top="1" bottom="1" header="0.5" footer="0.5"/>
  <pageSetup paperSize="9" scale="86" orientation="landscape" horizontalDpi="204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Normal="100" workbookViewId="0">
      <pane xSplit="3" ySplit="4" topLeftCell="D5" activePane="bottomRight" state="frozenSplit"/>
      <selection activeCell="H18" sqref="H18"/>
      <selection pane="topRight" activeCell="H18" sqref="H18"/>
      <selection pane="bottomLeft" activeCell="H18" sqref="H18"/>
      <selection pane="bottomRight" activeCell="H18" sqref="H18"/>
    </sheetView>
  </sheetViews>
  <sheetFormatPr defaultRowHeight="16.5" x14ac:dyDescent="0.3"/>
  <cols>
    <col min="1" max="1" width="6.140625" style="48" customWidth="1"/>
    <col min="2" max="2" width="29.85546875" style="44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44" customWidth="1"/>
    <col min="8" max="8" width="15.140625" style="44" customWidth="1"/>
    <col min="9" max="9" width="5.140625" style="44" customWidth="1"/>
    <col min="10" max="10" width="6.85546875" style="44" customWidth="1"/>
    <col min="11" max="11" width="5.140625" style="44" customWidth="1"/>
    <col min="12" max="12" width="13.28515625" style="44" customWidth="1"/>
    <col min="13" max="13" width="14.140625" style="44" customWidth="1"/>
    <col min="14" max="14" width="16.42578125" style="44" customWidth="1"/>
    <col min="15" max="15" width="13.85546875" style="9" customWidth="1"/>
    <col min="16" max="16" width="6.85546875" style="9" customWidth="1"/>
    <col min="17" max="17" width="11.28515625" style="44" customWidth="1"/>
    <col min="18" max="19" width="11.42578125" style="44" customWidth="1"/>
    <col min="20" max="20" width="13.7109375" style="44" customWidth="1"/>
    <col min="21" max="16384" width="9.140625" style="44"/>
  </cols>
  <sheetData>
    <row r="1" spans="1:20" ht="31.5" x14ac:dyDescent="0.55000000000000004">
      <c r="B1" s="847" t="s">
        <v>3092</v>
      </c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</row>
    <row r="2" spans="1:20" x14ac:dyDescent="0.3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5"/>
      <c r="P2" s="45"/>
      <c r="Q2" s="48"/>
    </row>
    <row r="3" spans="1:20" s="9" customFormat="1" ht="13.5" customHeight="1" thickBot="1" x14ac:dyDescent="0.25">
      <c r="A3" s="9" t="s">
        <v>42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9" t="s">
        <v>43</v>
      </c>
      <c r="S3" s="848"/>
      <c r="T3" s="848"/>
    </row>
    <row r="4" spans="1:20" s="9" customFormat="1" ht="13.5" customHeight="1" thickBot="1" x14ac:dyDescent="0.25">
      <c r="A4" s="50" t="s">
        <v>44</v>
      </c>
      <c r="B4" s="51" t="s">
        <v>45</v>
      </c>
      <c r="C4" s="52" t="s">
        <v>46</v>
      </c>
      <c r="D4" s="53" t="s">
        <v>47</v>
      </c>
      <c r="E4" s="53" t="s">
        <v>48</v>
      </c>
      <c r="F4" s="53" t="s">
        <v>49</v>
      </c>
      <c r="G4" s="53" t="s">
        <v>28</v>
      </c>
      <c r="H4" s="53" t="s">
        <v>50</v>
      </c>
      <c r="I4" s="53" t="s">
        <v>51</v>
      </c>
      <c r="J4" s="53" t="s">
        <v>52</v>
      </c>
      <c r="K4" s="53" t="s">
        <v>53</v>
      </c>
      <c r="L4" s="53" t="s">
        <v>54</v>
      </c>
      <c r="M4" s="53" t="s">
        <v>55</v>
      </c>
      <c r="N4" s="53" t="s">
        <v>56</v>
      </c>
      <c r="O4" s="54" t="s">
        <v>57</v>
      </c>
      <c r="P4" s="54" t="s">
        <v>58</v>
      </c>
      <c r="Q4" s="55" t="s">
        <v>59</v>
      </c>
      <c r="S4" s="45"/>
      <c r="T4" s="45"/>
    </row>
    <row r="5" spans="1:20" s="9" customFormat="1" ht="13.5" customHeight="1" thickTop="1" x14ac:dyDescent="0.2">
      <c r="A5" s="56">
        <v>1</v>
      </c>
      <c r="B5" s="57" t="s">
        <v>61</v>
      </c>
      <c r="C5" s="58" t="s">
        <v>62</v>
      </c>
      <c r="D5" s="59">
        <v>285156100</v>
      </c>
      <c r="E5" s="59"/>
      <c r="F5" s="59">
        <f t="shared" ref="F5:F10" si="0">+D5+E5</f>
        <v>285156100</v>
      </c>
      <c r="G5" s="59"/>
      <c r="H5" s="59">
        <f t="shared" ref="H5:H10" si="1">+F5-G5</f>
        <v>285156100</v>
      </c>
      <c r="I5" s="60"/>
      <c r="J5" s="60"/>
      <c r="K5" s="60"/>
      <c r="L5" s="61"/>
      <c r="M5" s="59"/>
      <c r="N5" s="59">
        <f t="shared" ref="N5:N10" si="2">+F5-M5</f>
        <v>285156100</v>
      </c>
      <c r="O5" s="62" t="s">
        <v>63</v>
      </c>
      <c r="P5" s="62"/>
      <c r="Q5" s="63" t="s">
        <v>64</v>
      </c>
      <c r="R5" s="23"/>
      <c r="S5" s="23"/>
      <c r="T5" s="23"/>
    </row>
    <row r="6" spans="1:20" s="9" customFormat="1" ht="13.5" customHeight="1" x14ac:dyDescent="0.2">
      <c r="A6" s="64">
        <v>2</v>
      </c>
      <c r="B6" s="65" t="s">
        <v>65</v>
      </c>
      <c r="C6" s="66" t="s">
        <v>66</v>
      </c>
      <c r="D6" s="67">
        <v>84965050</v>
      </c>
      <c r="E6" s="67"/>
      <c r="F6" s="67">
        <f t="shared" si="0"/>
        <v>84965050</v>
      </c>
      <c r="G6" s="67"/>
      <c r="H6" s="67">
        <f t="shared" si="1"/>
        <v>84965050</v>
      </c>
      <c r="I6" s="68"/>
      <c r="J6" s="68"/>
      <c r="K6" s="68"/>
      <c r="L6" s="67"/>
      <c r="M6" s="67"/>
      <c r="N6" s="67">
        <f t="shared" si="2"/>
        <v>84965050</v>
      </c>
      <c r="O6" s="69" t="s">
        <v>67</v>
      </c>
      <c r="P6" s="69"/>
      <c r="Q6" s="70" t="s">
        <v>68</v>
      </c>
      <c r="R6" s="23"/>
      <c r="S6" s="23"/>
      <c r="T6" s="23"/>
    </row>
    <row r="7" spans="1:20" s="9" customFormat="1" ht="13.5" customHeight="1" x14ac:dyDescent="0.2">
      <c r="A7" s="64">
        <v>3</v>
      </c>
      <c r="B7" s="71" t="s">
        <v>69</v>
      </c>
      <c r="C7" s="72" t="s">
        <v>70</v>
      </c>
      <c r="D7" s="73">
        <v>99756360</v>
      </c>
      <c r="E7" s="73"/>
      <c r="F7" s="73">
        <f t="shared" si="0"/>
        <v>99756360</v>
      </c>
      <c r="G7" s="73"/>
      <c r="H7" s="73">
        <f t="shared" si="1"/>
        <v>99756360</v>
      </c>
      <c r="I7" s="74"/>
      <c r="J7" s="74"/>
      <c r="K7" s="74"/>
      <c r="L7" s="73"/>
      <c r="M7" s="73"/>
      <c r="N7" s="73">
        <f t="shared" si="2"/>
        <v>99756360</v>
      </c>
      <c r="O7" s="75" t="s">
        <v>71</v>
      </c>
      <c r="P7" s="75"/>
      <c r="Q7" s="76" t="s">
        <v>72</v>
      </c>
      <c r="R7" s="23"/>
      <c r="S7" s="23"/>
      <c r="T7" s="23"/>
    </row>
    <row r="8" spans="1:20" s="9" customFormat="1" ht="13.5" customHeight="1" x14ac:dyDescent="0.2">
      <c r="A8" s="64">
        <v>4</v>
      </c>
      <c r="B8" s="77" t="s">
        <v>2972</v>
      </c>
      <c r="C8" s="66" t="s">
        <v>73</v>
      </c>
      <c r="D8" s="67">
        <v>10112650</v>
      </c>
      <c r="E8" s="67"/>
      <c r="F8" s="67">
        <f t="shared" si="0"/>
        <v>10112650</v>
      </c>
      <c r="G8" s="67"/>
      <c r="H8" s="67">
        <f t="shared" si="1"/>
        <v>10112650</v>
      </c>
      <c r="I8" s="68"/>
      <c r="J8" s="68"/>
      <c r="K8" s="68"/>
      <c r="L8" s="67"/>
      <c r="M8" s="67"/>
      <c r="N8" s="67">
        <f t="shared" si="2"/>
        <v>10112650</v>
      </c>
      <c r="O8" s="69" t="s">
        <v>2971</v>
      </c>
      <c r="P8" s="69"/>
      <c r="Q8" s="70" t="s">
        <v>2973</v>
      </c>
      <c r="R8" s="23"/>
      <c r="S8" s="23"/>
      <c r="T8" s="23"/>
    </row>
    <row r="9" spans="1:20" s="9" customFormat="1" ht="13.5" customHeight="1" x14ac:dyDescent="0.2">
      <c r="A9" s="78">
        <v>5</v>
      </c>
      <c r="B9" s="79" t="s">
        <v>75</v>
      </c>
      <c r="C9" s="80" t="s">
        <v>73</v>
      </c>
      <c r="D9" s="81">
        <v>0</v>
      </c>
      <c r="E9" s="81">
        <v>0</v>
      </c>
      <c r="F9" s="82">
        <f t="shared" si="0"/>
        <v>0</v>
      </c>
      <c r="G9" s="81"/>
      <c r="H9" s="82">
        <f t="shared" si="1"/>
        <v>0</v>
      </c>
      <c r="I9" s="83"/>
      <c r="J9" s="83"/>
      <c r="K9" s="83"/>
      <c r="L9" s="81"/>
      <c r="M9" s="81"/>
      <c r="N9" s="82">
        <f t="shared" si="2"/>
        <v>0</v>
      </c>
      <c r="O9" s="84" t="s">
        <v>74</v>
      </c>
      <c r="P9" s="84"/>
      <c r="Q9" s="85" t="s">
        <v>76</v>
      </c>
      <c r="R9" s="23"/>
      <c r="S9" s="23"/>
      <c r="T9" s="23"/>
    </row>
    <row r="10" spans="1:20" s="9" customFormat="1" ht="13.5" customHeight="1" x14ac:dyDescent="0.2">
      <c r="A10" s="78">
        <v>6</v>
      </c>
      <c r="B10" s="79" t="s">
        <v>77</v>
      </c>
      <c r="C10" s="80" t="s">
        <v>73</v>
      </c>
      <c r="D10" s="82">
        <v>0</v>
      </c>
      <c r="E10" s="82">
        <v>0</v>
      </c>
      <c r="F10" s="82">
        <f t="shared" si="0"/>
        <v>0</v>
      </c>
      <c r="G10" s="82"/>
      <c r="H10" s="82">
        <f t="shared" si="1"/>
        <v>0</v>
      </c>
      <c r="I10" s="86"/>
      <c r="J10" s="86"/>
      <c r="K10" s="86"/>
      <c r="L10" s="82"/>
      <c r="M10" s="82"/>
      <c r="N10" s="82">
        <f t="shared" si="2"/>
        <v>0</v>
      </c>
      <c r="O10" s="87" t="s">
        <v>78</v>
      </c>
      <c r="P10" s="87"/>
      <c r="Q10" s="88" t="s">
        <v>79</v>
      </c>
      <c r="R10" s="23"/>
      <c r="S10" s="23"/>
      <c r="T10" s="23"/>
    </row>
    <row r="11" spans="1:20" s="9" customFormat="1" ht="13.5" customHeight="1" x14ac:dyDescent="0.2">
      <c r="A11" s="64">
        <v>7</v>
      </c>
      <c r="B11" s="77" t="s">
        <v>2995</v>
      </c>
      <c r="C11" s="66" t="s">
        <v>2997</v>
      </c>
      <c r="D11" s="67">
        <v>70512550</v>
      </c>
      <c r="E11" s="67"/>
      <c r="F11" s="67">
        <f>+D11+E11</f>
        <v>70512550</v>
      </c>
      <c r="G11" s="67"/>
      <c r="H11" s="67">
        <f>+F11-G11</f>
        <v>70512550</v>
      </c>
      <c r="I11" s="68"/>
      <c r="J11" s="68"/>
      <c r="K11" s="68"/>
      <c r="L11" s="67"/>
      <c r="M11" s="67"/>
      <c r="N11" s="67">
        <f>+F11-M11</f>
        <v>70512550</v>
      </c>
      <c r="O11" s="69" t="s">
        <v>2996</v>
      </c>
      <c r="P11" s="69"/>
      <c r="Q11" s="70"/>
      <c r="R11" s="23"/>
      <c r="S11" s="23"/>
      <c r="T11" s="23"/>
    </row>
    <row r="12" spans="1:20" s="9" customFormat="1" ht="13.5" customHeight="1" thickBot="1" x14ac:dyDescent="0.25">
      <c r="A12" s="89"/>
      <c r="B12" s="77"/>
      <c r="C12" s="90"/>
      <c r="D12" s="91"/>
      <c r="E12" s="91"/>
      <c r="F12" s="91"/>
      <c r="G12" s="91"/>
      <c r="H12" s="91"/>
      <c r="I12" s="92"/>
      <c r="J12" s="92"/>
      <c r="K12" s="92"/>
      <c r="L12" s="91"/>
      <c r="M12" s="91"/>
      <c r="N12" s="91"/>
      <c r="O12" s="93"/>
      <c r="P12" s="93"/>
      <c r="Q12" s="94"/>
      <c r="R12" s="23"/>
      <c r="S12" s="23"/>
      <c r="T12" s="23"/>
    </row>
    <row r="13" spans="1:20" s="9" customFormat="1" ht="13.5" customHeight="1" thickTop="1" thickBot="1" x14ac:dyDescent="0.25">
      <c r="A13" s="95"/>
      <c r="B13" s="96" t="s">
        <v>80</v>
      </c>
      <c r="C13" s="97"/>
      <c r="D13" s="98">
        <f>SUM(D5:D12)</f>
        <v>550502710</v>
      </c>
      <c r="E13" s="98">
        <f>SUM(E5:E12)</f>
        <v>0</v>
      </c>
      <c r="F13" s="98">
        <f>SUM(F5:F12)</f>
        <v>550502710</v>
      </c>
      <c r="G13" s="98">
        <f>SUM(G5:G12)</f>
        <v>0</v>
      </c>
      <c r="H13" s="98">
        <f>SUM(H5:H12)</f>
        <v>550502710</v>
      </c>
      <c r="I13" s="99"/>
      <c r="J13" s="99"/>
      <c r="K13" s="99"/>
      <c r="L13" s="98">
        <f>SUM(L5:L12)</f>
        <v>0</v>
      </c>
      <c r="M13" s="98">
        <f>SUM(M5:M12)</f>
        <v>0</v>
      </c>
      <c r="N13" s="98">
        <f>SUM(N5:N12)</f>
        <v>550502710</v>
      </c>
      <c r="O13" s="100"/>
      <c r="P13" s="100"/>
      <c r="Q13" s="101"/>
      <c r="R13" s="23"/>
      <c r="S13" s="23"/>
      <c r="T13" s="23"/>
    </row>
    <row r="14" spans="1:20" s="9" customFormat="1" ht="12" x14ac:dyDescent="0.2">
      <c r="A14" s="45"/>
    </row>
    <row r="15" spans="1:20" s="9" customFormat="1" ht="12" x14ac:dyDescent="0.2">
      <c r="A15" s="45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20" s="9" customFormat="1" ht="12" x14ac:dyDescent="0.2">
      <c r="A16" s="45"/>
      <c r="S16" s="23"/>
    </row>
    <row r="17" spans="19:20" x14ac:dyDescent="0.3">
      <c r="S17" s="9"/>
      <c r="T17" s="9"/>
    </row>
    <row r="18" spans="19:20" x14ac:dyDescent="0.3">
      <c r="S18" s="9"/>
      <c r="T18" s="9"/>
    </row>
    <row r="19" spans="19:20" x14ac:dyDescent="0.3">
      <c r="S19" s="9"/>
      <c r="T19" s="23"/>
    </row>
    <row r="20" spans="19:20" x14ac:dyDescent="0.3">
      <c r="S20" s="9"/>
      <c r="T20" s="23"/>
    </row>
    <row r="21" spans="19:20" x14ac:dyDescent="0.3">
      <c r="T21" s="23"/>
    </row>
    <row r="22" spans="19:20" x14ac:dyDescent="0.3">
      <c r="T22" s="23"/>
    </row>
    <row r="23" spans="19:20" x14ac:dyDescent="0.3">
      <c r="T23" s="9"/>
    </row>
  </sheetData>
  <mergeCells count="2">
    <mergeCell ref="B1:Q1"/>
    <mergeCell ref="S3:T3"/>
  </mergeCells>
  <phoneticPr fontId="4" type="noConversion"/>
  <pageMargins left="0.33" right="0.4" top="1" bottom="1" header="0.5" footer="0.5"/>
  <pageSetup paperSize="9" scale="6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Normal="100" workbookViewId="0">
      <pane xSplit="3" ySplit="4" topLeftCell="D5" activePane="bottomRight" state="frozenSplit"/>
      <selection activeCell="H18" sqref="H18"/>
      <selection pane="topRight" activeCell="H18" sqref="H18"/>
      <selection pane="bottomLeft" activeCell="H18" sqref="H18"/>
      <selection pane="bottomRight" activeCell="H18" sqref="H18"/>
    </sheetView>
  </sheetViews>
  <sheetFormatPr defaultRowHeight="16.5" x14ac:dyDescent="0.3"/>
  <cols>
    <col min="1" max="1" width="6.140625" style="48" customWidth="1"/>
    <col min="2" max="2" width="29.7109375" style="44" bestFit="1" customWidth="1"/>
    <col min="3" max="3" width="12.5703125" style="44" customWidth="1"/>
    <col min="4" max="4" width="13.42578125" style="44" customWidth="1"/>
    <col min="5" max="5" width="14" style="44" customWidth="1"/>
    <col min="6" max="6" width="13.85546875" style="44" customWidth="1"/>
    <col min="7" max="7" width="14.42578125" style="44" customWidth="1"/>
    <col min="8" max="8" width="15.140625" style="44" customWidth="1"/>
    <col min="9" max="10" width="7.42578125" style="44" customWidth="1"/>
    <col min="11" max="11" width="5.42578125" style="44" customWidth="1"/>
    <col min="12" max="12" width="14.28515625" style="124" customWidth="1"/>
    <col min="13" max="13" width="15.42578125" style="44" customWidth="1"/>
    <col min="14" max="14" width="16.42578125" style="44" customWidth="1"/>
    <col min="15" max="15" width="17.140625" style="9" customWidth="1"/>
    <col min="16" max="16" width="9.140625" style="9" customWidth="1"/>
    <col min="17" max="17" width="12.7109375" style="44" customWidth="1"/>
    <col min="18" max="21" width="11.42578125" style="44" hidden="1" customWidth="1"/>
    <col min="22" max="22" width="13.7109375" style="44" hidden="1" customWidth="1"/>
    <col min="23" max="23" width="12.28515625" style="44" hidden="1" customWidth="1"/>
    <col min="24" max="24" width="12.140625" style="44" hidden="1" customWidth="1"/>
    <col min="25" max="16384" width="9.140625" style="44"/>
  </cols>
  <sheetData>
    <row r="1" spans="1:24" ht="31.5" x14ac:dyDescent="0.55000000000000004">
      <c r="B1" s="847" t="s">
        <v>3093</v>
      </c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</row>
    <row r="2" spans="1:24" x14ac:dyDescent="0.3">
      <c r="B2" s="48"/>
      <c r="C2" s="48"/>
      <c r="D2" s="48"/>
      <c r="E2" s="48"/>
      <c r="F2" s="48"/>
      <c r="G2" s="48"/>
      <c r="H2" s="48"/>
      <c r="I2" s="48"/>
      <c r="J2" s="48"/>
      <c r="K2" s="48"/>
      <c r="L2" s="102"/>
      <c r="M2" s="48"/>
      <c r="N2" s="48"/>
      <c r="O2" s="45"/>
      <c r="P2" s="45"/>
      <c r="Q2" s="48"/>
    </row>
    <row r="3" spans="1:24" s="9" customFormat="1" ht="13.5" customHeight="1" thickBot="1" x14ac:dyDescent="0.25">
      <c r="A3" s="9" t="s">
        <v>81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103"/>
      <c r="M3" s="45"/>
      <c r="N3" s="45"/>
      <c r="O3" s="45"/>
      <c r="P3" s="45"/>
      <c r="Q3" s="49" t="s">
        <v>82</v>
      </c>
      <c r="S3" s="848"/>
      <c r="T3" s="848"/>
      <c r="U3" s="848"/>
      <c r="V3" s="848"/>
    </row>
    <row r="4" spans="1:24" s="9" customFormat="1" ht="13.5" customHeight="1" thickBot="1" x14ac:dyDescent="0.25">
      <c r="A4" s="50" t="s">
        <v>44</v>
      </c>
      <c r="B4" s="51" t="s">
        <v>83</v>
      </c>
      <c r="C4" s="52" t="s">
        <v>84</v>
      </c>
      <c r="D4" s="53" t="s">
        <v>85</v>
      </c>
      <c r="E4" s="53" t="s">
        <v>86</v>
      </c>
      <c r="F4" s="53" t="s">
        <v>87</v>
      </c>
      <c r="G4" s="53" t="s">
        <v>28</v>
      </c>
      <c r="H4" s="53" t="s">
        <v>88</v>
      </c>
      <c r="I4" s="53" t="s">
        <v>51</v>
      </c>
      <c r="J4" s="53" t="s">
        <v>89</v>
      </c>
      <c r="K4" s="53" t="s">
        <v>90</v>
      </c>
      <c r="L4" s="104" t="s">
        <v>91</v>
      </c>
      <c r="M4" s="53" t="s">
        <v>92</v>
      </c>
      <c r="N4" s="53" t="s">
        <v>93</v>
      </c>
      <c r="O4" s="54" t="s">
        <v>94</v>
      </c>
      <c r="P4" s="54" t="s">
        <v>95</v>
      </c>
      <c r="Q4" s="55" t="s">
        <v>59</v>
      </c>
      <c r="R4" s="9" t="s">
        <v>96</v>
      </c>
      <c r="S4" s="45" t="s">
        <v>97</v>
      </c>
      <c r="T4" s="45" t="s">
        <v>98</v>
      </c>
      <c r="U4" s="45" t="s">
        <v>99</v>
      </c>
      <c r="V4" s="45" t="s">
        <v>100</v>
      </c>
      <c r="W4" s="9" t="s">
        <v>101</v>
      </c>
      <c r="X4" s="9" t="s">
        <v>102</v>
      </c>
    </row>
    <row r="5" spans="1:24" s="9" customFormat="1" ht="13.5" customHeight="1" thickTop="1" x14ac:dyDescent="0.2">
      <c r="A5" s="56">
        <v>1</v>
      </c>
      <c r="B5" s="57" t="s">
        <v>2998</v>
      </c>
      <c r="C5" s="58" t="s">
        <v>103</v>
      </c>
      <c r="D5" s="59">
        <v>1243892607</v>
      </c>
      <c r="E5" s="59">
        <v>135436524</v>
      </c>
      <c r="F5" s="59">
        <f>+D5+E5</f>
        <v>1379329131</v>
      </c>
      <c r="G5" s="59">
        <v>531418544.25</v>
      </c>
      <c r="H5" s="61">
        <f>+F5-G5</f>
        <v>847910586.75</v>
      </c>
      <c r="I5" s="60">
        <v>40</v>
      </c>
      <c r="J5" s="60">
        <v>2.5000000000000001E-2</v>
      </c>
      <c r="K5" s="60">
        <v>12</v>
      </c>
      <c r="L5" s="105">
        <f>ROUND((F5*J5)*K5/12,0)</f>
        <v>34483228</v>
      </c>
      <c r="M5" s="59">
        <f>+G5+L5</f>
        <v>565901772.25</v>
      </c>
      <c r="N5" s="59">
        <f>+F5-M5</f>
        <v>813427358.75</v>
      </c>
      <c r="O5" s="106" t="s">
        <v>104</v>
      </c>
      <c r="P5" s="62"/>
      <c r="Q5" s="63" t="s">
        <v>105</v>
      </c>
      <c r="R5" s="23">
        <f>+H5*0.025</f>
        <v>21197764.668750003</v>
      </c>
      <c r="S5" s="23">
        <f>D5*0.05</f>
        <v>62194630.350000001</v>
      </c>
      <c r="T5" s="23">
        <f t="shared" ref="T5:T10" si="0">N5-S5</f>
        <v>751232728.39999998</v>
      </c>
      <c r="U5" s="23">
        <f t="shared" ref="U5:U10" si="1">N5-1000</f>
        <v>813426358.75</v>
      </c>
      <c r="V5" s="23">
        <f>D5/I5</f>
        <v>31097315.175000001</v>
      </c>
      <c r="W5" s="10">
        <f t="shared" ref="W5:W10" si="2">ROUND(IF(H5&lt;=1000,0,V5/12*K5),0)</f>
        <v>31097315</v>
      </c>
      <c r="X5" s="10">
        <f t="shared" ref="X5:X10" si="3">L5-W5</f>
        <v>3385913</v>
      </c>
    </row>
    <row r="6" spans="1:24" s="9" customFormat="1" ht="13.5" customHeight="1" x14ac:dyDescent="0.2">
      <c r="A6" s="797">
        <v>2</v>
      </c>
      <c r="B6" s="798" t="s">
        <v>106</v>
      </c>
      <c r="C6" s="799" t="s">
        <v>107</v>
      </c>
      <c r="D6" s="800">
        <v>0</v>
      </c>
      <c r="E6" s="800"/>
      <c r="F6" s="800">
        <f t="shared" ref="F6:F11" si="4">D6+E6</f>
        <v>0</v>
      </c>
      <c r="G6" s="800"/>
      <c r="H6" s="800"/>
      <c r="I6" s="801">
        <v>40</v>
      </c>
      <c r="J6" s="801">
        <v>2.5000000000000001E-2</v>
      </c>
      <c r="K6" s="801">
        <v>0</v>
      </c>
      <c r="L6" s="802"/>
      <c r="M6" s="800"/>
      <c r="N6" s="800"/>
      <c r="O6" s="803"/>
      <c r="P6" s="803"/>
      <c r="Q6" s="804" t="s">
        <v>2974</v>
      </c>
      <c r="R6" s="23"/>
      <c r="S6" s="23">
        <f>D6*0.05</f>
        <v>0</v>
      </c>
      <c r="T6" s="23">
        <f t="shared" si="0"/>
        <v>0</v>
      </c>
      <c r="U6" s="23">
        <f t="shared" si="1"/>
        <v>-1000</v>
      </c>
      <c r="V6" s="23">
        <f>D6/I6</f>
        <v>0</v>
      </c>
      <c r="W6" s="10">
        <f t="shared" si="2"/>
        <v>0</v>
      </c>
      <c r="X6" s="10">
        <f t="shared" si="3"/>
        <v>0</v>
      </c>
    </row>
    <row r="7" spans="1:24" s="9" customFormat="1" ht="13.5" customHeight="1" x14ac:dyDescent="0.2">
      <c r="A7" s="64">
        <v>3</v>
      </c>
      <c r="B7" s="109" t="s">
        <v>108</v>
      </c>
      <c r="C7" s="66" t="s">
        <v>109</v>
      </c>
      <c r="D7" s="67">
        <v>1079905455</v>
      </c>
      <c r="E7" s="67"/>
      <c r="F7" s="67">
        <f t="shared" si="4"/>
        <v>1079905455</v>
      </c>
      <c r="G7" s="67">
        <v>324094147</v>
      </c>
      <c r="H7" s="67">
        <f t="shared" ref="H7:H12" si="5">+F7-G7</f>
        <v>755811308</v>
      </c>
      <c r="I7" s="68">
        <v>40</v>
      </c>
      <c r="J7" s="68">
        <v>2.5000000000000001E-2</v>
      </c>
      <c r="K7" s="74">
        <v>12</v>
      </c>
      <c r="L7" s="110">
        <f>ROUND((F7*J7)*K7/12,0)</f>
        <v>26997636</v>
      </c>
      <c r="M7" s="67">
        <f>G7+L7</f>
        <v>351091783</v>
      </c>
      <c r="N7" s="67">
        <f t="shared" ref="N7:N12" si="6">F7-M7</f>
        <v>728813672</v>
      </c>
      <c r="O7" s="69"/>
      <c r="P7" s="69"/>
      <c r="Q7" s="70"/>
      <c r="R7" s="23"/>
      <c r="S7" s="23">
        <f>D7*0.05</f>
        <v>53995272.75</v>
      </c>
      <c r="T7" s="23">
        <f t="shared" si="0"/>
        <v>674818399.25</v>
      </c>
      <c r="U7" s="23">
        <f t="shared" si="1"/>
        <v>728812672</v>
      </c>
      <c r="V7" s="23">
        <f>D7/I7</f>
        <v>26997636.375</v>
      </c>
      <c r="W7" s="10">
        <f t="shared" si="2"/>
        <v>26997636</v>
      </c>
      <c r="X7" s="10">
        <f t="shared" si="3"/>
        <v>0</v>
      </c>
    </row>
    <row r="8" spans="1:24" s="9" customFormat="1" ht="13.5" customHeight="1" x14ac:dyDescent="0.2">
      <c r="A8" s="64">
        <v>4</v>
      </c>
      <c r="B8" s="65" t="s">
        <v>110</v>
      </c>
      <c r="C8" s="66" t="s">
        <v>73</v>
      </c>
      <c r="D8" s="67">
        <v>87890726</v>
      </c>
      <c r="E8" s="67"/>
      <c r="F8" s="67">
        <f t="shared" si="4"/>
        <v>87890726</v>
      </c>
      <c r="G8" s="110">
        <v>18493672</v>
      </c>
      <c r="H8" s="67">
        <f t="shared" si="5"/>
        <v>69397054</v>
      </c>
      <c r="I8" s="68">
        <v>40</v>
      </c>
      <c r="J8" s="68">
        <v>2.5000000000000001E-2</v>
      </c>
      <c r="K8" s="74">
        <v>12</v>
      </c>
      <c r="L8" s="110">
        <f>ROUND((F8*J8)*K8/12,0)</f>
        <v>2197268</v>
      </c>
      <c r="M8" s="67">
        <f>G8+L8</f>
        <v>20690940</v>
      </c>
      <c r="N8" s="67">
        <f t="shared" si="6"/>
        <v>67199786</v>
      </c>
      <c r="O8" s="111" t="s">
        <v>74</v>
      </c>
      <c r="P8" s="69"/>
      <c r="Q8" s="70" t="s">
        <v>111</v>
      </c>
      <c r="R8" s="23"/>
      <c r="S8" s="23">
        <f>F8*0.05</f>
        <v>4394536.3</v>
      </c>
      <c r="T8" s="23">
        <f t="shared" si="0"/>
        <v>62805249.700000003</v>
      </c>
      <c r="U8" s="23">
        <f t="shared" si="1"/>
        <v>67198786</v>
      </c>
      <c r="V8" s="23">
        <f>F8/I8</f>
        <v>2197268.15</v>
      </c>
      <c r="W8" s="10">
        <f t="shared" si="2"/>
        <v>2197268</v>
      </c>
      <c r="X8" s="10">
        <f t="shared" si="3"/>
        <v>0</v>
      </c>
    </row>
    <row r="9" spans="1:24" s="9" customFormat="1" ht="13.5" customHeight="1" x14ac:dyDescent="0.2">
      <c r="A9" s="78">
        <v>5</v>
      </c>
      <c r="B9" s="580" t="s">
        <v>112</v>
      </c>
      <c r="C9" s="80" t="s">
        <v>73</v>
      </c>
      <c r="D9" s="82">
        <v>0</v>
      </c>
      <c r="E9" s="82"/>
      <c r="F9" s="82">
        <f t="shared" si="4"/>
        <v>0</v>
      </c>
      <c r="G9" s="112">
        <v>0</v>
      </c>
      <c r="H9" s="82">
        <f t="shared" si="5"/>
        <v>0</v>
      </c>
      <c r="I9" s="86">
        <v>40</v>
      </c>
      <c r="J9" s="86">
        <v>2.5000000000000001E-2</v>
      </c>
      <c r="K9" s="113">
        <v>0</v>
      </c>
      <c r="L9" s="112"/>
      <c r="M9" s="82">
        <v>0</v>
      </c>
      <c r="N9" s="82">
        <f t="shared" si="6"/>
        <v>0</v>
      </c>
      <c r="O9" s="114" t="s">
        <v>113</v>
      </c>
      <c r="P9" s="87"/>
      <c r="Q9" s="88" t="s">
        <v>114</v>
      </c>
      <c r="R9" s="23"/>
      <c r="S9" s="23">
        <f>F9*0.05</f>
        <v>0</v>
      </c>
      <c r="T9" s="23">
        <f t="shared" si="0"/>
        <v>0</v>
      </c>
      <c r="U9" s="23">
        <f t="shared" si="1"/>
        <v>-1000</v>
      </c>
      <c r="V9" s="23">
        <f>F9/I9</f>
        <v>0</v>
      </c>
      <c r="W9" s="10">
        <f t="shared" si="2"/>
        <v>0</v>
      </c>
      <c r="X9" s="10">
        <f t="shared" si="3"/>
        <v>0</v>
      </c>
    </row>
    <row r="10" spans="1:24" s="9" customFormat="1" ht="13.5" customHeight="1" x14ac:dyDescent="0.2">
      <c r="A10" s="115">
        <v>6</v>
      </c>
      <c r="B10" s="806" t="s">
        <v>77</v>
      </c>
      <c r="C10" s="116" t="s">
        <v>73</v>
      </c>
      <c r="D10" s="81">
        <v>0</v>
      </c>
      <c r="E10" s="81"/>
      <c r="F10" s="81">
        <f t="shared" si="4"/>
        <v>0</v>
      </c>
      <c r="G10" s="117">
        <v>0</v>
      </c>
      <c r="H10" s="81">
        <f t="shared" si="5"/>
        <v>0</v>
      </c>
      <c r="I10" s="83">
        <v>40</v>
      </c>
      <c r="J10" s="83">
        <v>2.5000000000000001E-2</v>
      </c>
      <c r="K10" s="113">
        <v>0</v>
      </c>
      <c r="L10" s="118"/>
      <c r="M10" s="81">
        <v>0</v>
      </c>
      <c r="N10" s="81">
        <f t="shared" si="6"/>
        <v>0</v>
      </c>
      <c r="O10" s="119" t="s">
        <v>113</v>
      </c>
      <c r="P10" s="84"/>
      <c r="Q10" s="85" t="s">
        <v>115</v>
      </c>
      <c r="R10" s="23"/>
      <c r="S10" s="23">
        <f>F10*0.05</f>
        <v>0</v>
      </c>
      <c r="T10" s="23">
        <f t="shared" si="0"/>
        <v>0</v>
      </c>
      <c r="U10" s="23">
        <f t="shared" si="1"/>
        <v>-1000</v>
      </c>
      <c r="V10" s="23">
        <f>F10/I10</f>
        <v>0</v>
      </c>
      <c r="W10" s="10">
        <f t="shared" si="2"/>
        <v>0</v>
      </c>
      <c r="X10" s="10">
        <f t="shared" si="3"/>
        <v>0</v>
      </c>
    </row>
    <row r="11" spans="1:24" s="9" customFormat="1" ht="13.5" customHeight="1" x14ac:dyDescent="0.2">
      <c r="A11" s="64">
        <v>7</v>
      </c>
      <c r="B11" s="109" t="s">
        <v>2999</v>
      </c>
      <c r="C11" s="66" t="s">
        <v>116</v>
      </c>
      <c r="D11" s="67">
        <v>405982300</v>
      </c>
      <c r="E11" s="67"/>
      <c r="F11" s="67">
        <f t="shared" si="4"/>
        <v>405982300</v>
      </c>
      <c r="G11" s="110">
        <v>22836505</v>
      </c>
      <c r="H11" s="67">
        <f t="shared" si="5"/>
        <v>383145795</v>
      </c>
      <c r="I11" s="68">
        <v>40</v>
      </c>
      <c r="J11" s="68">
        <v>2.5000000000000001E-2</v>
      </c>
      <c r="K11" s="68">
        <v>12</v>
      </c>
      <c r="L11" s="110">
        <f>ROUND((F11*J11)*K11/12,0)</f>
        <v>10149558</v>
      </c>
      <c r="M11" s="67">
        <f>G11+L11</f>
        <v>32986063</v>
      </c>
      <c r="N11" s="67">
        <f t="shared" si="6"/>
        <v>372996237</v>
      </c>
      <c r="O11" s="111" t="s">
        <v>117</v>
      </c>
      <c r="P11" s="69"/>
      <c r="Q11" s="70"/>
      <c r="R11" s="23"/>
      <c r="S11" s="23">
        <f>F11*0.05</f>
        <v>20299115</v>
      </c>
      <c r="T11" s="23">
        <f>N11-S11</f>
        <v>352697122</v>
      </c>
      <c r="U11" s="23">
        <f>N11-1000</f>
        <v>372995237</v>
      </c>
      <c r="V11" s="23">
        <f>F11/I11</f>
        <v>10149557.5</v>
      </c>
      <c r="W11" s="10">
        <f>ROUND(IF(H11&lt;=1000,0,V11/12*K11),0)</f>
        <v>10149558</v>
      </c>
      <c r="X11" s="10">
        <f>L11-W11</f>
        <v>0</v>
      </c>
    </row>
    <row r="12" spans="1:24" s="9" customFormat="1" ht="13.5" customHeight="1" x14ac:dyDescent="0.2">
      <c r="A12" s="64">
        <v>9</v>
      </c>
      <c r="B12" s="109" t="s">
        <v>2995</v>
      </c>
      <c r="C12" s="66" t="s">
        <v>2997</v>
      </c>
      <c r="D12" s="67">
        <v>473910230</v>
      </c>
      <c r="E12" s="67"/>
      <c r="F12" s="67">
        <f>D12+E12</f>
        <v>473910230</v>
      </c>
      <c r="G12" s="110">
        <v>3949252</v>
      </c>
      <c r="H12" s="67">
        <f t="shared" si="5"/>
        <v>469960978</v>
      </c>
      <c r="I12" s="68">
        <v>40</v>
      </c>
      <c r="J12" s="68">
        <v>2.5000000000000001E-2</v>
      </c>
      <c r="K12" s="68">
        <v>12</v>
      </c>
      <c r="L12" s="110">
        <f>ROUND((F12*J12)*K12/12,0)</f>
        <v>11847756</v>
      </c>
      <c r="M12" s="67">
        <f>G12+L12</f>
        <v>15797008</v>
      </c>
      <c r="N12" s="67">
        <f t="shared" si="6"/>
        <v>458113222</v>
      </c>
      <c r="O12" s="111" t="s">
        <v>2996</v>
      </c>
      <c r="P12" s="69"/>
      <c r="Q12" s="70"/>
      <c r="R12" s="23"/>
      <c r="S12" s="23"/>
      <c r="T12" s="23"/>
      <c r="U12" s="23"/>
      <c r="V12" s="23"/>
      <c r="W12" s="10"/>
      <c r="X12" s="10"/>
    </row>
    <row r="13" spans="1:24" s="9" customFormat="1" ht="13.5" customHeight="1" thickBot="1" x14ac:dyDescent="0.25">
      <c r="A13" s="89"/>
      <c r="B13" s="120"/>
      <c r="C13" s="90"/>
      <c r="D13" s="91"/>
      <c r="E13" s="91"/>
      <c r="F13" s="91"/>
      <c r="G13" s="121"/>
      <c r="H13" s="91"/>
      <c r="I13" s="92"/>
      <c r="J13" s="92"/>
      <c r="K13" s="92"/>
      <c r="L13" s="121"/>
      <c r="M13" s="91"/>
      <c r="N13" s="91"/>
      <c r="O13" s="122"/>
      <c r="P13" s="93"/>
      <c r="Q13" s="94"/>
      <c r="R13" s="23"/>
      <c r="S13" s="23"/>
      <c r="T13" s="23"/>
      <c r="U13" s="23"/>
      <c r="V13" s="23"/>
      <c r="W13" s="10"/>
      <c r="X13" s="10"/>
    </row>
    <row r="14" spans="1:24" s="9" customFormat="1" ht="13.5" customHeight="1" thickTop="1" thickBot="1" x14ac:dyDescent="0.25">
      <c r="A14" s="95"/>
      <c r="B14" s="96" t="s">
        <v>118</v>
      </c>
      <c r="C14" s="97"/>
      <c r="D14" s="98">
        <f>ROUND(SUM(D5:D13),0)</f>
        <v>3291581318</v>
      </c>
      <c r="E14" s="98">
        <f>ROUND(SUM(E5:E13),0)</f>
        <v>135436524</v>
      </c>
      <c r="F14" s="98">
        <f>ROUND(SUM(F5:F13),0)</f>
        <v>3427017842</v>
      </c>
      <c r="G14" s="98">
        <f>ROUND(SUM(G5:G13),0)</f>
        <v>900792120</v>
      </c>
      <c r="H14" s="98">
        <f>ROUND(SUM(H5:H13),0)</f>
        <v>2526225722</v>
      </c>
      <c r="I14" s="98"/>
      <c r="J14" s="98"/>
      <c r="K14" s="98"/>
      <c r="L14" s="123">
        <f>ROUND(SUM(L5:L13),0)</f>
        <v>85675446</v>
      </c>
      <c r="M14" s="98">
        <f>ROUND(SUM(M5:M13),0)</f>
        <v>986467566</v>
      </c>
      <c r="N14" s="98">
        <f>ROUND(SUM(N5:N13),0)</f>
        <v>2440550276</v>
      </c>
      <c r="O14" s="98"/>
      <c r="P14" s="98"/>
      <c r="Q14" s="101"/>
      <c r="R14" s="23">
        <f>SUM(R5:R11)</f>
        <v>21197764.668750003</v>
      </c>
      <c r="S14" s="23"/>
      <c r="T14" s="23"/>
      <c r="U14" s="23"/>
      <c r="V14" s="23"/>
      <c r="W14" s="10">
        <f>SUM(W5:W13)</f>
        <v>70441777</v>
      </c>
    </row>
    <row r="15" spans="1:24" s="9" customFormat="1" ht="12" x14ac:dyDescent="0.2">
      <c r="A15" s="45"/>
      <c r="L15" s="47"/>
      <c r="W15" s="9" t="b">
        <f>L14=W14</f>
        <v>0</v>
      </c>
    </row>
    <row r="16" spans="1:24" s="9" customFormat="1" ht="12" x14ac:dyDescent="0.2">
      <c r="A16" s="45"/>
      <c r="D16" s="23"/>
      <c r="E16" s="23"/>
      <c r="F16" s="23"/>
      <c r="G16" s="23"/>
      <c r="H16" s="23"/>
      <c r="I16" s="23"/>
      <c r="J16" s="23"/>
      <c r="K16" s="23"/>
      <c r="L16" s="47"/>
      <c r="M16" s="23"/>
      <c r="N16" s="23"/>
      <c r="O16" s="23"/>
      <c r="P16" s="23"/>
      <c r="Q16" s="23"/>
      <c r="R16" s="23"/>
    </row>
    <row r="17" spans="1:22" s="9" customFormat="1" ht="12" x14ac:dyDescent="0.2">
      <c r="A17" s="45"/>
      <c r="L17" s="47"/>
      <c r="M17" s="23"/>
      <c r="R17" s="23"/>
      <c r="S17" s="23"/>
      <c r="T17" s="23"/>
      <c r="U17" s="23"/>
    </row>
    <row r="18" spans="1:22" x14ac:dyDescent="0.3">
      <c r="B18" s="10"/>
      <c r="C18" s="9"/>
      <c r="S18" s="9"/>
      <c r="T18" s="9"/>
      <c r="U18" s="9"/>
      <c r="V18" s="9"/>
    </row>
    <row r="19" spans="1:22" s="10" customFormat="1" ht="13.5" x14ac:dyDescent="0.25">
      <c r="A19" s="125"/>
      <c r="L19" s="126"/>
      <c r="M19" s="807"/>
    </row>
    <row r="20" spans="1:22" x14ac:dyDescent="0.3">
      <c r="D20" s="2"/>
      <c r="E20" s="2"/>
      <c r="F20" s="2"/>
      <c r="G20" s="2"/>
      <c r="H20" s="2"/>
      <c r="L20" s="126"/>
      <c r="M20" s="808"/>
      <c r="S20" s="9"/>
      <c r="T20" s="9"/>
      <c r="U20" s="9"/>
      <c r="V20" s="23"/>
    </row>
    <row r="21" spans="1:22" x14ac:dyDescent="0.3">
      <c r="D21" s="11"/>
      <c r="E21" s="11"/>
      <c r="F21" s="11"/>
      <c r="G21" s="11"/>
      <c r="H21" s="11"/>
      <c r="S21" s="9"/>
      <c r="T21" s="9"/>
      <c r="U21" s="9"/>
      <c r="V21" s="23"/>
    </row>
    <row r="22" spans="1:22" x14ac:dyDescent="0.3">
      <c r="L22" s="47"/>
      <c r="V22" s="23"/>
    </row>
    <row r="23" spans="1:22" x14ac:dyDescent="0.3">
      <c r="L23" s="47"/>
      <c r="V23" s="23"/>
    </row>
    <row r="24" spans="1:22" x14ac:dyDescent="0.3">
      <c r="L24" s="47"/>
      <c r="V24" s="9"/>
    </row>
    <row r="25" spans="1:22" x14ac:dyDescent="0.3">
      <c r="L25" s="47"/>
    </row>
    <row r="26" spans="1:22" x14ac:dyDescent="0.3">
      <c r="L26" s="47"/>
    </row>
  </sheetData>
  <mergeCells count="2">
    <mergeCell ref="B1:Q1"/>
    <mergeCell ref="S3:V3"/>
  </mergeCells>
  <phoneticPr fontId="4" type="noConversion"/>
  <pageMargins left="0.33" right="0.4" top="1" bottom="1" header="0.5" footer="0.5"/>
  <pageSetup paperSize="9" scale="6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zoomScaleNormal="100" workbookViewId="0">
      <pane xSplit="3" ySplit="4" topLeftCell="D5" activePane="bottomRight" state="frozenSplit"/>
      <selection activeCell="H18" sqref="H18"/>
      <selection pane="topRight" activeCell="H18" sqref="H18"/>
      <selection pane="bottomLeft" activeCell="H18" sqref="H18"/>
      <selection pane="bottomRight" activeCell="H18" sqref="H18"/>
    </sheetView>
  </sheetViews>
  <sheetFormatPr defaultRowHeight="16.5" x14ac:dyDescent="0.3"/>
  <cols>
    <col min="1" max="1" width="6.140625" style="48" customWidth="1"/>
    <col min="2" max="2" width="25" style="44" customWidth="1"/>
    <col min="3" max="3" width="12.5703125" style="44" customWidth="1"/>
    <col min="4" max="4" width="13.42578125" style="44" customWidth="1"/>
    <col min="5" max="5" width="14" style="44" customWidth="1"/>
    <col min="6" max="6" width="13.85546875" style="44" customWidth="1"/>
    <col min="7" max="7" width="14.42578125" style="44" customWidth="1"/>
    <col min="8" max="8" width="15.140625" style="44" customWidth="1"/>
    <col min="9" max="10" width="7.42578125" style="44" customWidth="1"/>
    <col min="11" max="11" width="5.42578125" style="44" customWidth="1"/>
    <col min="12" max="12" width="14.28515625" style="124" customWidth="1"/>
    <col min="13" max="13" width="15.42578125" style="44" customWidth="1"/>
    <col min="14" max="14" width="16.42578125" style="44" customWidth="1"/>
    <col min="15" max="15" width="13.85546875" style="9" customWidth="1"/>
    <col min="16" max="16" width="9.140625" style="9" customWidth="1"/>
    <col min="17" max="17" width="12.7109375" style="44" customWidth="1"/>
    <col min="18" max="19" width="11.42578125" style="44" hidden="1" customWidth="1"/>
    <col min="20" max="21" width="13" style="44" hidden="1" customWidth="1"/>
    <col min="22" max="22" width="13.7109375" style="44" hidden="1" customWidth="1"/>
    <col min="23" max="23" width="12.28515625" style="44" hidden="1" customWidth="1"/>
    <col min="24" max="24" width="11.42578125" style="44" hidden="1" customWidth="1"/>
    <col min="25" max="16384" width="9.140625" style="44"/>
  </cols>
  <sheetData>
    <row r="1" spans="1:24" ht="31.5" x14ac:dyDescent="0.55000000000000004">
      <c r="B1" s="847" t="s">
        <v>3093</v>
      </c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</row>
    <row r="2" spans="1:24" x14ac:dyDescent="0.3">
      <c r="B2" s="48"/>
      <c r="C2" s="48"/>
      <c r="D2" s="48"/>
      <c r="E2" s="48"/>
      <c r="F2" s="48"/>
      <c r="G2" s="48"/>
      <c r="H2" s="48"/>
      <c r="I2" s="48"/>
      <c r="J2" s="48"/>
      <c r="K2" s="48"/>
      <c r="L2" s="102"/>
      <c r="M2" s="48"/>
      <c r="N2" s="48"/>
      <c r="O2" s="45"/>
      <c r="P2" s="45"/>
      <c r="Q2" s="48"/>
    </row>
    <row r="3" spans="1:24" s="9" customFormat="1" ht="13.5" customHeight="1" thickBot="1" x14ac:dyDescent="0.25">
      <c r="A3" s="9" t="s">
        <v>119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103"/>
      <c r="M3" s="45"/>
      <c r="N3" s="45"/>
      <c r="O3" s="45"/>
      <c r="P3" s="45"/>
      <c r="Q3" s="49" t="s">
        <v>120</v>
      </c>
      <c r="S3" s="848"/>
      <c r="T3" s="848"/>
      <c r="U3" s="848"/>
      <c r="V3" s="848"/>
    </row>
    <row r="4" spans="1:24" s="9" customFormat="1" ht="13.5" customHeight="1" thickBot="1" x14ac:dyDescent="0.25">
      <c r="A4" s="50" t="s">
        <v>44</v>
      </c>
      <c r="B4" s="51" t="s">
        <v>121</v>
      </c>
      <c r="C4" s="52" t="s">
        <v>122</v>
      </c>
      <c r="D4" s="53" t="s">
        <v>123</v>
      </c>
      <c r="E4" s="53" t="s">
        <v>124</v>
      </c>
      <c r="F4" s="53" t="s">
        <v>87</v>
      </c>
      <c r="G4" s="53" t="s">
        <v>28</v>
      </c>
      <c r="H4" s="53" t="s">
        <v>88</v>
      </c>
      <c r="I4" s="53" t="s">
        <v>125</v>
      </c>
      <c r="J4" s="53" t="s">
        <v>126</v>
      </c>
      <c r="K4" s="53" t="s">
        <v>90</v>
      </c>
      <c r="L4" s="104" t="s">
        <v>127</v>
      </c>
      <c r="M4" s="53" t="s">
        <v>128</v>
      </c>
      <c r="N4" s="53" t="s">
        <v>93</v>
      </c>
      <c r="O4" s="54" t="s">
        <v>94</v>
      </c>
      <c r="P4" s="54" t="s">
        <v>95</v>
      </c>
      <c r="Q4" s="55" t="s">
        <v>129</v>
      </c>
      <c r="R4" s="9" t="s">
        <v>130</v>
      </c>
      <c r="S4" s="45" t="s">
        <v>131</v>
      </c>
      <c r="T4" s="45" t="s">
        <v>132</v>
      </c>
      <c r="U4" s="45" t="s">
        <v>133</v>
      </c>
      <c r="V4" s="45" t="s">
        <v>134</v>
      </c>
      <c r="W4" s="9" t="s">
        <v>135</v>
      </c>
      <c r="X4" s="9" t="s">
        <v>102</v>
      </c>
    </row>
    <row r="5" spans="1:24" s="9" customFormat="1" ht="13.5" customHeight="1" thickTop="1" thickBot="1" x14ac:dyDescent="0.25">
      <c r="A5" s="127">
        <v>1</v>
      </c>
      <c r="B5" s="128" t="s">
        <v>136</v>
      </c>
      <c r="C5" s="129" t="s">
        <v>137</v>
      </c>
      <c r="D5" s="130">
        <v>3694805680</v>
      </c>
      <c r="E5" s="130"/>
      <c r="F5" s="73">
        <f>D5+E5</f>
        <v>3694805680</v>
      </c>
      <c r="G5" s="130">
        <v>931398931</v>
      </c>
      <c r="H5" s="73">
        <f>+F5-G5</f>
        <v>2763406749</v>
      </c>
      <c r="I5" s="74">
        <v>40</v>
      </c>
      <c r="J5" s="74">
        <v>2.5000000000000001E-2</v>
      </c>
      <c r="K5" s="74">
        <v>12</v>
      </c>
      <c r="L5" s="105">
        <f>ROUND((F5*J5)*K5/12,0)</f>
        <v>92370142</v>
      </c>
      <c r="M5" s="73">
        <f>G5+L5</f>
        <v>1023769073</v>
      </c>
      <c r="N5" s="73">
        <f>F5-M5</f>
        <v>2671036607</v>
      </c>
      <c r="O5" s="130"/>
      <c r="P5" s="130"/>
      <c r="Q5" s="131"/>
      <c r="R5" s="23"/>
      <c r="S5" s="23">
        <f>D5*0.05</f>
        <v>184740284</v>
      </c>
      <c r="T5" s="23">
        <f>N5-S5</f>
        <v>2486296323</v>
      </c>
      <c r="U5" s="23">
        <f>N5-1000</f>
        <v>2671035607</v>
      </c>
      <c r="V5" s="23">
        <f>D5/I5</f>
        <v>92370142</v>
      </c>
      <c r="W5" s="10">
        <f>ROUND(IF(H5&lt;=1000,0,V5/12*K5),0)</f>
        <v>92370142</v>
      </c>
      <c r="X5" s="10">
        <f>L5-W5</f>
        <v>0</v>
      </c>
    </row>
    <row r="6" spans="1:24" s="9" customFormat="1" ht="13.5" customHeight="1" thickTop="1" thickBot="1" x14ac:dyDescent="0.25">
      <c r="A6" s="95"/>
      <c r="B6" s="96" t="s">
        <v>138</v>
      </c>
      <c r="C6" s="97"/>
      <c r="D6" s="98">
        <v>3694805680</v>
      </c>
      <c r="E6" s="98">
        <f>ROUND(SUM(E5:E5),0)</f>
        <v>0</v>
      </c>
      <c r="F6" s="98">
        <f>ROUND(SUM(F5:F5),0)</f>
        <v>3694805680</v>
      </c>
      <c r="G6" s="98">
        <v>931398931</v>
      </c>
      <c r="H6" s="98">
        <f>ROUND(SUM(H5:H5),0)</f>
        <v>2763406749</v>
      </c>
      <c r="I6" s="98"/>
      <c r="J6" s="98"/>
      <c r="K6" s="98"/>
      <c r="L6" s="123">
        <f>ROUND(SUM(L5:L5),0)</f>
        <v>92370142</v>
      </c>
      <c r="M6" s="98">
        <f>ROUND(SUM(M5:M5),0)</f>
        <v>1023769073</v>
      </c>
      <c r="N6" s="98">
        <f>ROUND(SUM(N5:N5),0)</f>
        <v>2671036607</v>
      </c>
      <c r="O6" s="98"/>
      <c r="P6" s="98"/>
      <c r="Q6" s="98"/>
      <c r="R6" s="23" t="e">
        <f>SUM(#REF!)</f>
        <v>#REF!</v>
      </c>
      <c r="S6" s="23"/>
      <c r="T6" s="23"/>
      <c r="U6" s="23"/>
      <c r="V6" s="23"/>
      <c r="W6" s="10">
        <f>SUM(W5:W5)</f>
        <v>92370142</v>
      </c>
    </row>
    <row r="7" spans="1:24" s="9" customFormat="1" ht="12" x14ac:dyDescent="0.2">
      <c r="A7" s="45"/>
      <c r="L7" s="47"/>
      <c r="W7" s="9" t="b">
        <f>L6=W6</f>
        <v>1</v>
      </c>
    </row>
    <row r="8" spans="1:24" s="9" customFormat="1" ht="12" x14ac:dyDescent="0.2">
      <c r="A8" s="45"/>
      <c r="D8" s="23"/>
      <c r="E8" s="23"/>
      <c r="F8" s="23"/>
      <c r="G8" s="23"/>
      <c r="H8" s="23"/>
      <c r="I8" s="23"/>
      <c r="J8" s="23"/>
      <c r="K8" s="23"/>
      <c r="L8" s="47"/>
      <c r="M8" s="23"/>
      <c r="N8" s="23"/>
      <c r="O8" s="23"/>
      <c r="P8" s="23"/>
      <c r="Q8" s="23"/>
      <c r="R8" s="23"/>
    </row>
    <row r="9" spans="1:24" s="9" customFormat="1" ht="12" x14ac:dyDescent="0.2">
      <c r="A9" s="45"/>
      <c r="L9" s="47"/>
      <c r="R9" s="23"/>
      <c r="S9" s="23"/>
      <c r="T9" s="23"/>
      <c r="U9" s="23"/>
    </row>
    <row r="10" spans="1:24" x14ac:dyDescent="0.3">
      <c r="S10" s="9"/>
      <c r="T10" s="9"/>
      <c r="U10" s="9"/>
      <c r="V10" s="9"/>
    </row>
    <row r="11" spans="1:24" s="10" customFormat="1" ht="12" x14ac:dyDescent="0.2">
      <c r="A11" s="125"/>
    </row>
    <row r="12" spans="1:24" x14ac:dyDescent="0.3">
      <c r="S12" s="9"/>
      <c r="T12" s="9"/>
      <c r="U12" s="9"/>
      <c r="V12" s="23"/>
    </row>
    <row r="13" spans="1:24" x14ac:dyDescent="0.3">
      <c r="D13" s="2"/>
      <c r="E13" s="2"/>
      <c r="F13" s="2"/>
      <c r="G13" s="2"/>
      <c r="H13" s="2"/>
      <c r="S13" s="9"/>
      <c r="T13" s="9"/>
      <c r="U13" s="9"/>
      <c r="V13" s="23"/>
    </row>
    <row r="14" spans="1:24" x14ac:dyDescent="0.3">
      <c r="D14" s="2"/>
      <c r="E14" s="2"/>
      <c r="F14" s="2"/>
      <c r="G14" s="2"/>
      <c r="H14" s="2"/>
      <c r="L14" s="47"/>
      <c r="V14" s="23"/>
    </row>
    <row r="15" spans="1:24" x14ac:dyDescent="0.3">
      <c r="L15" s="47"/>
      <c r="V15" s="23"/>
    </row>
    <row r="16" spans="1:24" x14ac:dyDescent="0.3">
      <c r="L16" s="47"/>
      <c r="V16" s="9"/>
    </row>
    <row r="17" spans="12:12" x14ac:dyDescent="0.3">
      <c r="L17" s="47"/>
    </row>
    <row r="18" spans="12:12" x14ac:dyDescent="0.3">
      <c r="L18" s="47"/>
    </row>
  </sheetData>
  <mergeCells count="2">
    <mergeCell ref="B1:Q1"/>
    <mergeCell ref="S3:V3"/>
  </mergeCells>
  <phoneticPr fontId="4" type="noConversion"/>
  <pageMargins left="0.33" right="0.4" top="1" bottom="1" header="0.5" footer="0.5"/>
  <pageSetup paperSize="9" scale="6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zoomScaleNormal="100" workbookViewId="0">
      <pane xSplit="3" ySplit="4" topLeftCell="D5" activePane="bottomRight" state="frozenSplit"/>
      <selection activeCell="H18" sqref="H18"/>
      <selection pane="topRight" activeCell="H18" sqref="H18"/>
      <selection pane="bottomLeft" activeCell="H18" sqref="H18"/>
      <selection pane="bottomRight" activeCell="H18" sqref="H18"/>
    </sheetView>
  </sheetViews>
  <sheetFormatPr defaultRowHeight="16.5" x14ac:dyDescent="0.3"/>
  <cols>
    <col min="1" max="1" width="6.140625" style="48" customWidth="1"/>
    <col min="2" max="2" width="29.28515625" style="44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44" customWidth="1"/>
    <col min="8" max="8" width="15.140625" style="44" customWidth="1"/>
    <col min="9" max="9" width="5.140625" style="44" customWidth="1"/>
    <col min="10" max="10" width="7.42578125" style="44" customWidth="1"/>
    <col min="11" max="11" width="6.140625" style="44" customWidth="1"/>
    <col min="12" max="12" width="12" style="142" customWidth="1"/>
    <col min="13" max="14" width="16.42578125" style="44" customWidth="1"/>
    <col min="15" max="15" width="13.85546875" style="9" customWidth="1"/>
    <col min="16" max="16" width="7.42578125" style="9" customWidth="1"/>
    <col min="17" max="17" width="10" style="44" customWidth="1"/>
    <col min="18" max="21" width="11.42578125" style="44" hidden="1" customWidth="1"/>
    <col min="22" max="22" width="13.7109375" style="44" hidden="1" customWidth="1"/>
    <col min="23" max="23" width="11.42578125" style="44" hidden="1" customWidth="1"/>
    <col min="24" max="24" width="11.42578125" style="132" hidden="1" customWidth="1"/>
    <col min="25" max="16384" width="9.140625" style="44"/>
  </cols>
  <sheetData>
    <row r="1" spans="1:24" ht="31.5" x14ac:dyDescent="0.55000000000000004">
      <c r="B1" s="847" t="s">
        <v>3094</v>
      </c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</row>
    <row r="2" spans="1:24" x14ac:dyDescent="0.3">
      <c r="B2" s="48"/>
      <c r="C2" s="48"/>
      <c r="D2" s="48"/>
      <c r="E2" s="48"/>
      <c r="F2" s="48"/>
      <c r="G2" s="48"/>
      <c r="H2" s="48"/>
      <c r="I2" s="48"/>
      <c r="J2" s="48"/>
      <c r="K2" s="48"/>
      <c r="L2" s="133"/>
      <c r="M2" s="48"/>
      <c r="N2" s="48"/>
      <c r="O2" s="45"/>
      <c r="P2" s="45"/>
      <c r="Q2" s="48"/>
    </row>
    <row r="3" spans="1:24" s="9" customFormat="1" ht="13.5" customHeight="1" thickBot="1" x14ac:dyDescent="0.25">
      <c r="A3" s="9" t="s">
        <v>81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125"/>
      <c r="M3" s="45"/>
      <c r="N3" s="45"/>
      <c r="O3" s="45"/>
      <c r="P3" s="45"/>
      <c r="Q3" s="49" t="s">
        <v>82</v>
      </c>
      <c r="S3" s="848"/>
      <c r="T3" s="848"/>
      <c r="U3" s="848"/>
      <c r="V3" s="848"/>
      <c r="X3" s="134"/>
    </row>
    <row r="4" spans="1:24" s="9" customFormat="1" ht="13.5" customHeight="1" thickBot="1" x14ac:dyDescent="0.25">
      <c r="A4" s="50" t="s">
        <v>44</v>
      </c>
      <c r="B4" s="51" t="s">
        <v>121</v>
      </c>
      <c r="C4" s="52" t="s">
        <v>139</v>
      </c>
      <c r="D4" s="53" t="s">
        <v>85</v>
      </c>
      <c r="E4" s="53" t="s">
        <v>86</v>
      </c>
      <c r="F4" s="53" t="s">
        <v>87</v>
      </c>
      <c r="G4" s="53" t="s">
        <v>140</v>
      </c>
      <c r="H4" s="53" t="s">
        <v>141</v>
      </c>
      <c r="I4" s="53" t="s">
        <v>142</v>
      </c>
      <c r="J4" s="53" t="s">
        <v>143</v>
      </c>
      <c r="K4" s="53" t="s">
        <v>90</v>
      </c>
      <c r="L4" s="135" t="s">
        <v>91</v>
      </c>
      <c r="M4" s="53" t="s">
        <v>144</v>
      </c>
      <c r="N4" s="53" t="s">
        <v>145</v>
      </c>
      <c r="O4" s="54" t="s">
        <v>94</v>
      </c>
      <c r="P4" s="54" t="s">
        <v>95</v>
      </c>
      <c r="Q4" s="55" t="s">
        <v>59</v>
      </c>
      <c r="R4" s="9" t="s">
        <v>146</v>
      </c>
      <c r="S4" s="45" t="s">
        <v>147</v>
      </c>
      <c r="T4" s="45" t="s">
        <v>98</v>
      </c>
      <c r="U4" s="45" t="s">
        <v>99</v>
      </c>
      <c r="V4" s="45" t="s">
        <v>148</v>
      </c>
      <c r="W4" s="9" t="s">
        <v>101</v>
      </c>
      <c r="X4" s="134" t="s">
        <v>149</v>
      </c>
    </row>
    <row r="5" spans="1:24" s="9" customFormat="1" ht="13.5" customHeight="1" thickTop="1" x14ac:dyDescent="0.2">
      <c r="A5" s="56">
        <v>1</v>
      </c>
      <c r="B5" s="57" t="s">
        <v>150</v>
      </c>
      <c r="C5" s="58" t="s">
        <v>151</v>
      </c>
      <c r="D5" s="59">
        <v>2139000</v>
      </c>
      <c r="E5" s="59"/>
      <c r="F5" s="59">
        <f t="shared" ref="F5:F13" si="0">+D5+E5</f>
        <v>2139000</v>
      </c>
      <c r="G5" s="136">
        <v>1942926</v>
      </c>
      <c r="H5" s="59">
        <f t="shared" ref="H5:H13" si="1">+F5-G5</f>
        <v>196074</v>
      </c>
      <c r="I5" s="60">
        <v>20</v>
      </c>
      <c r="J5" s="60">
        <v>0.05</v>
      </c>
      <c r="K5" s="60">
        <v>12</v>
      </c>
      <c r="L5" s="137">
        <f t="shared" ref="L5:L12" si="2">ROUND((F5*J5)*K5/12,0)</f>
        <v>106950</v>
      </c>
      <c r="M5" s="136">
        <f t="shared" ref="M5:M12" si="3">+G5+L5</f>
        <v>2049876</v>
      </c>
      <c r="N5" s="59">
        <f t="shared" ref="N5:N12" si="4">+F5-M5</f>
        <v>89124</v>
      </c>
      <c r="O5" s="62"/>
      <c r="P5" s="62"/>
      <c r="Q5" s="138"/>
      <c r="R5" s="23">
        <f>+H5*0.05</f>
        <v>9803.7000000000007</v>
      </c>
      <c r="S5" s="23">
        <f t="shared" ref="S5:S10" si="5">+D5*0.05</f>
        <v>106950</v>
      </c>
      <c r="T5" s="23">
        <f t="shared" ref="T5:T11" si="6">N5-S5</f>
        <v>-17826</v>
      </c>
      <c r="U5" s="23">
        <f t="shared" ref="U5:U11" si="7">N5-1000</f>
        <v>88124</v>
      </c>
      <c r="V5" s="23">
        <f t="shared" ref="V5:V10" si="8">D5/I5</f>
        <v>106950</v>
      </c>
      <c r="W5" s="10">
        <f>ROUND(IF(H5&lt;=1000,0,V5/12*K5),0)</f>
        <v>106950</v>
      </c>
      <c r="X5" s="134">
        <f t="shared" ref="X5:X11" si="9">L5-W5</f>
        <v>0</v>
      </c>
    </row>
    <row r="6" spans="1:24" s="9" customFormat="1" ht="13.5" customHeight="1" x14ac:dyDescent="0.2">
      <c r="A6" s="64">
        <v>2</v>
      </c>
      <c r="B6" s="109" t="s">
        <v>152</v>
      </c>
      <c r="C6" s="66" t="s">
        <v>153</v>
      </c>
      <c r="D6" s="67">
        <v>339000</v>
      </c>
      <c r="E6" s="67"/>
      <c r="F6" s="67">
        <f t="shared" si="0"/>
        <v>339000</v>
      </c>
      <c r="G6" s="110">
        <v>306583</v>
      </c>
      <c r="H6" s="67">
        <f t="shared" si="1"/>
        <v>32417</v>
      </c>
      <c r="I6" s="68">
        <v>20</v>
      </c>
      <c r="J6" s="68">
        <v>0.05</v>
      </c>
      <c r="K6" s="68">
        <v>12</v>
      </c>
      <c r="L6" s="110">
        <f t="shared" si="2"/>
        <v>16950</v>
      </c>
      <c r="M6" s="110">
        <f t="shared" si="3"/>
        <v>323533</v>
      </c>
      <c r="N6" s="67">
        <f t="shared" si="4"/>
        <v>15467</v>
      </c>
      <c r="O6" s="69"/>
      <c r="P6" s="69"/>
      <c r="Q6" s="70"/>
      <c r="R6" s="23">
        <f>+H6*0.05</f>
        <v>1620.8500000000001</v>
      </c>
      <c r="S6" s="23">
        <f t="shared" si="5"/>
        <v>16950</v>
      </c>
      <c r="T6" s="23">
        <f t="shared" si="6"/>
        <v>-1483</v>
      </c>
      <c r="U6" s="23">
        <f t="shared" si="7"/>
        <v>14467</v>
      </c>
      <c r="V6" s="23">
        <f t="shared" si="8"/>
        <v>16950</v>
      </c>
      <c r="W6" s="10">
        <f t="shared" ref="W6:W11" si="10">ROUND(IF(H6&lt;=1000,0,V6/12*K6),0)</f>
        <v>16950</v>
      </c>
      <c r="X6" s="134">
        <f t="shared" si="9"/>
        <v>0</v>
      </c>
    </row>
    <row r="7" spans="1:24" s="9" customFormat="1" ht="13.5" customHeight="1" x14ac:dyDescent="0.2">
      <c r="A7" s="64">
        <v>3</v>
      </c>
      <c r="B7" s="109" t="s">
        <v>154</v>
      </c>
      <c r="C7" s="66" t="s">
        <v>155</v>
      </c>
      <c r="D7" s="67">
        <v>15082000</v>
      </c>
      <c r="E7" s="67"/>
      <c r="F7" s="67">
        <f t="shared" si="0"/>
        <v>15082000</v>
      </c>
      <c r="G7" s="110">
        <v>10629675</v>
      </c>
      <c r="H7" s="67">
        <f t="shared" si="1"/>
        <v>4452325</v>
      </c>
      <c r="I7" s="68">
        <v>20</v>
      </c>
      <c r="J7" s="68">
        <v>0.05</v>
      </c>
      <c r="K7" s="68">
        <v>12</v>
      </c>
      <c r="L7" s="110">
        <f t="shared" si="2"/>
        <v>754100</v>
      </c>
      <c r="M7" s="110">
        <f t="shared" si="3"/>
        <v>11383775</v>
      </c>
      <c r="N7" s="67">
        <f t="shared" si="4"/>
        <v>3698225</v>
      </c>
      <c r="O7" s="69"/>
      <c r="P7" s="69"/>
      <c r="Q7" s="70"/>
      <c r="R7" s="23">
        <f>+H7*0.05</f>
        <v>222616.25</v>
      </c>
      <c r="S7" s="23">
        <f t="shared" si="5"/>
        <v>754100</v>
      </c>
      <c r="T7" s="23">
        <f t="shared" si="6"/>
        <v>2944125</v>
      </c>
      <c r="U7" s="23">
        <f t="shared" si="7"/>
        <v>3697225</v>
      </c>
      <c r="V7" s="23">
        <f t="shared" si="8"/>
        <v>754100</v>
      </c>
      <c r="W7" s="10">
        <f t="shared" si="10"/>
        <v>754100</v>
      </c>
      <c r="X7" s="134">
        <f t="shared" si="9"/>
        <v>0</v>
      </c>
    </row>
    <row r="8" spans="1:24" s="9" customFormat="1" ht="13.5" customHeight="1" x14ac:dyDescent="0.2">
      <c r="A8" s="64">
        <v>4</v>
      </c>
      <c r="B8" s="109" t="s">
        <v>156</v>
      </c>
      <c r="C8" s="66" t="s">
        <v>157</v>
      </c>
      <c r="D8" s="67">
        <v>3900000</v>
      </c>
      <c r="E8" s="67"/>
      <c r="F8" s="67">
        <f t="shared" si="0"/>
        <v>3900000</v>
      </c>
      <c r="G8" s="110">
        <v>2535000</v>
      </c>
      <c r="H8" s="67">
        <f t="shared" si="1"/>
        <v>1365000</v>
      </c>
      <c r="I8" s="68">
        <v>20</v>
      </c>
      <c r="J8" s="68">
        <v>0.05</v>
      </c>
      <c r="K8" s="68">
        <v>12</v>
      </c>
      <c r="L8" s="110">
        <f t="shared" si="2"/>
        <v>195000</v>
      </c>
      <c r="M8" s="110">
        <f t="shared" si="3"/>
        <v>2730000</v>
      </c>
      <c r="N8" s="67">
        <f t="shared" si="4"/>
        <v>1170000</v>
      </c>
      <c r="O8" s="69"/>
      <c r="P8" s="69"/>
      <c r="Q8" s="70"/>
      <c r="R8" s="23">
        <f>+H8-L8</f>
        <v>1170000</v>
      </c>
      <c r="S8" s="23">
        <f t="shared" si="5"/>
        <v>195000</v>
      </c>
      <c r="T8" s="23">
        <f t="shared" si="6"/>
        <v>975000</v>
      </c>
      <c r="U8" s="23">
        <f t="shared" si="7"/>
        <v>1169000</v>
      </c>
      <c r="V8" s="23">
        <f t="shared" si="8"/>
        <v>195000</v>
      </c>
      <c r="W8" s="10">
        <f t="shared" si="10"/>
        <v>195000</v>
      </c>
      <c r="X8" s="134">
        <f t="shared" si="9"/>
        <v>0</v>
      </c>
    </row>
    <row r="9" spans="1:24" s="9" customFormat="1" ht="13.5" customHeight="1" x14ac:dyDescent="0.2">
      <c r="A9" s="64">
        <v>5</v>
      </c>
      <c r="B9" s="109" t="s">
        <v>158</v>
      </c>
      <c r="C9" s="66" t="s">
        <v>159</v>
      </c>
      <c r="D9" s="67">
        <v>1358200</v>
      </c>
      <c r="E9" s="67"/>
      <c r="F9" s="67">
        <f t="shared" si="0"/>
        <v>1358200</v>
      </c>
      <c r="G9" s="110">
        <v>871512</v>
      </c>
      <c r="H9" s="67">
        <f t="shared" si="1"/>
        <v>486688</v>
      </c>
      <c r="I9" s="68">
        <v>20</v>
      </c>
      <c r="J9" s="68">
        <v>0.05</v>
      </c>
      <c r="K9" s="68">
        <v>12</v>
      </c>
      <c r="L9" s="110">
        <f t="shared" si="2"/>
        <v>67910</v>
      </c>
      <c r="M9" s="110">
        <f t="shared" si="3"/>
        <v>939422</v>
      </c>
      <c r="N9" s="67">
        <f t="shared" si="4"/>
        <v>418778</v>
      </c>
      <c r="O9" s="69"/>
      <c r="P9" s="69"/>
      <c r="Q9" s="70"/>
      <c r="R9" s="23">
        <f>+H9-L9</f>
        <v>418778</v>
      </c>
      <c r="S9" s="23">
        <f t="shared" si="5"/>
        <v>67910</v>
      </c>
      <c r="T9" s="23">
        <f t="shared" si="6"/>
        <v>350868</v>
      </c>
      <c r="U9" s="23">
        <f t="shared" si="7"/>
        <v>417778</v>
      </c>
      <c r="V9" s="23">
        <f t="shared" si="8"/>
        <v>67910</v>
      </c>
      <c r="W9" s="10">
        <f t="shared" si="10"/>
        <v>67910</v>
      </c>
      <c r="X9" s="134">
        <f t="shared" si="9"/>
        <v>0</v>
      </c>
    </row>
    <row r="10" spans="1:24" s="9" customFormat="1" ht="13.5" customHeight="1" x14ac:dyDescent="0.2">
      <c r="A10" s="64">
        <v>6</v>
      </c>
      <c r="B10" s="139" t="s">
        <v>160</v>
      </c>
      <c r="C10" s="90" t="s">
        <v>161</v>
      </c>
      <c r="D10" s="91">
        <v>1535200</v>
      </c>
      <c r="E10" s="121"/>
      <c r="F10" s="73">
        <f t="shared" si="0"/>
        <v>1535200</v>
      </c>
      <c r="G10" s="140">
        <v>812377</v>
      </c>
      <c r="H10" s="73">
        <f t="shared" si="1"/>
        <v>722823</v>
      </c>
      <c r="I10" s="74">
        <v>20</v>
      </c>
      <c r="J10" s="74">
        <v>0.05</v>
      </c>
      <c r="K10" s="68">
        <v>12</v>
      </c>
      <c r="L10" s="140">
        <f t="shared" si="2"/>
        <v>76760</v>
      </c>
      <c r="M10" s="140">
        <f t="shared" si="3"/>
        <v>889137</v>
      </c>
      <c r="N10" s="73">
        <f t="shared" si="4"/>
        <v>646063</v>
      </c>
      <c r="O10" s="93"/>
      <c r="P10" s="93"/>
      <c r="Q10" s="94" t="s">
        <v>162</v>
      </c>
      <c r="R10" s="23">
        <f>+H10-L10</f>
        <v>646063</v>
      </c>
      <c r="S10" s="23">
        <f t="shared" si="5"/>
        <v>76760</v>
      </c>
      <c r="T10" s="23">
        <f t="shared" si="6"/>
        <v>569303</v>
      </c>
      <c r="U10" s="23">
        <f t="shared" si="7"/>
        <v>645063</v>
      </c>
      <c r="V10" s="23">
        <f t="shared" si="8"/>
        <v>76760</v>
      </c>
      <c r="W10" s="10">
        <f t="shared" si="10"/>
        <v>76760</v>
      </c>
      <c r="X10" s="134">
        <f t="shared" si="9"/>
        <v>0</v>
      </c>
    </row>
    <row r="11" spans="1:24" s="9" customFormat="1" ht="13.5" customHeight="1" x14ac:dyDescent="0.2">
      <c r="A11" s="64">
        <v>7</v>
      </c>
      <c r="B11" s="109" t="s">
        <v>163</v>
      </c>
      <c r="C11" s="66" t="s">
        <v>164</v>
      </c>
      <c r="D11" s="67">
        <v>5000000</v>
      </c>
      <c r="E11" s="110"/>
      <c r="F11" s="67">
        <f t="shared" si="0"/>
        <v>5000000</v>
      </c>
      <c r="G11" s="110">
        <v>1854165</v>
      </c>
      <c r="H11" s="67">
        <f t="shared" si="1"/>
        <v>3145835</v>
      </c>
      <c r="I11" s="68">
        <v>20</v>
      </c>
      <c r="J11" s="68">
        <v>0.05</v>
      </c>
      <c r="K11" s="68">
        <v>12</v>
      </c>
      <c r="L11" s="110">
        <f t="shared" si="2"/>
        <v>250000</v>
      </c>
      <c r="M11" s="110">
        <f t="shared" si="3"/>
        <v>2104165</v>
      </c>
      <c r="N11" s="67">
        <f t="shared" si="4"/>
        <v>2895835</v>
      </c>
      <c r="O11" s="69"/>
      <c r="P11" s="69"/>
      <c r="Q11" s="70"/>
      <c r="R11" s="23">
        <f>+H11-L11</f>
        <v>2895835</v>
      </c>
      <c r="S11" s="23">
        <f>+F11*0.05</f>
        <v>250000</v>
      </c>
      <c r="T11" s="23">
        <f t="shared" si="6"/>
        <v>2645835</v>
      </c>
      <c r="U11" s="23">
        <f t="shared" si="7"/>
        <v>2894835</v>
      </c>
      <c r="V11" s="23">
        <f>F11/I11</f>
        <v>250000</v>
      </c>
      <c r="W11" s="10">
        <f t="shared" si="10"/>
        <v>250000</v>
      </c>
      <c r="X11" s="134">
        <f t="shared" si="9"/>
        <v>0</v>
      </c>
    </row>
    <row r="12" spans="1:24" s="9" customFormat="1" ht="13.5" customHeight="1" x14ac:dyDescent="0.2">
      <c r="A12" s="64">
        <v>8</v>
      </c>
      <c r="B12" s="109" t="s">
        <v>2935</v>
      </c>
      <c r="C12" s="66" t="s">
        <v>165</v>
      </c>
      <c r="D12" s="67">
        <v>3167200</v>
      </c>
      <c r="E12" s="110"/>
      <c r="F12" s="67">
        <f t="shared" si="0"/>
        <v>3167200</v>
      </c>
      <c r="G12" s="110">
        <v>395900</v>
      </c>
      <c r="H12" s="67">
        <f t="shared" si="1"/>
        <v>2771300</v>
      </c>
      <c r="I12" s="68">
        <v>20</v>
      </c>
      <c r="J12" s="68">
        <v>0.05</v>
      </c>
      <c r="K12" s="68">
        <v>12</v>
      </c>
      <c r="L12" s="110">
        <f t="shared" si="2"/>
        <v>158360</v>
      </c>
      <c r="M12" s="110">
        <f t="shared" si="3"/>
        <v>554260</v>
      </c>
      <c r="N12" s="67">
        <f t="shared" si="4"/>
        <v>2612940</v>
      </c>
      <c r="O12" s="69"/>
      <c r="P12" s="69"/>
      <c r="Q12" s="70"/>
      <c r="R12" s="23">
        <f>+H12-L12</f>
        <v>2612940</v>
      </c>
      <c r="S12" s="23">
        <f>+F12*0.05</f>
        <v>158360</v>
      </c>
      <c r="T12" s="23">
        <f>N12-S12</f>
        <v>2454580</v>
      </c>
      <c r="U12" s="23">
        <f>N12-1000</f>
        <v>2611940</v>
      </c>
      <c r="V12" s="23">
        <f>F12/I12</f>
        <v>158360</v>
      </c>
      <c r="W12" s="10">
        <f>ROUND(IF(H12&lt;=1000,0,V12/12*K12),0)</f>
        <v>158360</v>
      </c>
      <c r="X12" s="134">
        <f>L12-W12</f>
        <v>0</v>
      </c>
    </row>
    <row r="13" spans="1:24" s="9" customFormat="1" ht="13.5" customHeight="1" x14ac:dyDescent="0.2">
      <c r="A13" s="64">
        <v>9</v>
      </c>
      <c r="B13" s="109" t="s">
        <v>2937</v>
      </c>
      <c r="C13" s="66" t="s">
        <v>2936</v>
      </c>
      <c r="D13" s="67">
        <v>36890972</v>
      </c>
      <c r="E13" s="110"/>
      <c r="F13" s="67">
        <f t="shared" si="0"/>
        <v>36890972</v>
      </c>
      <c r="G13" s="110">
        <v>2613111</v>
      </c>
      <c r="H13" s="67">
        <f t="shared" si="1"/>
        <v>34277861</v>
      </c>
      <c r="I13" s="68">
        <v>20</v>
      </c>
      <c r="J13" s="68">
        <v>0.05</v>
      </c>
      <c r="K13" s="68">
        <v>12</v>
      </c>
      <c r="L13" s="110">
        <f>ROUND((F13*J13)*K13/12,0)</f>
        <v>1844549</v>
      </c>
      <c r="M13" s="110">
        <f>+G13+L13</f>
        <v>4457660</v>
      </c>
      <c r="N13" s="67">
        <f>+F13-M13</f>
        <v>32433312</v>
      </c>
      <c r="O13" s="69"/>
      <c r="P13" s="69"/>
      <c r="Q13" s="70"/>
      <c r="R13" s="23"/>
      <c r="S13" s="23"/>
      <c r="T13" s="23"/>
      <c r="U13" s="23"/>
      <c r="V13" s="23"/>
      <c r="W13" s="10"/>
      <c r="X13" s="134"/>
    </row>
    <row r="14" spans="1:24" s="9" customFormat="1" ht="13.5" customHeight="1" thickBot="1" x14ac:dyDescent="0.25">
      <c r="A14" s="89"/>
      <c r="B14" s="139"/>
      <c r="C14" s="90"/>
      <c r="D14" s="91"/>
      <c r="E14" s="121"/>
      <c r="F14" s="91"/>
      <c r="G14" s="121"/>
      <c r="H14" s="91"/>
      <c r="I14" s="92"/>
      <c r="J14" s="92"/>
      <c r="K14" s="92"/>
      <c r="L14" s="121"/>
      <c r="M14" s="121"/>
      <c r="N14" s="91"/>
      <c r="O14" s="93"/>
      <c r="P14" s="93"/>
      <c r="Q14" s="94"/>
      <c r="R14" s="23"/>
      <c r="S14" s="23"/>
      <c r="T14" s="23"/>
      <c r="U14" s="23"/>
      <c r="V14" s="23"/>
      <c r="W14" s="10"/>
      <c r="X14" s="134"/>
    </row>
    <row r="15" spans="1:24" s="9" customFormat="1" ht="13.5" customHeight="1" thickTop="1" thickBot="1" x14ac:dyDescent="0.25">
      <c r="A15" s="95"/>
      <c r="B15" s="96" t="s">
        <v>118</v>
      </c>
      <c r="C15" s="97"/>
      <c r="D15" s="98">
        <f>ROUND(SUM(D5:D14),0)</f>
        <v>69411572</v>
      </c>
      <c r="E15" s="141">
        <f>ROUND(SUM(E5:E14),0)</f>
        <v>0</v>
      </c>
      <c r="F15" s="98">
        <f t="shared" ref="F15:N15" si="11">ROUND(SUM(F5:F14),0)</f>
        <v>69411572</v>
      </c>
      <c r="G15" s="98">
        <f t="shared" si="11"/>
        <v>21961249</v>
      </c>
      <c r="H15" s="98">
        <f t="shared" si="11"/>
        <v>47450323</v>
      </c>
      <c r="I15" s="98"/>
      <c r="J15" s="98"/>
      <c r="K15" s="98"/>
      <c r="L15" s="123">
        <f t="shared" si="11"/>
        <v>3470579</v>
      </c>
      <c r="M15" s="98">
        <f t="shared" si="11"/>
        <v>25431828</v>
      </c>
      <c r="N15" s="98">
        <f t="shared" si="11"/>
        <v>43979744</v>
      </c>
      <c r="O15" s="100"/>
      <c r="P15" s="100"/>
      <c r="Q15" s="101"/>
      <c r="R15" s="23">
        <f>SUM(R5:R12)</f>
        <v>7977656.7999999998</v>
      </c>
      <c r="S15" s="23"/>
      <c r="T15" s="23"/>
      <c r="U15" s="23"/>
      <c r="V15" s="23"/>
      <c r="W15" s="10">
        <f>SUM(W5:W12)</f>
        <v>1626030</v>
      </c>
      <c r="X15" s="134">
        <f>L15-W15</f>
        <v>1844549</v>
      </c>
    </row>
    <row r="16" spans="1:24" s="9" customFormat="1" ht="17.25" customHeight="1" x14ac:dyDescent="0.2">
      <c r="A16" s="45"/>
      <c r="L16" s="10"/>
      <c r="W16" s="9" t="b">
        <f>W15=L15</f>
        <v>0</v>
      </c>
      <c r="X16" s="134"/>
    </row>
    <row r="17" spans="1:24" s="9" customFormat="1" ht="12" x14ac:dyDescent="0.2">
      <c r="A17" s="45"/>
      <c r="D17" s="23"/>
      <c r="E17" s="23"/>
      <c r="F17" s="23"/>
      <c r="G17" s="23"/>
      <c r="H17" s="23"/>
      <c r="I17" s="23"/>
      <c r="J17" s="23"/>
      <c r="K17" s="23"/>
      <c r="L17" s="10"/>
      <c r="M17" s="23"/>
      <c r="N17" s="23"/>
      <c r="O17" s="23"/>
      <c r="P17" s="23"/>
      <c r="Q17" s="23"/>
      <c r="R17" s="23"/>
      <c r="X17" s="134"/>
    </row>
    <row r="18" spans="1:24" s="9" customFormat="1" ht="12" x14ac:dyDescent="0.2">
      <c r="A18" s="45"/>
      <c r="L18" s="10"/>
      <c r="S18" s="23"/>
      <c r="T18" s="23"/>
      <c r="U18" s="23"/>
      <c r="X18" s="134"/>
    </row>
    <row r="19" spans="1:24" x14ac:dyDescent="0.3">
      <c r="S19" s="9"/>
      <c r="T19" s="9"/>
      <c r="U19" s="9"/>
      <c r="V19" s="9"/>
    </row>
    <row r="20" spans="1:24" x14ac:dyDescent="0.3">
      <c r="D20" s="11"/>
      <c r="E20" s="11"/>
      <c r="F20" s="11"/>
      <c r="G20" s="11"/>
      <c r="H20" s="11"/>
      <c r="S20" s="9"/>
      <c r="T20" s="9"/>
      <c r="U20" s="9"/>
      <c r="V20" s="9"/>
    </row>
    <row r="21" spans="1:24" x14ac:dyDescent="0.3">
      <c r="D21" s="11"/>
      <c r="E21" s="11"/>
      <c r="F21" s="11"/>
      <c r="G21" s="11"/>
      <c r="H21" s="11"/>
      <c r="S21" s="9"/>
      <c r="T21" s="9"/>
      <c r="U21" s="9"/>
      <c r="V21" s="23"/>
    </row>
    <row r="22" spans="1:24" x14ac:dyDescent="0.3">
      <c r="S22" s="9"/>
      <c r="T22" s="9"/>
      <c r="U22" s="9"/>
      <c r="V22" s="23"/>
    </row>
    <row r="23" spans="1:24" x14ac:dyDescent="0.3">
      <c r="V23" s="23"/>
    </row>
    <row r="24" spans="1:24" x14ac:dyDescent="0.3">
      <c r="V24" s="23"/>
    </row>
    <row r="25" spans="1:24" x14ac:dyDescent="0.3">
      <c r="V25" s="9"/>
    </row>
  </sheetData>
  <mergeCells count="2">
    <mergeCell ref="B1:Q1"/>
    <mergeCell ref="S3:V3"/>
  </mergeCells>
  <phoneticPr fontId="4" type="noConversion"/>
  <pageMargins left="0.33" right="0.4" top="1" bottom="1" header="0.5" footer="0.5"/>
  <pageSetup paperSize="9"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Normal="100" workbookViewId="0">
      <pane xSplit="3" ySplit="4" topLeftCell="D5" activePane="bottomRight" state="frozenSplit"/>
      <selection activeCell="H18" sqref="H18"/>
      <selection pane="topRight" activeCell="H18" sqref="H18"/>
      <selection pane="bottomLeft" activeCell="H18" sqref="H18"/>
      <selection pane="bottomRight" activeCell="H18" sqref="H18"/>
    </sheetView>
  </sheetViews>
  <sheetFormatPr defaultRowHeight="16.5" x14ac:dyDescent="0.3"/>
  <cols>
    <col min="1" max="1" width="6.140625" style="48" customWidth="1"/>
    <col min="2" max="2" width="29.28515625" style="44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44" customWidth="1"/>
    <col min="8" max="8" width="15.140625" style="44" customWidth="1"/>
    <col min="9" max="9" width="5.140625" style="44" customWidth="1"/>
    <col min="10" max="10" width="7.42578125" style="44" customWidth="1"/>
    <col min="11" max="11" width="6.140625" style="44" customWidth="1"/>
    <col min="12" max="12" width="12" style="142" customWidth="1"/>
    <col min="13" max="14" width="16.42578125" style="44" customWidth="1"/>
    <col min="15" max="15" width="13.85546875" style="9" customWidth="1"/>
    <col min="16" max="16" width="7.42578125" style="9" customWidth="1"/>
    <col min="17" max="17" width="10" style="44" customWidth="1"/>
    <col min="18" max="21" width="11.42578125" style="44" hidden="1" customWidth="1"/>
    <col min="22" max="22" width="13.7109375" style="44" hidden="1" customWidth="1"/>
    <col min="23" max="24" width="11.42578125" style="44" hidden="1" customWidth="1"/>
    <col min="25" max="16384" width="9.140625" style="44"/>
  </cols>
  <sheetData>
    <row r="1" spans="1:24" ht="31.5" x14ac:dyDescent="0.55000000000000004">
      <c r="B1" s="847" t="s">
        <v>3095</v>
      </c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</row>
    <row r="2" spans="1:24" x14ac:dyDescent="0.3">
      <c r="B2" s="48"/>
      <c r="C2" s="48"/>
      <c r="D2" s="48"/>
      <c r="E2" s="48"/>
      <c r="F2" s="48"/>
      <c r="G2" s="48"/>
      <c r="H2" s="48"/>
      <c r="I2" s="48"/>
      <c r="J2" s="48"/>
      <c r="K2" s="48"/>
      <c r="L2" s="133"/>
      <c r="M2" s="48"/>
      <c r="N2" s="48"/>
      <c r="O2" s="45"/>
      <c r="P2" s="45"/>
      <c r="Q2" s="48"/>
    </row>
    <row r="3" spans="1:24" s="9" customFormat="1" ht="13.5" customHeight="1" thickBot="1" x14ac:dyDescent="0.25">
      <c r="A3" s="9" t="s">
        <v>166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125"/>
      <c r="M3" s="45"/>
      <c r="N3" s="45"/>
      <c r="O3" s="45"/>
      <c r="P3" s="45"/>
      <c r="Q3" s="49" t="s">
        <v>82</v>
      </c>
      <c r="S3" s="848"/>
      <c r="T3" s="848"/>
      <c r="U3" s="848"/>
      <c r="V3" s="848"/>
    </row>
    <row r="4" spans="1:24" s="9" customFormat="1" ht="13.5" customHeight="1" thickBot="1" x14ac:dyDescent="0.25">
      <c r="A4" s="50" t="s">
        <v>44</v>
      </c>
      <c r="B4" s="51" t="s">
        <v>167</v>
      </c>
      <c r="C4" s="52" t="s">
        <v>84</v>
      </c>
      <c r="D4" s="53" t="s">
        <v>168</v>
      </c>
      <c r="E4" s="53" t="s">
        <v>86</v>
      </c>
      <c r="F4" s="53" t="s">
        <v>169</v>
      </c>
      <c r="G4" s="53" t="s">
        <v>170</v>
      </c>
      <c r="H4" s="53" t="s">
        <v>88</v>
      </c>
      <c r="I4" s="53" t="s">
        <v>51</v>
      </c>
      <c r="J4" s="53" t="s">
        <v>89</v>
      </c>
      <c r="K4" s="53" t="s">
        <v>171</v>
      </c>
      <c r="L4" s="135" t="s">
        <v>172</v>
      </c>
      <c r="M4" s="53" t="s">
        <v>173</v>
      </c>
      <c r="N4" s="53" t="s">
        <v>93</v>
      </c>
      <c r="O4" s="54" t="s">
        <v>174</v>
      </c>
      <c r="P4" s="54" t="s">
        <v>175</v>
      </c>
      <c r="Q4" s="55" t="s">
        <v>176</v>
      </c>
      <c r="R4" s="9" t="s">
        <v>177</v>
      </c>
      <c r="S4" s="45" t="s">
        <v>178</v>
      </c>
      <c r="T4" s="45" t="s">
        <v>132</v>
      </c>
      <c r="U4" s="45" t="s">
        <v>99</v>
      </c>
      <c r="V4" s="45" t="s">
        <v>179</v>
      </c>
      <c r="W4" s="9" t="s">
        <v>180</v>
      </c>
      <c r="X4" s="9" t="s">
        <v>181</v>
      </c>
    </row>
    <row r="5" spans="1:24" s="9" customFormat="1" ht="13.5" customHeight="1" thickTop="1" x14ac:dyDescent="0.2">
      <c r="A5" s="107">
        <v>1</v>
      </c>
      <c r="B5" s="143" t="s">
        <v>182</v>
      </c>
      <c r="C5" s="72" t="s">
        <v>183</v>
      </c>
      <c r="D5" s="144">
        <v>17262000</v>
      </c>
      <c r="E5" s="145"/>
      <c r="F5" s="144">
        <f>+D5+E5</f>
        <v>17262000</v>
      </c>
      <c r="G5" s="110">
        <v>8990624</v>
      </c>
      <c r="H5" s="67">
        <f>+F5-G5</f>
        <v>8271376</v>
      </c>
      <c r="I5" s="68">
        <v>20</v>
      </c>
      <c r="J5" s="68">
        <v>0.05</v>
      </c>
      <c r="K5" s="68">
        <v>12</v>
      </c>
      <c r="L5" s="110">
        <f>ROUND((F5*J5)*K5/12,0)</f>
        <v>863100</v>
      </c>
      <c r="M5" s="140">
        <f>+G5+L5</f>
        <v>9853724</v>
      </c>
      <c r="N5" s="67">
        <f>+F5-M5</f>
        <v>7408276</v>
      </c>
      <c r="O5" s="67"/>
      <c r="P5" s="67"/>
      <c r="Q5" s="146" t="s">
        <v>184</v>
      </c>
      <c r="R5" s="23"/>
      <c r="S5" s="23">
        <f>+D5*0.05</f>
        <v>863100</v>
      </c>
      <c r="T5" s="23">
        <f>N5-S5</f>
        <v>6545176</v>
      </c>
      <c r="U5" s="23">
        <f>N5-1000</f>
        <v>7407276</v>
      </c>
      <c r="V5" s="23">
        <f>D5/I5</f>
        <v>863100</v>
      </c>
      <c r="W5" s="10">
        <f>ROUND(IF(H5&lt;=1000,0,V5/12*K5),0)</f>
        <v>863100</v>
      </c>
      <c r="X5" s="10">
        <f>L5-W5</f>
        <v>0</v>
      </c>
    </row>
    <row r="6" spans="1:24" s="9" customFormat="1" ht="13.5" customHeight="1" x14ac:dyDescent="0.2">
      <c r="A6" s="64">
        <v>2</v>
      </c>
      <c r="B6" s="147" t="s">
        <v>185</v>
      </c>
      <c r="C6" s="66" t="s">
        <v>186</v>
      </c>
      <c r="D6" s="144">
        <v>58500000</v>
      </c>
      <c r="E6" s="145"/>
      <c r="F6" s="144">
        <f>+D6+E6</f>
        <v>58500000</v>
      </c>
      <c r="G6" s="110">
        <v>30468752</v>
      </c>
      <c r="H6" s="67">
        <f>+F6-G6</f>
        <v>28031248</v>
      </c>
      <c r="I6" s="68">
        <v>20</v>
      </c>
      <c r="J6" s="68">
        <v>0.05</v>
      </c>
      <c r="K6" s="68">
        <v>12</v>
      </c>
      <c r="L6" s="110">
        <f>ROUND((F6*J6)*K6/12,0)</f>
        <v>2925000</v>
      </c>
      <c r="M6" s="110">
        <f>+G6+L6</f>
        <v>33393752</v>
      </c>
      <c r="N6" s="67">
        <f>+F6-M6</f>
        <v>25106248</v>
      </c>
      <c r="O6" s="67"/>
      <c r="P6" s="67"/>
      <c r="Q6" s="146" t="s">
        <v>187</v>
      </c>
      <c r="R6" s="23"/>
      <c r="S6" s="23">
        <f>+D6*0.05</f>
        <v>2925000</v>
      </c>
      <c r="T6" s="23">
        <f>N6-S6</f>
        <v>22181248</v>
      </c>
      <c r="U6" s="23">
        <f>N6-1000</f>
        <v>25105248</v>
      </c>
      <c r="V6" s="23">
        <f>D6/I6</f>
        <v>2925000</v>
      </c>
      <c r="W6" s="10">
        <f>ROUND(IF(H6&lt;=1000,0,V6/12*K6),0)</f>
        <v>2925000</v>
      </c>
      <c r="X6" s="10">
        <f>L6-W6</f>
        <v>0</v>
      </c>
    </row>
    <row r="7" spans="1:24" s="9" customFormat="1" ht="13.5" customHeight="1" x14ac:dyDescent="0.2">
      <c r="A7" s="64">
        <v>3</v>
      </c>
      <c r="B7" s="143" t="s">
        <v>188</v>
      </c>
      <c r="C7" s="148" t="s">
        <v>189</v>
      </c>
      <c r="D7" s="149">
        <v>20600000</v>
      </c>
      <c r="E7" s="150"/>
      <c r="F7" s="144">
        <f>+D7+E7</f>
        <v>20600000</v>
      </c>
      <c r="G7" s="140">
        <v>6952500</v>
      </c>
      <c r="H7" s="67">
        <f>+F7-G7</f>
        <v>13647500</v>
      </c>
      <c r="I7" s="74">
        <v>20</v>
      </c>
      <c r="J7" s="74">
        <v>0.05</v>
      </c>
      <c r="K7" s="74">
        <v>12</v>
      </c>
      <c r="L7" s="110">
        <f>ROUND((F7*J7)*K7/12,0)</f>
        <v>1030000</v>
      </c>
      <c r="M7" s="110">
        <f>+G7+L7</f>
        <v>7982500</v>
      </c>
      <c r="N7" s="67">
        <f>+F7-M7</f>
        <v>12617500</v>
      </c>
      <c r="O7" s="75" t="s">
        <v>190</v>
      </c>
      <c r="P7" s="75"/>
      <c r="Q7" s="151" t="s">
        <v>191</v>
      </c>
      <c r="R7" s="23"/>
      <c r="S7" s="23">
        <f>+F7*0.05</f>
        <v>1030000</v>
      </c>
      <c r="T7" s="23">
        <f>N7-S7</f>
        <v>11587500</v>
      </c>
      <c r="U7" s="23">
        <f>N7-1000</f>
        <v>12616500</v>
      </c>
      <c r="V7" s="23">
        <f>F7/I7</f>
        <v>1030000</v>
      </c>
      <c r="W7" s="10">
        <f>ROUND(IF(H7&lt;=1000,0,V7/12*K7),0)</f>
        <v>1030000</v>
      </c>
      <c r="X7" s="10">
        <f>L7-W7</f>
        <v>0</v>
      </c>
    </row>
    <row r="8" spans="1:24" s="9" customFormat="1" ht="13.5" customHeight="1" thickBot="1" x14ac:dyDescent="0.25">
      <c r="A8" s="127"/>
      <c r="B8" s="152"/>
      <c r="C8" s="129"/>
      <c r="D8" s="130"/>
      <c r="E8" s="153"/>
      <c r="F8" s="154"/>
      <c r="G8" s="155"/>
      <c r="H8" s="130"/>
      <c r="I8" s="156"/>
      <c r="J8" s="156"/>
      <c r="K8" s="156"/>
      <c r="L8" s="155"/>
      <c r="M8" s="155"/>
      <c r="N8" s="130"/>
      <c r="O8" s="157"/>
      <c r="P8" s="157"/>
      <c r="Q8" s="158"/>
      <c r="R8" s="23"/>
      <c r="S8" s="23"/>
      <c r="T8" s="23"/>
      <c r="U8" s="23"/>
      <c r="V8" s="23"/>
      <c r="W8" s="10">
        <f>ROUND(IF(H8&lt;=1000,0,V8/12*K8),0)</f>
        <v>0</v>
      </c>
      <c r="X8" s="10"/>
    </row>
    <row r="9" spans="1:24" s="9" customFormat="1" ht="13.5" customHeight="1" thickTop="1" thickBot="1" x14ac:dyDescent="0.25">
      <c r="A9" s="95"/>
      <c r="B9" s="96" t="s">
        <v>192</v>
      </c>
      <c r="C9" s="97"/>
      <c r="D9" s="159">
        <f>ROUND(SUM(D5:D8),0)</f>
        <v>96362000</v>
      </c>
      <c r="E9" s="98">
        <f>ROUND(SUM(E5:E8),0)</f>
        <v>0</v>
      </c>
      <c r="F9" s="159">
        <f>ROUND(SUM(F5:F8),0)</f>
        <v>96362000</v>
      </c>
      <c r="G9" s="98">
        <f>ROUND(SUM(G5:G8),0)</f>
        <v>46411876</v>
      </c>
      <c r="H9" s="98">
        <f>ROUND(SUM(H5:H8),0)</f>
        <v>49950124</v>
      </c>
      <c r="I9" s="98"/>
      <c r="J9" s="98"/>
      <c r="K9" s="98"/>
      <c r="L9" s="98">
        <f>ROUND(SUM(L5:L8),0)</f>
        <v>4818100</v>
      </c>
      <c r="M9" s="98">
        <f>ROUND(SUM(M5:M8),0)</f>
        <v>51229976</v>
      </c>
      <c r="N9" s="98">
        <f>ROUND(SUM(N5:N8),0)</f>
        <v>45132024</v>
      </c>
      <c r="O9" s="100"/>
      <c r="P9" s="100"/>
      <c r="Q9" s="101"/>
      <c r="R9" s="23" t="e">
        <f>SUM(#REF!)</f>
        <v>#REF!</v>
      </c>
      <c r="S9" s="23"/>
      <c r="T9" s="23"/>
      <c r="U9" s="23"/>
      <c r="V9" s="23"/>
      <c r="W9" s="10">
        <f>SUM(W5:W8)</f>
        <v>4818100</v>
      </c>
      <c r="X9" s="9">
        <f>L9-W9</f>
        <v>0</v>
      </c>
    </row>
    <row r="10" spans="1:24" s="9" customFormat="1" ht="12" x14ac:dyDescent="0.2">
      <c r="A10" s="45"/>
      <c r="L10" s="10"/>
      <c r="W10" s="9" t="b">
        <f>L9=W9</f>
        <v>1</v>
      </c>
    </row>
    <row r="11" spans="1:24" s="9" customFormat="1" ht="12" x14ac:dyDescent="0.2">
      <c r="A11" s="45"/>
      <c r="D11" s="23"/>
      <c r="E11" s="23"/>
      <c r="F11" s="23"/>
      <c r="G11" s="23"/>
      <c r="H11" s="23"/>
      <c r="I11" s="23"/>
      <c r="J11" s="23"/>
      <c r="K11" s="23"/>
      <c r="L11" s="10"/>
      <c r="M11" s="23"/>
      <c r="N11" s="23"/>
      <c r="O11" s="23"/>
      <c r="P11" s="23"/>
      <c r="Q11" s="23"/>
      <c r="R11" s="23"/>
    </row>
    <row r="12" spans="1:24" s="9" customFormat="1" ht="12" x14ac:dyDescent="0.2">
      <c r="A12" s="45"/>
      <c r="L12" s="10"/>
      <c r="S12" s="23"/>
      <c r="T12" s="23"/>
      <c r="U12" s="23"/>
    </row>
    <row r="13" spans="1:24" x14ac:dyDescent="0.3">
      <c r="S13" s="9"/>
      <c r="T13" s="9"/>
      <c r="U13" s="9"/>
      <c r="V13" s="9"/>
    </row>
    <row r="14" spans="1:24" x14ac:dyDescent="0.3">
      <c r="D14" s="2"/>
      <c r="E14" s="2"/>
      <c r="F14" s="2"/>
      <c r="G14" s="2"/>
      <c r="H14" s="2"/>
      <c r="S14" s="9"/>
      <c r="T14" s="9"/>
      <c r="U14" s="9"/>
      <c r="V14" s="9"/>
    </row>
    <row r="15" spans="1:24" x14ac:dyDescent="0.3">
      <c r="D15" s="2"/>
      <c r="E15" s="2"/>
      <c r="F15" s="2"/>
      <c r="G15" s="2"/>
      <c r="H15" s="2"/>
      <c r="S15" s="9"/>
      <c r="T15" s="9"/>
      <c r="U15" s="9"/>
      <c r="V15" s="23"/>
    </row>
    <row r="16" spans="1:24" x14ac:dyDescent="0.3">
      <c r="S16" s="9"/>
      <c r="T16" s="9"/>
      <c r="U16" s="9"/>
      <c r="V16" s="23"/>
    </row>
    <row r="17" spans="22:22" x14ac:dyDescent="0.3">
      <c r="V17" s="23"/>
    </row>
    <row r="18" spans="22:22" x14ac:dyDescent="0.3">
      <c r="V18" s="23"/>
    </row>
    <row r="19" spans="22:22" x14ac:dyDescent="0.3">
      <c r="V19" s="9"/>
    </row>
  </sheetData>
  <mergeCells count="2">
    <mergeCell ref="B1:Q1"/>
    <mergeCell ref="S3:V3"/>
  </mergeCells>
  <phoneticPr fontId="4" type="noConversion"/>
  <pageMargins left="0.33" right="0.4" top="1" bottom="1" header="0.5" footer="0.5"/>
  <pageSetup paperSize="9" scale="6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0"/>
  <sheetViews>
    <sheetView zoomScaleNormal="100" workbookViewId="0">
      <pane xSplit="3" ySplit="4" topLeftCell="D209" activePane="bottomRight" state="frozenSplit"/>
      <selection activeCell="H18" sqref="H18"/>
      <selection pane="topRight" activeCell="H18" sqref="H18"/>
      <selection pane="bottomLeft" activeCell="H18" sqref="H18"/>
      <selection pane="bottomRight" activeCell="H18" sqref="H18"/>
    </sheetView>
  </sheetViews>
  <sheetFormatPr defaultRowHeight="16.5" x14ac:dyDescent="0.3"/>
  <cols>
    <col min="1" max="1" width="6.140625" style="48" customWidth="1"/>
    <col min="2" max="2" width="30.7109375" style="160" customWidth="1"/>
    <col min="3" max="3" width="12.5703125" style="44" customWidth="1"/>
    <col min="4" max="4" width="15.140625" style="44" customWidth="1"/>
    <col min="5" max="5" width="15" style="44" customWidth="1"/>
    <col min="6" max="6" width="13.85546875" style="44" customWidth="1"/>
    <col min="7" max="7" width="15.140625" style="142" customWidth="1"/>
    <col min="8" max="8" width="15.140625" style="44" customWidth="1"/>
    <col min="9" max="9" width="5.5703125" style="44" customWidth="1"/>
    <col min="10" max="10" width="7.42578125" style="44" customWidth="1"/>
    <col min="11" max="11" width="5.42578125" style="44" customWidth="1"/>
    <col min="12" max="12" width="14.7109375" style="142" customWidth="1"/>
    <col min="13" max="13" width="16.5703125" style="142" customWidth="1"/>
    <col min="14" max="14" width="16.42578125" style="44" customWidth="1"/>
    <col min="15" max="15" width="17.5703125" style="9" customWidth="1"/>
    <col min="16" max="16" width="6.5703125" style="9" customWidth="1"/>
    <col min="17" max="17" width="15.5703125" style="44" customWidth="1"/>
    <col min="18" max="21" width="11.42578125" style="44" hidden="1" customWidth="1"/>
    <col min="22" max="22" width="11.42578125" style="142" hidden="1" customWidth="1"/>
    <col min="23" max="23" width="15.7109375" style="142" hidden="1" customWidth="1"/>
    <col min="24" max="24" width="11.42578125" style="44" hidden="1" customWidth="1"/>
    <col min="25" max="25" width="0" style="44" hidden="1" customWidth="1"/>
    <col min="26" max="16384" width="9.140625" style="44"/>
  </cols>
  <sheetData>
    <row r="1" spans="1:24" ht="31.5" x14ac:dyDescent="0.55000000000000004">
      <c r="B1" s="847" t="s">
        <v>3096</v>
      </c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</row>
    <row r="2" spans="1:24" x14ac:dyDescent="0.3">
      <c r="C2" s="48"/>
      <c r="D2" s="48"/>
      <c r="E2" s="48"/>
      <c r="F2" s="48"/>
      <c r="G2" s="133"/>
      <c r="H2" s="48"/>
      <c r="I2" s="48"/>
      <c r="J2" s="48"/>
      <c r="K2" s="48"/>
      <c r="L2" s="133"/>
      <c r="M2" s="133"/>
      <c r="N2" s="48"/>
      <c r="O2" s="45"/>
      <c r="P2" s="45"/>
      <c r="Q2" s="48"/>
    </row>
    <row r="3" spans="1:24" s="9" customFormat="1" ht="13.5" customHeight="1" thickBot="1" x14ac:dyDescent="0.25">
      <c r="A3" s="9" t="s">
        <v>81</v>
      </c>
      <c r="B3" s="161"/>
      <c r="C3" s="45"/>
      <c r="D3" s="45"/>
      <c r="E3" s="45"/>
      <c r="F3" s="45"/>
      <c r="G3" s="125"/>
      <c r="H3" s="45"/>
      <c r="I3" s="45"/>
      <c r="J3" s="45"/>
      <c r="K3" s="45"/>
      <c r="L3" s="125"/>
      <c r="M3" s="125"/>
      <c r="N3" s="45"/>
      <c r="O3" s="45"/>
      <c r="P3" s="45"/>
      <c r="Q3" s="49" t="s">
        <v>120</v>
      </c>
      <c r="S3" s="848"/>
      <c r="T3" s="848"/>
      <c r="V3" s="10"/>
      <c r="W3" s="10"/>
    </row>
    <row r="4" spans="1:24" s="9" customFormat="1" ht="13.5" customHeight="1" thickBot="1" x14ac:dyDescent="0.25">
      <c r="A4" s="50" t="s">
        <v>44</v>
      </c>
      <c r="B4" s="162" t="s">
        <v>83</v>
      </c>
      <c r="C4" s="52" t="s">
        <v>84</v>
      </c>
      <c r="D4" s="53" t="s">
        <v>85</v>
      </c>
      <c r="E4" s="53" t="s">
        <v>86</v>
      </c>
      <c r="F4" s="53" t="s">
        <v>193</v>
      </c>
      <c r="G4" s="135" t="s">
        <v>194</v>
      </c>
      <c r="H4" s="53" t="s">
        <v>88</v>
      </c>
      <c r="I4" s="53" t="s">
        <v>195</v>
      </c>
      <c r="J4" s="53" t="s">
        <v>89</v>
      </c>
      <c r="K4" s="53" t="s">
        <v>90</v>
      </c>
      <c r="L4" s="135" t="s">
        <v>91</v>
      </c>
      <c r="M4" s="135" t="s">
        <v>92</v>
      </c>
      <c r="N4" s="53" t="s">
        <v>196</v>
      </c>
      <c r="O4" s="54" t="s">
        <v>94</v>
      </c>
      <c r="P4" s="54" t="s">
        <v>197</v>
      </c>
      <c r="Q4" s="55" t="s">
        <v>59</v>
      </c>
      <c r="R4" s="9" t="s">
        <v>198</v>
      </c>
      <c r="S4" s="45" t="s">
        <v>199</v>
      </c>
      <c r="T4" s="45" t="s">
        <v>200</v>
      </c>
      <c r="U4" s="9" t="s">
        <v>99</v>
      </c>
      <c r="V4" s="10" t="s">
        <v>100</v>
      </c>
      <c r="W4" s="10" t="s">
        <v>180</v>
      </c>
      <c r="X4" s="9" t="s">
        <v>102</v>
      </c>
    </row>
    <row r="5" spans="1:24" s="9" customFormat="1" ht="13.5" customHeight="1" thickTop="1" x14ac:dyDescent="0.2">
      <c r="A5" s="64">
        <v>1</v>
      </c>
      <c r="B5" s="65" t="s">
        <v>201</v>
      </c>
      <c r="C5" s="163">
        <v>36857</v>
      </c>
      <c r="D5" s="67">
        <v>4000000</v>
      </c>
      <c r="E5" s="67"/>
      <c r="F5" s="67">
        <f t="shared" ref="F5:F10" si="0">+D5+E5</f>
        <v>4000000</v>
      </c>
      <c r="G5" s="110">
        <v>3999000</v>
      </c>
      <c r="H5" s="67">
        <f t="shared" ref="H5:H68" si="1">+F5-G5</f>
        <v>1000</v>
      </c>
      <c r="I5" s="68">
        <v>5</v>
      </c>
      <c r="J5" s="68">
        <v>0.2</v>
      </c>
      <c r="K5" s="68">
        <v>0</v>
      </c>
      <c r="L5" s="110"/>
      <c r="M5" s="110">
        <f>+G5+L5</f>
        <v>3999000</v>
      </c>
      <c r="N5" s="67">
        <f t="shared" ref="N5:N58" si="2">+F5-M5</f>
        <v>1000</v>
      </c>
      <c r="O5" s="69"/>
      <c r="P5" s="69"/>
      <c r="Q5" s="70"/>
      <c r="R5" s="23"/>
      <c r="S5" s="23">
        <f>D5*0.05</f>
        <v>200000</v>
      </c>
      <c r="T5" s="23">
        <f>N5-S5</f>
        <v>-199000</v>
      </c>
      <c r="U5" s="23">
        <f>N5-1000</f>
        <v>0</v>
      </c>
      <c r="V5" s="10">
        <f>F5/I5</f>
        <v>800000</v>
      </c>
      <c r="W5" s="10">
        <f>ROUND(IF(H5&lt;=1000,0,V5/12*3),0)</f>
        <v>0</v>
      </c>
      <c r="X5" s="10">
        <f>L5-W5</f>
        <v>0</v>
      </c>
    </row>
    <row r="6" spans="1:24" s="9" customFormat="1" ht="13.5" customHeight="1" x14ac:dyDescent="0.2">
      <c r="A6" s="64">
        <v>2</v>
      </c>
      <c r="B6" s="65" t="s">
        <v>202</v>
      </c>
      <c r="C6" s="163">
        <v>37102</v>
      </c>
      <c r="D6" s="67">
        <v>5000000</v>
      </c>
      <c r="E6" s="67"/>
      <c r="F6" s="67">
        <f t="shared" si="0"/>
        <v>5000000</v>
      </c>
      <c r="G6" s="110">
        <v>4999000</v>
      </c>
      <c r="H6" s="67">
        <f t="shared" si="1"/>
        <v>1000</v>
      </c>
      <c r="I6" s="68">
        <v>5</v>
      </c>
      <c r="J6" s="68">
        <v>0.2</v>
      </c>
      <c r="K6" s="68">
        <v>0</v>
      </c>
      <c r="L6" s="110"/>
      <c r="M6" s="110">
        <f>+G6+L6</f>
        <v>4999000</v>
      </c>
      <c r="N6" s="67">
        <f t="shared" si="2"/>
        <v>1000</v>
      </c>
      <c r="O6" s="69"/>
      <c r="P6" s="69"/>
      <c r="Q6" s="70"/>
      <c r="R6" s="23">
        <f t="shared" ref="R6:R49" si="3">+N6*J6</f>
        <v>200</v>
      </c>
      <c r="S6" s="23">
        <f>D6*0.05</f>
        <v>250000</v>
      </c>
      <c r="T6" s="23">
        <f>N6-S6</f>
        <v>-249000</v>
      </c>
      <c r="U6" s="23">
        <f>N6-1000</f>
        <v>0</v>
      </c>
      <c r="V6" s="10">
        <f>F6/I6</f>
        <v>1000000</v>
      </c>
      <c r="W6" s="10">
        <f>ROUND(IF(H6&lt;=1000,0,V6/12*3),0)</f>
        <v>0</v>
      </c>
      <c r="X6" s="10">
        <f>L6-W6</f>
        <v>0</v>
      </c>
    </row>
    <row r="7" spans="1:24" s="174" customFormat="1" ht="13.5" customHeight="1" x14ac:dyDescent="0.2">
      <c r="A7" s="164">
        <v>3</v>
      </c>
      <c r="B7" s="165" t="s">
        <v>203</v>
      </c>
      <c r="C7" s="166">
        <v>37203</v>
      </c>
      <c r="D7" s="167">
        <v>0</v>
      </c>
      <c r="E7" s="167"/>
      <c r="F7" s="167">
        <f t="shared" si="0"/>
        <v>0</v>
      </c>
      <c r="G7" s="168"/>
      <c r="H7" s="167">
        <f t="shared" si="1"/>
        <v>0</v>
      </c>
      <c r="I7" s="169">
        <v>5</v>
      </c>
      <c r="J7" s="169">
        <v>0.2</v>
      </c>
      <c r="K7" s="169">
        <v>0</v>
      </c>
      <c r="L7" s="168"/>
      <c r="M7" s="168"/>
      <c r="N7" s="167">
        <f t="shared" si="2"/>
        <v>0</v>
      </c>
      <c r="O7" s="170"/>
      <c r="P7" s="170"/>
      <c r="Q7" s="171" t="s">
        <v>204</v>
      </c>
      <c r="R7" s="172">
        <f t="shared" si="3"/>
        <v>0</v>
      </c>
      <c r="S7" s="172"/>
      <c r="T7" s="172"/>
      <c r="U7" s="172"/>
      <c r="V7" s="173"/>
      <c r="W7" s="173"/>
      <c r="X7" s="173"/>
    </row>
    <row r="8" spans="1:24" s="9" customFormat="1" ht="13.5" customHeight="1" x14ac:dyDescent="0.2">
      <c r="A8" s="64">
        <v>4</v>
      </c>
      <c r="B8" s="65" t="s">
        <v>205</v>
      </c>
      <c r="C8" s="163">
        <v>37587</v>
      </c>
      <c r="D8" s="175">
        <v>3829000</v>
      </c>
      <c r="E8" s="175"/>
      <c r="F8" s="67">
        <f t="shared" si="0"/>
        <v>3829000</v>
      </c>
      <c r="G8" s="110">
        <v>3828000</v>
      </c>
      <c r="H8" s="67">
        <f t="shared" si="1"/>
        <v>1000</v>
      </c>
      <c r="I8" s="68">
        <v>5</v>
      </c>
      <c r="J8" s="68">
        <v>0.2</v>
      </c>
      <c r="K8" s="68">
        <v>0</v>
      </c>
      <c r="L8" s="110"/>
      <c r="M8" s="110">
        <f>+G8+L8</f>
        <v>3828000</v>
      </c>
      <c r="N8" s="67">
        <f t="shared" si="2"/>
        <v>1000</v>
      </c>
      <c r="O8" s="111" t="s">
        <v>206</v>
      </c>
      <c r="P8" s="111">
        <v>1</v>
      </c>
      <c r="Q8" s="70"/>
      <c r="R8" s="23">
        <f t="shared" si="3"/>
        <v>200</v>
      </c>
      <c r="S8" s="23">
        <f>D8*0.05</f>
        <v>191450</v>
      </c>
      <c r="T8" s="23">
        <f>N8-S8</f>
        <v>-190450</v>
      </c>
      <c r="U8" s="23">
        <f>N8-1000</f>
        <v>0</v>
      </c>
      <c r="V8" s="10">
        <f>F8/I8</f>
        <v>765800</v>
      </c>
      <c r="W8" s="10">
        <f>ROUND(IF(H8&lt;=1000,0,V8/12*3),0)</f>
        <v>0</v>
      </c>
      <c r="X8" s="10">
        <f>L8-W8</f>
        <v>0</v>
      </c>
    </row>
    <row r="9" spans="1:24" s="9" customFormat="1" ht="13.5" customHeight="1" x14ac:dyDescent="0.2">
      <c r="A9" s="64">
        <v>5</v>
      </c>
      <c r="B9" s="65" t="s">
        <v>207</v>
      </c>
      <c r="C9" s="163">
        <v>37587</v>
      </c>
      <c r="D9" s="175">
        <v>6127000</v>
      </c>
      <c r="E9" s="175"/>
      <c r="F9" s="67">
        <f t="shared" si="0"/>
        <v>6127000</v>
      </c>
      <c r="G9" s="110">
        <v>6126000</v>
      </c>
      <c r="H9" s="67">
        <f t="shared" si="1"/>
        <v>1000</v>
      </c>
      <c r="I9" s="68">
        <v>5</v>
      </c>
      <c r="J9" s="68">
        <v>0.2</v>
      </c>
      <c r="K9" s="68">
        <v>0</v>
      </c>
      <c r="L9" s="110"/>
      <c r="M9" s="110">
        <f>+G9+L9</f>
        <v>6126000</v>
      </c>
      <c r="N9" s="67">
        <f t="shared" si="2"/>
        <v>1000</v>
      </c>
      <c r="O9" s="111" t="s">
        <v>208</v>
      </c>
      <c r="P9" s="111">
        <v>1</v>
      </c>
      <c r="Q9" s="70"/>
      <c r="R9" s="23">
        <f t="shared" si="3"/>
        <v>200</v>
      </c>
      <c r="S9" s="23">
        <f>D9*0.05</f>
        <v>306350</v>
      </c>
      <c r="T9" s="23">
        <f>N9-S9</f>
        <v>-305350</v>
      </c>
      <c r="U9" s="23">
        <f>N9-1000</f>
        <v>0</v>
      </c>
      <c r="V9" s="10">
        <f>F9/I9</f>
        <v>1225400</v>
      </c>
      <c r="W9" s="10">
        <f>ROUND(IF(H9&lt;=1000,0,V9/12*3),0)</f>
        <v>0</v>
      </c>
      <c r="X9" s="10">
        <f>L9-W9</f>
        <v>0</v>
      </c>
    </row>
    <row r="10" spans="1:24" s="9" customFormat="1" ht="13.5" customHeight="1" x14ac:dyDescent="0.2">
      <c r="A10" s="64">
        <v>6</v>
      </c>
      <c r="B10" s="65" t="s">
        <v>209</v>
      </c>
      <c r="C10" s="163">
        <v>37587</v>
      </c>
      <c r="D10" s="175">
        <v>3829000</v>
      </c>
      <c r="E10" s="175"/>
      <c r="F10" s="67">
        <f t="shared" si="0"/>
        <v>3829000</v>
      </c>
      <c r="G10" s="110">
        <v>3828000</v>
      </c>
      <c r="H10" s="67">
        <f t="shared" si="1"/>
        <v>1000</v>
      </c>
      <c r="I10" s="68">
        <v>5</v>
      </c>
      <c r="J10" s="68">
        <v>0.2</v>
      </c>
      <c r="K10" s="68">
        <v>0</v>
      </c>
      <c r="L10" s="110"/>
      <c r="M10" s="110">
        <f>+G10+L10</f>
        <v>3828000</v>
      </c>
      <c r="N10" s="67">
        <f t="shared" si="2"/>
        <v>1000</v>
      </c>
      <c r="O10" s="111" t="s">
        <v>206</v>
      </c>
      <c r="P10" s="111">
        <v>1</v>
      </c>
      <c r="Q10" s="70"/>
      <c r="R10" s="23">
        <f t="shared" si="3"/>
        <v>200</v>
      </c>
      <c r="S10" s="23">
        <f>D10*0.05</f>
        <v>191450</v>
      </c>
      <c r="T10" s="23">
        <f>N10-S10</f>
        <v>-190450</v>
      </c>
      <c r="U10" s="23">
        <f>N10-1000</f>
        <v>0</v>
      </c>
      <c r="V10" s="10">
        <f>F10/I10</f>
        <v>765800</v>
      </c>
      <c r="W10" s="10">
        <f>ROUND(IF(H10&lt;=1000,0,V10/12*3),0)</f>
        <v>0</v>
      </c>
      <c r="X10" s="10">
        <f>L10-W10</f>
        <v>0</v>
      </c>
    </row>
    <row r="11" spans="1:24" s="174" customFormat="1" ht="13.5" customHeight="1" x14ac:dyDescent="0.2">
      <c r="A11" s="164">
        <v>7</v>
      </c>
      <c r="B11" s="165" t="s">
        <v>210</v>
      </c>
      <c r="C11" s="166">
        <v>37602</v>
      </c>
      <c r="D11" s="167"/>
      <c r="E11" s="167"/>
      <c r="F11" s="167"/>
      <c r="G11" s="168"/>
      <c r="H11" s="167">
        <f t="shared" si="1"/>
        <v>0</v>
      </c>
      <c r="I11" s="169">
        <v>5</v>
      </c>
      <c r="J11" s="169">
        <v>0.2</v>
      </c>
      <c r="K11" s="169">
        <v>0</v>
      </c>
      <c r="L11" s="168"/>
      <c r="M11" s="168"/>
      <c r="N11" s="167">
        <f t="shared" si="2"/>
        <v>0</v>
      </c>
      <c r="O11" s="176" t="s">
        <v>211</v>
      </c>
      <c r="P11" s="176">
        <v>1</v>
      </c>
      <c r="Q11" s="171" t="s">
        <v>204</v>
      </c>
      <c r="R11" s="172">
        <f t="shared" si="3"/>
        <v>0</v>
      </c>
      <c r="S11" s="172"/>
      <c r="T11" s="172"/>
      <c r="U11" s="172"/>
      <c r="V11" s="173"/>
      <c r="W11" s="173"/>
      <c r="X11" s="173"/>
    </row>
    <row r="12" spans="1:24" s="9" customFormat="1" ht="13.5" customHeight="1" x14ac:dyDescent="0.2">
      <c r="A12" s="64">
        <v>8</v>
      </c>
      <c r="B12" s="65" t="s">
        <v>212</v>
      </c>
      <c r="C12" s="163">
        <v>37634</v>
      </c>
      <c r="D12" s="67">
        <v>1180000</v>
      </c>
      <c r="E12" s="67"/>
      <c r="F12" s="67">
        <f>+D12+E12</f>
        <v>1180000</v>
      </c>
      <c r="G12" s="110">
        <v>1179000</v>
      </c>
      <c r="H12" s="67">
        <f t="shared" si="1"/>
        <v>1000</v>
      </c>
      <c r="I12" s="68">
        <v>5</v>
      </c>
      <c r="J12" s="68">
        <v>0.2</v>
      </c>
      <c r="K12" s="68">
        <v>0</v>
      </c>
      <c r="L12" s="110"/>
      <c r="M12" s="110">
        <f>+G12+L12</f>
        <v>1179000</v>
      </c>
      <c r="N12" s="67">
        <f t="shared" si="2"/>
        <v>1000</v>
      </c>
      <c r="O12" s="177" t="s">
        <v>213</v>
      </c>
      <c r="P12" s="111">
        <v>1</v>
      </c>
      <c r="Q12" s="70"/>
      <c r="R12" s="23">
        <f t="shared" si="3"/>
        <v>200</v>
      </c>
      <c r="S12" s="23">
        <f>D12*0.05</f>
        <v>59000</v>
      </c>
      <c r="T12" s="23">
        <f>N12-S12</f>
        <v>-58000</v>
      </c>
      <c r="U12" s="23">
        <f>N12-1000</f>
        <v>0</v>
      </c>
      <c r="V12" s="10">
        <f>F12/I12</f>
        <v>236000</v>
      </c>
      <c r="W12" s="10">
        <f>ROUND(IF(H12&lt;=1000,0,V12/12*3),0)</f>
        <v>0</v>
      </c>
      <c r="X12" s="10">
        <f>L12-W12</f>
        <v>0</v>
      </c>
    </row>
    <row r="13" spans="1:24" s="9" customFormat="1" ht="13.5" customHeight="1" x14ac:dyDescent="0.2">
      <c r="A13" s="64">
        <v>9</v>
      </c>
      <c r="B13" s="65" t="s">
        <v>214</v>
      </c>
      <c r="C13" s="163">
        <v>37680</v>
      </c>
      <c r="D13" s="67">
        <v>4500000</v>
      </c>
      <c r="E13" s="67"/>
      <c r="F13" s="67">
        <f>+D13+E13</f>
        <v>4500000</v>
      </c>
      <c r="G13" s="110">
        <v>4499000</v>
      </c>
      <c r="H13" s="67">
        <f t="shared" si="1"/>
        <v>1000</v>
      </c>
      <c r="I13" s="68">
        <v>5</v>
      </c>
      <c r="J13" s="68">
        <v>0.2</v>
      </c>
      <c r="K13" s="68">
        <v>0</v>
      </c>
      <c r="L13" s="110"/>
      <c r="M13" s="110">
        <f>+G13+L13</f>
        <v>4499000</v>
      </c>
      <c r="N13" s="67">
        <f t="shared" si="2"/>
        <v>1000</v>
      </c>
      <c r="O13" s="111" t="s">
        <v>215</v>
      </c>
      <c r="P13" s="111">
        <v>1</v>
      </c>
      <c r="Q13" s="70"/>
      <c r="R13" s="23">
        <f t="shared" si="3"/>
        <v>200</v>
      </c>
      <c r="S13" s="23">
        <f>D13*0.05</f>
        <v>225000</v>
      </c>
      <c r="T13" s="23">
        <f>N13-S13</f>
        <v>-224000</v>
      </c>
      <c r="U13" s="23">
        <f>N13-1000</f>
        <v>0</v>
      </c>
      <c r="V13" s="10">
        <f>F13/I13</f>
        <v>900000</v>
      </c>
      <c r="W13" s="10">
        <f>ROUND(IF(H13&lt;=1000,0,V13/12*3),0)</f>
        <v>0</v>
      </c>
      <c r="X13" s="10">
        <f>L13-W13</f>
        <v>0</v>
      </c>
    </row>
    <row r="14" spans="1:24" s="9" customFormat="1" ht="13.5" customHeight="1" x14ac:dyDescent="0.2">
      <c r="A14" s="64">
        <v>10</v>
      </c>
      <c r="B14" s="65" t="s">
        <v>216</v>
      </c>
      <c r="C14" s="163">
        <v>37683</v>
      </c>
      <c r="D14" s="67">
        <v>27555000</v>
      </c>
      <c r="E14" s="67"/>
      <c r="F14" s="67">
        <f>+D14+E14</f>
        <v>27555000</v>
      </c>
      <c r="G14" s="110">
        <v>27554000</v>
      </c>
      <c r="H14" s="67">
        <f t="shared" si="1"/>
        <v>1000</v>
      </c>
      <c r="I14" s="68">
        <v>5</v>
      </c>
      <c r="J14" s="68">
        <v>0.2</v>
      </c>
      <c r="K14" s="68">
        <v>0</v>
      </c>
      <c r="L14" s="110"/>
      <c r="M14" s="110">
        <f>+G14+L14</f>
        <v>27554000</v>
      </c>
      <c r="N14" s="67">
        <f t="shared" si="2"/>
        <v>1000</v>
      </c>
      <c r="O14" s="111" t="s">
        <v>217</v>
      </c>
      <c r="P14" s="111">
        <v>1</v>
      </c>
      <c r="Q14" s="70"/>
      <c r="R14" s="23">
        <f t="shared" si="3"/>
        <v>200</v>
      </c>
      <c r="S14" s="23">
        <f>D14*0.05</f>
        <v>1377750</v>
      </c>
      <c r="T14" s="23">
        <f>N14-S14</f>
        <v>-1376750</v>
      </c>
      <c r="U14" s="23">
        <f>N14-1000</f>
        <v>0</v>
      </c>
      <c r="V14" s="10">
        <f>F14/I14</f>
        <v>5511000</v>
      </c>
      <c r="W14" s="10">
        <f>ROUND(IF(H14&lt;=1000,0,V14/12*3),0)</f>
        <v>0</v>
      </c>
      <c r="X14" s="10">
        <f>L14-W14</f>
        <v>0</v>
      </c>
    </row>
    <row r="15" spans="1:24" s="9" customFormat="1" ht="13.5" customHeight="1" x14ac:dyDescent="0.2">
      <c r="A15" s="64">
        <v>11</v>
      </c>
      <c r="B15" s="65" t="s">
        <v>218</v>
      </c>
      <c r="C15" s="163">
        <v>37683</v>
      </c>
      <c r="D15" s="67">
        <v>39748114</v>
      </c>
      <c r="E15" s="67"/>
      <c r="F15" s="67">
        <f>+D15+E15</f>
        <v>39748114</v>
      </c>
      <c r="G15" s="110">
        <v>39747114</v>
      </c>
      <c r="H15" s="67">
        <f t="shared" si="1"/>
        <v>1000</v>
      </c>
      <c r="I15" s="68">
        <v>5</v>
      </c>
      <c r="J15" s="68">
        <v>0.2</v>
      </c>
      <c r="K15" s="68">
        <v>0</v>
      </c>
      <c r="L15" s="110"/>
      <c r="M15" s="110">
        <f>+G15+L15</f>
        <v>39747114</v>
      </c>
      <c r="N15" s="67">
        <f t="shared" si="2"/>
        <v>1000</v>
      </c>
      <c r="O15" s="111" t="s">
        <v>219</v>
      </c>
      <c r="P15" s="111">
        <v>1</v>
      </c>
      <c r="Q15" s="70"/>
      <c r="R15" s="23">
        <f t="shared" si="3"/>
        <v>200</v>
      </c>
      <c r="S15" s="23">
        <f>D15*0.05</f>
        <v>1987405.7000000002</v>
      </c>
      <c r="T15" s="23">
        <f>N15-S15</f>
        <v>-1986405.7000000002</v>
      </c>
      <c r="U15" s="23">
        <f>N15-1000</f>
        <v>0</v>
      </c>
      <c r="V15" s="10">
        <f>F15/I15</f>
        <v>7949622.7999999998</v>
      </c>
      <c r="W15" s="10">
        <f>ROUND(IF(H15&lt;=1000,0,V15/12*3),0)</f>
        <v>0</v>
      </c>
      <c r="X15" s="10">
        <f>L15-W15</f>
        <v>0</v>
      </c>
    </row>
    <row r="16" spans="1:24" s="174" customFormat="1" ht="13.5" customHeight="1" x14ac:dyDescent="0.2">
      <c r="A16" s="164">
        <v>12</v>
      </c>
      <c r="B16" s="165" t="s">
        <v>220</v>
      </c>
      <c r="C16" s="166">
        <v>37707</v>
      </c>
      <c r="D16" s="167"/>
      <c r="E16" s="167"/>
      <c r="F16" s="167"/>
      <c r="G16" s="168"/>
      <c r="H16" s="167">
        <f t="shared" si="1"/>
        <v>0</v>
      </c>
      <c r="I16" s="169">
        <v>5</v>
      </c>
      <c r="J16" s="169">
        <v>0.2</v>
      </c>
      <c r="K16" s="169">
        <v>0</v>
      </c>
      <c r="L16" s="168"/>
      <c r="M16" s="168"/>
      <c r="N16" s="167">
        <f t="shared" si="2"/>
        <v>0</v>
      </c>
      <c r="O16" s="176" t="s">
        <v>221</v>
      </c>
      <c r="P16" s="176">
        <v>1</v>
      </c>
      <c r="Q16" s="171" t="s">
        <v>222</v>
      </c>
      <c r="R16" s="172">
        <f t="shared" si="3"/>
        <v>0</v>
      </c>
      <c r="S16" s="172"/>
      <c r="T16" s="172"/>
      <c r="U16" s="172"/>
      <c r="V16" s="173"/>
      <c r="W16" s="173"/>
      <c r="X16" s="173"/>
    </row>
    <row r="17" spans="1:24" s="9" customFormat="1" ht="13.5" customHeight="1" x14ac:dyDescent="0.2">
      <c r="A17" s="64">
        <v>13</v>
      </c>
      <c r="B17" s="65" t="s">
        <v>223</v>
      </c>
      <c r="C17" s="163">
        <v>37756</v>
      </c>
      <c r="D17" s="67">
        <v>28000000</v>
      </c>
      <c r="E17" s="67"/>
      <c r="F17" s="67">
        <f>+D17+E17</f>
        <v>28000000</v>
      </c>
      <c r="G17" s="110">
        <v>27999000</v>
      </c>
      <c r="H17" s="67">
        <f t="shared" si="1"/>
        <v>1000</v>
      </c>
      <c r="I17" s="68">
        <v>5</v>
      </c>
      <c r="J17" s="68">
        <v>0.2</v>
      </c>
      <c r="K17" s="68">
        <v>0</v>
      </c>
      <c r="L17" s="110"/>
      <c r="M17" s="110">
        <f>+G17+L17</f>
        <v>27999000</v>
      </c>
      <c r="N17" s="67">
        <f t="shared" si="2"/>
        <v>1000</v>
      </c>
      <c r="O17" s="66" t="s">
        <v>224</v>
      </c>
      <c r="P17" s="111">
        <v>1</v>
      </c>
      <c r="Q17" s="70"/>
      <c r="R17" s="23">
        <f t="shared" si="3"/>
        <v>200</v>
      </c>
      <c r="S17" s="23">
        <f>D17*0.05</f>
        <v>1400000</v>
      </c>
      <c r="T17" s="23">
        <f>N17-S17</f>
        <v>-1399000</v>
      </c>
      <c r="U17" s="23">
        <f>N17-1000</f>
        <v>0</v>
      </c>
      <c r="V17" s="10">
        <f>F17/I17</f>
        <v>5600000</v>
      </c>
      <c r="W17" s="10">
        <f>ROUND(IF(H17&lt;=1000,0,V17/12*3),0)</f>
        <v>0</v>
      </c>
      <c r="X17" s="10">
        <f>L17-W17</f>
        <v>0</v>
      </c>
    </row>
    <row r="18" spans="1:24" s="9" customFormat="1" ht="13.5" customHeight="1" x14ac:dyDescent="0.2">
      <c r="A18" s="701">
        <v>14</v>
      </c>
      <c r="B18" s="702" t="s">
        <v>225</v>
      </c>
      <c r="C18" s="703">
        <v>37769</v>
      </c>
      <c r="D18" s="704">
        <v>4200000</v>
      </c>
      <c r="E18" s="704"/>
      <c r="F18" s="704">
        <f>+D18+E18</f>
        <v>4200000</v>
      </c>
      <c r="G18" s="705">
        <v>4199000</v>
      </c>
      <c r="H18" s="704">
        <f t="shared" si="1"/>
        <v>1000</v>
      </c>
      <c r="I18" s="706">
        <v>5</v>
      </c>
      <c r="J18" s="706">
        <v>0.2</v>
      </c>
      <c r="K18" s="706">
        <v>0</v>
      </c>
      <c r="L18" s="705"/>
      <c r="M18" s="705">
        <f>+G18+L18</f>
        <v>4199000</v>
      </c>
      <c r="N18" s="704">
        <f t="shared" si="2"/>
        <v>1000</v>
      </c>
      <c r="O18" s="707" t="s">
        <v>226</v>
      </c>
      <c r="P18" s="707">
        <v>3</v>
      </c>
      <c r="Q18" s="708"/>
      <c r="R18" s="23">
        <f t="shared" si="3"/>
        <v>200</v>
      </c>
      <c r="S18" s="23">
        <f>D18*0.05</f>
        <v>210000</v>
      </c>
      <c r="T18" s="23">
        <f>N18-S18</f>
        <v>-209000</v>
      </c>
      <c r="U18" s="23">
        <f>N18-1000</f>
        <v>0</v>
      </c>
      <c r="V18" s="10">
        <f>F18/I18</f>
        <v>840000</v>
      </c>
      <c r="W18" s="10">
        <f>ROUND(IF(H18&lt;=1000,0,V18/12*3),0)</f>
        <v>0</v>
      </c>
      <c r="X18" s="10">
        <f>L18-W18</f>
        <v>0</v>
      </c>
    </row>
    <row r="19" spans="1:24" s="9" customFormat="1" ht="13.5" customHeight="1" x14ac:dyDescent="0.2">
      <c r="A19" s="64">
        <v>15</v>
      </c>
      <c r="B19" s="65" t="s">
        <v>227</v>
      </c>
      <c r="C19" s="163">
        <v>37776</v>
      </c>
      <c r="D19" s="67">
        <v>7000000</v>
      </c>
      <c r="E19" s="67"/>
      <c r="F19" s="67">
        <f>+D19+E19</f>
        <v>7000000</v>
      </c>
      <c r="G19" s="110">
        <v>6999000</v>
      </c>
      <c r="H19" s="67">
        <f t="shared" si="1"/>
        <v>1000</v>
      </c>
      <c r="I19" s="68">
        <v>5</v>
      </c>
      <c r="J19" s="68">
        <v>0.2</v>
      </c>
      <c r="K19" s="68">
        <v>0</v>
      </c>
      <c r="L19" s="110"/>
      <c r="M19" s="110">
        <f>+G19+L19</f>
        <v>6999000</v>
      </c>
      <c r="N19" s="67">
        <f t="shared" si="2"/>
        <v>1000</v>
      </c>
      <c r="O19" s="111" t="s">
        <v>228</v>
      </c>
      <c r="P19" s="111">
        <v>1</v>
      </c>
      <c r="Q19" s="70"/>
      <c r="R19" s="23">
        <f t="shared" si="3"/>
        <v>200</v>
      </c>
      <c r="S19" s="23">
        <f>D19*0.05</f>
        <v>350000</v>
      </c>
      <c r="T19" s="23">
        <f>N19-S19</f>
        <v>-349000</v>
      </c>
      <c r="U19" s="23">
        <f>N19-1000</f>
        <v>0</v>
      </c>
      <c r="V19" s="10">
        <f>F19/I19</f>
        <v>1400000</v>
      </c>
      <c r="W19" s="10">
        <f>ROUND(IF(H19&lt;=1000,0,V19/12*3),0)</f>
        <v>0</v>
      </c>
      <c r="X19" s="10">
        <f>L19-W19</f>
        <v>0</v>
      </c>
    </row>
    <row r="20" spans="1:24" s="174" customFormat="1" ht="13.5" customHeight="1" x14ac:dyDescent="0.2">
      <c r="A20" s="164">
        <v>16</v>
      </c>
      <c r="B20" s="165" t="s">
        <v>229</v>
      </c>
      <c r="C20" s="166">
        <v>37825</v>
      </c>
      <c r="D20" s="167"/>
      <c r="E20" s="167"/>
      <c r="F20" s="167"/>
      <c r="G20" s="168"/>
      <c r="H20" s="167">
        <f t="shared" si="1"/>
        <v>0</v>
      </c>
      <c r="I20" s="169">
        <v>5</v>
      </c>
      <c r="J20" s="169">
        <v>0.2</v>
      </c>
      <c r="K20" s="169">
        <v>0</v>
      </c>
      <c r="L20" s="168"/>
      <c r="M20" s="168"/>
      <c r="N20" s="167">
        <f t="shared" si="2"/>
        <v>0</v>
      </c>
      <c r="O20" s="176" t="s">
        <v>230</v>
      </c>
      <c r="P20" s="176">
        <v>1</v>
      </c>
      <c r="Q20" s="171" t="s">
        <v>231</v>
      </c>
      <c r="R20" s="172">
        <f t="shared" si="3"/>
        <v>0</v>
      </c>
      <c r="S20" s="172"/>
      <c r="T20" s="172"/>
      <c r="U20" s="172"/>
      <c r="V20" s="173"/>
      <c r="W20" s="173"/>
      <c r="X20" s="173"/>
    </row>
    <row r="21" spans="1:24" s="9" customFormat="1" ht="13.5" customHeight="1" x14ac:dyDescent="0.2">
      <c r="A21" s="64">
        <v>17</v>
      </c>
      <c r="B21" s="65" t="s">
        <v>207</v>
      </c>
      <c r="C21" s="163">
        <v>37901</v>
      </c>
      <c r="D21" s="67">
        <v>15800000</v>
      </c>
      <c r="E21" s="67"/>
      <c r="F21" s="67">
        <f t="shared" ref="F21:F84" si="4">+D21+E21</f>
        <v>15800000</v>
      </c>
      <c r="G21" s="110">
        <v>15799000</v>
      </c>
      <c r="H21" s="67">
        <f t="shared" si="1"/>
        <v>1000</v>
      </c>
      <c r="I21" s="68">
        <v>5</v>
      </c>
      <c r="J21" s="68">
        <v>0.2</v>
      </c>
      <c r="K21" s="68">
        <v>0</v>
      </c>
      <c r="L21" s="110"/>
      <c r="M21" s="110">
        <f t="shared" ref="M21:M58" si="5">+G21+L21</f>
        <v>15799000</v>
      </c>
      <c r="N21" s="67">
        <f t="shared" si="2"/>
        <v>1000</v>
      </c>
      <c r="O21" s="111" t="s">
        <v>232</v>
      </c>
      <c r="P21" s="111">
        <v>1</v>
      </c>
      <c r="Q21" s="70"/>
      <c r="R21" s="23">
        <f t="shared" si="3"/>
        <v>200</v>
      </c>
      <c r="S21" s="23">
        <f t="shared" ref="S21:S63" si="6">D21*0.05</f>
        <v>790000</v>
      </c>
      <c r="T21" s="23">
        <f t="shared" ref="T21:T63" si="7">N21-S21</f>
        <v>-789000</v>
      </c>
      <c r="U21" s="23">
        <f t="shared" ref="U21:U58" si="8">N21-1000</f>
        <v>0</v>
      </c>
      <c r="V21" s="10">
        <f t="shared" ref="V21:V63" si="9">F21/I21</f>
        <v>3160000</v>
      </c>
      <c r="W21" s="10">
        <f t="shared" ref="W21:W60" si="10">ROUND(IF(H21&lt;=1000,0,V21/12*3),0)</f>
        <v>0</v>
      </c>
      <c r="X21" s="10">
        <f t="shared" ref="X21:X84" si="11">L21-W21</f>
        <v>0</v>
      </c>
    </row>
    <row r="22" spans="1:24" s="9" customFormat="1" ht="13.5" customHeight="1" x14ac:dyDescent="0.2">
      <c r="A22" s="64">
        <v>18</v>
      </c>
      <c r="B22" s="65" t="s">
        <v>233</v>
      </c>
      <c r="C22" s="163">
        <v>37917</v>
      </c>
      <c r="D22" s="67">
        <v>1900000</v>
      </c>
      <c r="E22" s="67"/>
      <c r="F22" s="67">
        <f t="shared" si="4"/>
        <v>1900000</v>
      </c>
      <c r="G22" s="110">
        <v>1899000</v>
      </c>
      <c r="H22" s="67">
        <f t="shared" si="1"/>
        <v>1000</v>
      </c>
      <c r="I22" s="68">
        <v>5</v>
      </c>
      <c r="J22" s="68">
        <v>0.2</v>
      </c>
      <c r="K22" s="68">
        <v>0</v>
      </c>
      <c r="L22" s="110"/>
      <c r="M22" s="110">
        <f t="shared" si="5"/>
        <v>1899000</v>
      </c>
      <c r="N22" s="67">
        <f t="shared" si="2"/>
        <v>1000</v>
      </c>
      <c r="O22" s="111" t="s">
        <v>234</v>
      </c>
      <c r="P22" s="111">
        <v>1</v>
      </c>
      <c r="Q22" s="70"/>
      <c r="R22" s="23">
        <f t="shared" si="3"/>
        <v>200</v>
      </c>
      <c r="S22" s="23">
        <f t="shared" si="6"/>
        <v>95000</v>
      </c>
      <c r="T22" s="23">
        <f t="shared" si="7"/>
        <v>-94000</v>
      </c>
      <c r="U22" s="23">
        <f t="shared" si="8"/>
        <v>0</v>
      </c>
      <c r="V22" s="10">
        <f t="shared" si="9"/>
        <v>380000</v>
      </c>
      <c r="W22" s="10">
        <f t="shared" si="10"/>
        <v>0</v>
      </c>
      <c r="X22" s="10">
        <f t="shared" si="11"/>
        <v>0</v>
      </c>
    </row>
    <row r="23" spans="1:24" s="9" customFormat="1" ht="13.5" customHeight="1" x14ac:dyDescent="0.2">
      <c r="A23" s="64">
        <v>19</v>
      </c>
      <c r="B23" s="65" t="s">
        <v>235</v>
      </c>
      <c r="C23" s="163">
        <v>37917</v>
      </c>
      <c r="D23" s="67">
        <v>9000000</v>
      </c>
      <c r="E23" s="67"/>
      <c r="F23" s="67">
        <f t="shared" si="4"/>
        <v>9000000</v>
      </c>
      <c r="G23" s="110">
        <v>8999000</v>
      </c>
      <c r="H23" s="67">
        <f t="shared" si="1"/>
        <v>1000</v>
      </c>
      <c r="I23" s="68">
        <v>5</v>
      </c>
      <c r="J23" s="68">
        <v>0.2</v>
      </c>
      <c r="K23" s="68">
        <v>0</v>
      </c>
      <c r="L23" s="110"/>
      <c r="M23" s="110">
        <f t="shared" si="5"/>
        <v>8999000</v>
      </c>
      <c r="N23" s="67">
        <f t="shared" si="2"/>
        <v>1000</v>
      </c>
      <c r="O23" s="111" t="s">
        <v>234</v>
      </c>
      <c r="P23" s="111">
        <v>1</v>
      </c>
      <c r="Q23" s="70"/>
      <c r="R23" s="23">
        <f t="shared" si="3"/>
        <v>200</v>
      </c>
      <c r="S23" s="23">
        <f t="shared" si="6"/>
        <v>450000</v>
      </c>
      <c r="T23" s="23">
        <f t="shared" si="7"/>
        <v>-449000</v>
      </c>
      <c r="U23" s="23">
        <f t="shared" si="8"/>
        <v>0</v>
      </c>
      <c r="V23" s="10">
        <f t="shared" si="9"/>
        <v>1800000</v>
      </c>
      <c r="W23" s="10">
        <f t="shared" si="10"/>
        <v>0</v>
      </c>
      <c r="X23" s="10">
        <f t="shared" si="11"/>
        <v>0</v>
      </c>
    </row>
    <row r="24" spans="1:24" s="9" customFormat="1" ht="13.5" customHeight="1" x14ac:dyDescent="0.2">
      <c r="A24" s="64">
        <v>20</v>
      </c>
      <c r="B24" s="65" t="s">
        <v>236</v>
      </c>
      <c r="C24" s="163">
        <v>37918</v>
      </c>
      <c r="D24" s="67">
        <v>1600000</v>
      </c>
      <c r="E24" s="67"/>
      <c r="F24" s="67">
        <f t="shared" si="4"/>
        <v>1600000</v>
      </c>
      <c r="G24" s="110">
        <v>1599000</v>
      </c>
      <c r="H24" s="67">
        <f t="shared" si="1"/>
        <v>1000</v>
      </c>
      <c r="I24" s="68">
        <v>5</v>
      </c>
      <c r="J24" s="68">
        <v>0.2</v>
      </c>
      <c r="K24" s="68">
        <v>0</v>
      </c>
      <c r="L24" s="110"/>
      <c r="M24" s="110">
        <f t="shared" si="5"/>
        <v>1599000</v>
      </c>
      <c r="N24" s="67">
        <f t="shared" si="2"/>
        <v>1000</v>
      </c>
      <c r="O24" s="111" t="s">
        <v>237</v>
      </c>
      <c r="P24" s="111">
        <v>1</v>
      </c>
      <c r="Q24" s="70"/>
      <c r="R24" s="23">
        <f t="shared" si="3"/>
        <v>200</v>
      </c>
      <c r="S24" s="23">
        <f t="shared" si="6"/>
        <v>80000</v>
      </c>
      <c r="T24" s="23">
        <f t="shared" si="7"/>
        <v>-79000</v>
      </c>
      <c r="U24" s="23">
        <f t="shared" si="8"/>
        <v>0</v>
      </c>
      <c r="V24" s="10">
        <f t="shared" si="9"/>
        <v>320000</v>
      </c>
      <c r="W24" s="10">
        <f t="shared" si="10"/>
        <v>0</v>
      </c>
      <c r="X24" s="10">
        <f t="shared" si="11"/>
        <v>0</v>
      </c>
    </row>
    <row r="25" spans="1:24" s="9" customFormat="1" ht="13.5" customHeight="1" x14ac:dyDescent="0.2">
      <c r="A25" s="64">
        <v>21</v>
      </c>
      <c r="B25" s="65" t="s">
        <v>238</v>
      </c>
      <c r="C25" s="163">
        <v>37930</v>
      </c>
      <c r="D25" s="67">
        <v>47000000</v>
      </c>
      <c r="E25" s="67"/>
      <c r="F25" s="67">
        <f t="shared" si="4"/>
        <v>47000000</v>
      </c>
      <c r="G25" s="110">
        <v>46999000</v>
      </c>
      <c r="H25" s="67">
        <f t="shared" si="1"/>
        <v>1000</v>
      </c>
      <c r="I25" s="68">
        <v>5</v>
      </c>
      <c r="J25" s="68">
        <v>0.2</v>
      </c>
      <c r="K25" s="68">
        <v>0</v>
      </c>
      <c r="L25" s="110"/>
      <c r="M25" s="110">
        <f t="shared" si="5"/>
        <v>46999000</v>
      </c>
      <c r="N25" s="67">
        <f t="shared" si="2"/>
        <v>1000</v>
      </c>
      <c r="O25" s="111" t="s">
        <v>239</v>
      </c>
      <c r="P25" s="111">
        <v>1</v>
      </c>
      <c r="Q25" s="178"/>
      <c r="R25" s="23">
        <f t="shared" si="3"/>
        <v>200</v>
      </c>
      <c r="S25" s="23">
        <f t="shared" si="6"/>
        <v>2350000</v>
      </c>
      <c r="T25" s="23">
        <f t="shared" si="7"/>
        <v>-2349000</v>
      </c>
      <c r="U25" s="23">
        <f t="shared" si="8"/>
        <v>0</v>
      </c>
      <c r="V25" s="10">
        <f t="shared" si="9"/>
        <v>9400000</v>
      </c>
      <c r="W25" s="10">
        <f t="shared" si="10"/>
        <v>0</v>
      </c>
      <c r="X25" s="10">
        <f t="shared" si="11"/>
        <v>0</v>
      </c>
    </row>
    <row r="26" spans="1:24" s="9" customFormat="1" ht="13.5" customHeight="1" x14ac:dyDescent="0.2">
      <c r="A26" s="64">
        <v>22</v>
      </c>
      <c r="B26" s="65" t="s">
        <v>240</v>
      </c>
      <c r="C26" s="163" t="s">
        <v>241</v>
      </c>
      <c r="D26" s="67">
        <v>18500000</v>
      </c>
      <c r="E26" s="67"/>
      <c r="F26" s="67">
        <f t="shared" si="4"/>
        <v>18500000</v>
      </c>
      <c r="G26" s="110">
        <v>18499000</v>
      </c>
      <c r="H26" s="67">
        <f t="shared" si="1"/>
        <v>1000</v>
      </c>
      <c r="I26" s="68">
        <v>5</v>
      </c>
      <c r="J26" s="68">
        <v>0.2</v>
      </c>
      <c r="K26" s="68">
        <v>0</v>
      </c>
      <c r="L26" s="110"/>
      <c r="M26" s="110">
        <f t="shared" si="5"/>
        <v>18499000</v>
      </c>
      <c r="N26" s="67">
        <f t="shared" si="2"/>
        <v>1000</v>
      </c>
      <c r="O26" s="111" t="s">
        <v>242</v>
      </c>
      <c r="P26" s="111">
        <v>1</v>
      </c>
      <c r="Q26" s="70"/>
      <c r="R26" s="23">
        <f t="shared" si="3"/>
        <v>200</v>
      </c>
      <c r="S26" s="23">
        <f t="shared" si="6"/>
        <v>925000</v>
      </c>
      <c r="T26" s="23">
        <f t="shared" si="7"/>
        <v>-924000</v>
      </c>
      <c r="U26" s="23">
        <f t="shared" si="8"/>
        <v>0</v>
      </c>
      <c r="V26" s="10">
        <f t="shared" si="9"/>
        <v>3700000</v>
      </c>
      <c r="W26" s="10">
        <f t="shared" si="10"/>
        <v>0</v>
      </c>
      <c r="X26" s="10">
        <f t="shared" si="11"/>
        <v>0</v>
      </c>
    </row>
    <row r="27" spans="1:24" s="9" customFormat="1" ht="13.5" customHeight="1" x14ac:dyDescent="0.25">
      <c r="A27" s="742">
        <v>23</v>
      </c>
      <c r="B27" s="743" t="s">
        <v>243</v>
      </c>
      <c r="C27" s="744" t="s">
        <v>244</v>
      </c>
      <c r="D27" s="745">
        <v>0</v>
      </c>
      <c r="E27" s="745"/>
      <c r="F27" s="745">
        <f t="shared" si="4"/>
        <v>0</v>
      </c>
      <c r="G27" s="746"/>
      <c r="H27" s="745"/>
      <c r="I27" s="747">
        <v>5</v>
      </c>
      <c r="J27" s="747">
        <v>0.2</v>
      </c>
      <c r="K27" s="747">
        <v>0</v>
      </c>
      <c r="L27" s="746"/>
      <c r="M27" s="746"/>
      <c r="N27" s="745"/>
      <c r="O27" s="748" t="s">
        <v>245</v>
      </c>
      <c r="P27" s="748">
        <v>1</v>
      </c>
      <c r="Q27" s="749" t="s">
        <v>2939</v>
      </c>
      <c r="R27" s="23">
        <f t="shared" si="3"/>
        <v>0</v>
      </c>
      <c r="S27" s="23">
        <f t="shared" si="6"/>
        <v>0</v>
      </c>
      <c r="T27" s="23">
        <f t="shared" si="7"/>
        <v>0</v>
      </c>
      <c r="U27" s="23">
        <f t="shared" si="8"/>
        <v>-1000</v>
      </c>
      <c r="V27" s="10">
        <f t="shared" si="9"/>
        <v>0</v>
      </c>
      <c r="W27" s="10">
        <f t="shared" si="10"/>
        <v>0</v>
      </c>
      <c r="X27" s="10">
        <f t="shared" si="11"/>
        <v>0</v>
      </c>
    </row>
    <row r="28" spans="1:24" s="9" customFormat="1" ht="13.5" customHeight="1" x14ac:dyDescent="0.2">
      <c r="A28" s="64">
        <v>24</v>
      </c>
      <c r="B28" s="65" t="s">
        <v>246</v>
      </c>
      <c r="C28" s="163" t="s">
        <v>247</v>
      </c>
      <c r="D28" s="67">
        <v>500000</v>
      </c>
      <c r="E28" s="67"/>
      <c r="F28" s="67">
        <f t="shared" si="4"/>
        <v>500000</v>
      </c>
      <c r="G28" s="110">
        <v>499000</v>
      </c>
      <c r="H28" s="67">
        <f t="shared" si="1"/>
        <v>1000</v>
      </c>
      <c r="I28" s="68">
        <v>5</v>
      </c>
      <c r="J28" s="68">
        <v>0.2</v>
      </c>
      <c r="K28" s="68">
        <v>0</v>
      </c>
      <c r="L28" s="110"/>
      <c r="M28" s="110">
        <f t="shared" si="5"/>
        <v>499000</v>
      </c>
      <c r="N28" s="67">
        <f t="shared" si="2"/>
        <v>1000</v>
      </c>
      <c r="O28" s="111" t="s">
        <v>248</v>
      </c>
      <c r="P28" s="111">
        <v>1</v>
      </c>
      <c r="Q28" s="70"/>
      <c r="R28" s="23">
        <f t="shared" si="3"/>
        <v>200</v>
      </c>
      <c r="S28" s="23">
        <f t="shared" si="6"/>
        <v>25000</v>
      </c>
      <c r="T28" s="23">
        <f t="shared" si="7"/>
        <v>-24000</v>
      </c>
      <c r="U28" s="23">
        <f t="shared" si="8"/>
        <v>0</v>
      </c>
      <c r="V28" s="10">
        <f t="shared" si="9"/>
        <v>100000</v>
      </c>
      <c r="W28" s="10">
        <f t="shared" si="10"/>
        <v>0</v>
      </c>
      <c r="X28" s="10">
        <f t="shared" si="11"/>
        <v>0</v>
      </c>
    </row>
    <row r="29" spans="1:24" s="9" customFormat="1" ht="13.5" customHeight="1" x14ac:dyDescent="0.2">
      <c r="A29" s="64">
        <v>25</v>
      </c>
      <c r="B29" s="65" t="s">
        <v>249</v>
      </c>
      <c r="C29" s="163" t="s">
        <v>250</v>
      </c>
      <c r="D29" s="67">
        <v>1500000</v>
      </c>
      <c r="E29" s="67"/>
      <c r="F29" s="67">
        <f t="shared" si="4"/>
        <v>1500000</v>
      </c>
      <c r="G29" s="110">
        <v>1499000</v>
      </c>
      <c r="H29" s="67">
        <f t="shared" si="1"/>
        <v>1000</v>
      </c>
      <c r="I29" s="68">
        <v>5</v>
      </c>
      <c r="J29" s="68">
        <v>0.2</v>
      </c>
      <c r="K29" s="68">
        <v>0</v>
      </c>
      <c r="L29" s="110"/>
      <c r="M29" s="110">
        <f t="shared" si="5"/>
        <v>1499000</v>
      </c>
      <c r="N29" s="67">
        <f t="shared" si="2"/>
        <v>1000</v>
      </c>
      <c r="O29" s="111" t="s">
        <v>251</v>
      </c>
      <c r="P29" s="111">
        <v>1</v>
      </c>
      <c r="Q29" s="70"/>
      <c r="R29" s="23">
        <f t="shared" si="3"/>
        <v>200</v>
      </c>
      <c r="S29" s="23">
        <f t="shared" si="6"/>
        <v>75000</v>
      </c>
      <c r="T29" s="23">
        <f t="shared" si="7"/>
        <v>-74000</v>
      </c>
      <c r="U29" s="23">
        <f t="shared" si="8"/>
        <v>0</v>
      </c>
      <c r="V29" s="10">
        <f t="shared" si="9"/>
        <v>300000</v>
      </c>
      <c r="W29" s="10">
        <f t="shared" si="10"/>
        <v>0</v>
      </c>
      <c r="X29" s="10">
        <f t="shared" si="11"/>
        <v>0</v>
      </c>
    </row>
    <row r="30" spans="1:24" s="9" customFormat="1" ht="13.5" customHeight="1" x14ac:dyDescent="0.2">
      <c r="A30" s="64">
        <v>26</v>
      </c>
      <c r="B30" s="65" t="s">
        <v>252</v>
      </c>
      <c r="C30" s="163" t="s">
        <v>250</v>
      </c>
      <c r="D30" s="67">
        <v>10900000</v>
      </c>
      <c r="E30" s="67"/>
      <c r="F30" s="67">
        <f t="shared" si="4"/>
        <v>10900000</v>
      </c>
      <c r="G30" s="110">
        <v>10899000</v>
      </c>
      <c r="H30" s="67">
        <f t="shared" si="1"/>
        <v>1000</v>
      </c>
      <c r="I30" s="68">
        <v>5</v>
      </c>
      <c r="J30" s="68">
        <v>0.2</v>
      </c>
      <c r="K30" s="68">
        <v>0</v>
      </c>
      <c r="L30" s="110"/>
      <c r="M30" s="110">
        <f t="shared" si="5"/>
        <v>10899000</v>
      </c>
      <c r="N30" s="67">
        <f t="shared" si="2"/>
        <v>1000</v>
      </c>
      <c r="O30" s="111" t="s">
        <v>221</v>
      </c>
      <c r="P30" s="111">
        <v>1</v>
      </c>
      <c r="Q30" s="70"/>
      <c r="R30" s="23">
        <f t="shared" si="3"/>
        <v>200</v>
      </c>
      <c r="S30" s="23">
        <f t="shared" si="6"/>
        <v>545000</v>
      </c>
      <c r="T30" s="23">
        <f t="shared" si="7"/>
        <v>-544000</v>
      </c>
      <c r="U30" s="23">
        <f t="shared" si="8"/>
        <v>0</v>
      </c>
      <c r="V30" s="10">
        <f t="shared" si="9"/>
        <v>2180000</v>
      </c>
      <c r="W30" s="10">
        <f t="shared" si="10"/>
        <v>0</v>
      </c>
      <c r="X30" s="10">
        <f t="shared" si="11"/>
        <v>0</v>
      </c>
    </row>
    <row r="31" spans="1:24" s="9" customFormat="1" ht="13.5" customHeight="1" x14ac:dyDescent="0.2">
      <c r="A31" s="64">
        <v>27</v>
      </c>
      <c r="B31" s="65" t="s">
        <v>202</v>
      </c>
      <c r="C31" s="163" t="s">
        <v>253</v>
      </c>
      <c r="D31" s="67">
        <v>11000000</v>
      </c>
      <c r="E31" s="67"/>
      <c r="F31" s="67">
        <f t="shared" si="4"/>
        <v>11000000</v>
      </c>
      <c r="G31" s="110">
        <v>10999000</v>
      </c>
      <c r="H31" s="67">
        <f t="shared" si="1"/>
        <v>1000</v>
      </c>
      <c r="I31" s="68">
        <v>5</v>
      </c>
      <c r="J31" s="68">
        <v>0.2</v>
      </c>
      <c r="K31" s="68">
        <v>0</v>
      </c>
      <c r="L31" s="110"/>
      <c r="M31" s="110">
        <f t="shared" si="5"/>
        <v>10999000</v>
      </c>
      <c r="N31" s="67">
        <f t="shared" si="2"/>
        <v>1000</v>
      </c>
      <c r="O31" s="111" t="s">
        <v>254</v>
      </c>
      <c r="P31" s="111">
        <v>1</v>
      </c>
      <c r="Q31" s="70"/>
      <c r="R31" s="23">
        <f t="shared" si="3"/>
        <v>200</v>
      </c>
      <c r="S31" s="23">
        <f t="shared" si="6"/>
        <v>550000</v>
      </c>
      <c r="T31" s="23">
        <f t="shared" si="7"/>
        <v>-549000</v>
      </c>
      <c r="U31" s="23">
        <f t="shared" si="8"/>
        <v>0</v>
      </c>
      <c r="V31" s="10">
        <f t="shared" si="9"/>
        <v>2200000</v>
      </c>
      <c r="W31" s="10">
        <f t="shared" si="10"/>
        <v>0</v>
      </c>
      <c r="X31" s="10">
        <f t="shared" si="11"/>
        <v>0</v>
      </c>
    </row>
    <row r="32" spans="1:24" s="9" customFormat="1" ht="13.5" customHeight="1" x14ac:dyDescent="0.2">
      <c r="A32" s="64">
        <v>28</v>
      </c>
      <c r="B32" s="65" t="s">
        <v>255</v>
      </c>
      <c r="C32" s="163" t="s">
        <v>256</v>
      </c>
      <c r="D32" s="67">
        <v>9300000</v>
      </c>
      <c r="E32" s="67"/>
      <c r="F32" s="67">
        <f t="shared" si="4"/>
        <v>9300000</v>
      </c>
      <c r="G32" s="110">
        <v>9299000</v>
      </c>
      <c r="H32" s="67">
        <f t="shared" si="1"/>
        <v>1000</v>
      </c>
      <c r="I32" s="68">
        <v>5</v>
      </c>
      <c r="J32" s="68">
        <v>0.2</v>
      </c>
      <c r="K32" s="68">
        <v>0</v>
      </c>
      <c r="L32" s="110"/>
      <c r="M32" s="110">
        <f t="shared" si="5"/>
        <v>9299000</v>
      </c>
      <c r="N32" s="67">
        <f t="shared" si="2"/>
        <v>1000</v>
      </c>
      <c r="O32" s="111" t="s">
        <v>257</v>
      </c>
      <c r="P32" s="111">
        <v>1</v>
      </c>
      <c r="Q32" s="70"/>
      <c r="R32" s="23">
        <f t="shared" si="3"/>
        <v>200</v>
      </c>
      <c r="S32" s="23">
        <f t="shared" si="6"/>
        <v>465000</v>
      </c>
      <c r="T32" s="23">
        <f t="shared" si="7"/>
        <v>-464000</v>
      </c>
      <c r="U32" s="23">
        <f t="shared" si="8"/>
        <v>0</v>
      </c>
      <c r="V32" s="10">
        <f t="shared" si="9"/>
        <v>1860000</v>
      </c>
      <c r="W32" s="10">
        <f t="shared" si="10"/>
        <v>0</v>
      </c>
      <c r="X32" s="10">
        <f t="shared" si="11"/>
        <v>0</v>
      </c>
    </row>
    <row r="33" spans="1:24" s="9" customFormat="1" ht="13.5" customHeight="1" x14ac:dyDescent="0.2">
      <c r="A33" s="64">
        <v>29</v>
      </c>
      <c r="B33" s="65" t="s">
        <v>258</v>
      </c>
      <c r="C33" s="163" t="s">
        <v>259</v>
      </c>
      <c r="D33" s="67">
        <v>11300000</v>
      </c>
      <c r="E33" s="67"/>
      <c r="F33" s="67">
        <f t="shared" si="4"/>
        <v>11300000</v>
      </c>
      <c r="G33" s="110">
        <v>11299000</v>
      </c>
      <c r="H33" s="67">
        <f t="shared" si="1"/>
        <v>1000</v>
      </c>
      <c r="I33" s="68">
        <v>5</v>
      </c>
      <c r="J33" s="68">
        <v>0.2</v>
      </c>
      <c r="K33" s="68">
        <v>0</v>
      </c>
      <c r="L33" s="110"/>
      <c r="M33" s="110">
        <f t="shared" si="5"/>
        <v>11299000</v>
      </c>
      <c r="N33" s="67">
        <f t="shared" si="2"/>
        <v>1000</v>
      </c>
      <c r="O33" s="111" t="s">
        <v>260</v>
      </c>
      <c r="P33" s="111">
        <v>1</v>
      </c>
      <c r="Q33" s="70"/>
      <c r="R33" s="23">
        <f t="shared" si="3"/>
        <v>200</v>
      </c>
      <c r="S33" s="23">
        <f t="shared" si="6"/>
        <v>565000</v>
      </c>
      <c r="T33" s="23">
        <f t="shared" si="7"/>
        <v>-564000</v>
      </c>
      <c r="U33" s="23">
        <f t="shared" si="8"/>
        <v>0</v>
      </c>
      <c r="V33" s="10">
        <f t="shared" si="9"/>
        <v>2260000</v>
      </c>
      <c r="W33" s="10">
        <f t="shared" si="10"/>
        <v>0</v>
      </c>
      <c r="X33" s="10">
        <f t="shared" si="11"/>
        <v>0</v>
      </c>
    </row>
    <row r="34" spans="1:24" s="9" customFormat="1" ht="13.5" customHeight="1" x14ac:dyDescent="0.2">
      <c r="A34" s="64">
        <v>30</v>
      </c>
      <c r="B34" s="65" t="s">
        <v>238</v>
      </c>
      <c r="C34" s="163" t="s">
        <v>261</v>
      </c>
      <c r="D34" s="67">
        <v>38000000</v>
      </c>
      <c r="E34" s="67"/>
      <c r="F34" s="67">
        <f t="shared" si="4"/>
        <v>38000000</v>
      </c>
      <c r="G34" s="110">
        <v>37999000</v>
      </c>
      <c r="H34" s="67">
        <f t="shared" si="1"/>
        <v>1000</v>
      </c>
      <c r="I34" s="68">
        <v>5</v>
      </c>
      <c r="J34" s="68">
        <v>0.2</v>
      </c>
      <c r="K34" s="68">
        <v>0</v>
      </c>
      <c r="L34" s="110"/>
      <c r="M34" s="110">
        <f t="shared" si="5"/>
        <v>37999000</v>
      </c>
      <c r="N34" s="67">
        <f t="shared" si="2"/>
        <v>1000</v>
      </c>
      <c r="O34" s="111" t="s">
        <v>262</v>
      </c>
      <c r="P34" s="111">
        <v>1</v>
      </c>
      <c r="Q34" s="70"/>
      <c r="R34" s="23">
        <f t="shared" si="3"/>
        <v>200</v>
      </c>
      <c r="S34" s="23">
        <f t="shared" si="6"/>
        <v>1900000</v>
      </c>
      <c r="T34" s="23">
        <f t="shared" si="7"/>
        <v>-1899000</v>
      </c>
      <c r="U34" s="23">
        <f t="shared" si="8"/>
        <v>0</v>
      </c>
      <c r="V34" s="10">
        <f t="shared" si="9"/>
        <v>7600000</v>
      </c>
      <c r="W34" s="10">
        <f t="shared" si="10"/>
        <v>0</v>
      </c>
      <c r="X34" s="10">
        <f t="shared" si="11"/>
        <v>0</v>
      </c>
    </row>
    <row r="35" spans="1:24" s="9" customFormat="1" ht="13.5" customHeight="1" x14ac:dyDescent="0.2">
      <c r="A35" s="64">
        <v>31</v>
      </c>
      <c r="B35" s="65" t="s">
        <v>238</v>
      </c>
      <c r="C35" s="163" t="s">
        <v>261</v>
      </c>
      <c r="D35" s="67">
        <v>38000000</v>
      </c>
      <c r="E35" s="67"/>
      <c r="F35" s="67">
        <f t="shared" si="4"/>
        <v>38000000</v>
      </c>
      <c r="G35" s="110">
        <v>37999000</v>
      </c>
      <c r="H35" s="67">
        <f t="shared" si="1"/>
        <v>1000</v>
      </c>
      <c r="I35" s="68">
        <v>5</v>
      </c>
      <c r="J35" s="68">
        <v>0.2</v>
      </c>
      <c r="K35" s="68">
        <v>0</v>
      </c>
      <c r="L35" s="110"/>
      <c r="M35" s="110">
        <f t="shared" si="5"/>
        <v>37999000</v>
      </c>
      <c r="N35" s="67">
        <f t="shared" si="2"/>
        <v>1000</v>
      </c>
      <c r="O35" s="111" t="s">
        <v>242</v>
      </c>
      <c r="P35" s="111">
        <v>1</v>
      </c>
      <c r="Q35" s="70"/>
      <c r="R35" s="23">
        <f t="shared" si="3"/>
        <v>200</v>
      </c>
      <c r="S35" s="23">
        <f t="shared" si="6"/>
        <v>1900000</v>
      </c>
      <c r="T35" s="23">
        <f t="shared" si="7"/>
        <v>-1899000</v>
      </c>
      <c r="U35" s="23">
        <f t="shared" si="8"/>
        <v>0</v>
      </c>
      <c r="V35" s="10">
        <f t="shared" si="9"/>
        <v>7600000</v>
      </c>
      <c r="W35" s="10">
        <f t="shared" si="10"/>
        <v>0</v>
      </c>
      <c r="X35" s="10">
        <f t="shared" si="11"/>
        <v>0</v>
      </c>
    </row>
    <row r="36" spans="1:24" s="9" customFormat="1" ht="13.5" customHeight="1" x14ac:dyDescent="0.2">
      <c r="A36" s="64">
        <v>32</v>
      </c>
      <c r="B36" s="65" t="s">
        <v>263</v>
      </c>
      <c r="C36" s="163" t="s">
        <v>264</v>
      </c>
      <c r="D36" s="67">
        <v>1250000</v>
      </c>
      <c r="E36" s="67"/>
      <c r="F36" s="67">
        <f t="shared" si="4"/>
        <v>1250000</v>
      </c>
      <c r="G36" s="110">
        <v>1249000</v>
      </c>
      <c r="H36" s="67">
        <f t="shared" si="1"/>
        <v>1000</v>
      </c>
      <c r="I36" s="68">
        <v>5</v>
      </c>
      <c r="J36" s="68">
        <v>0.2</v>
      </c>
      <c r="K36" s="68">
        <v>0</v>
      </c>
      <c r="L36" s="110"/>
      <c r="M36" s="110">
        <f t="shared" si="5"/>
        <v>1249000</v>
      </c>
      <c r="N36" s="67">
        <f t="shared" si="2"/>
        <v>1000</v>
      </c>
      <c r="O36" s="111" t="s">
        <v>221</v>
      </c>
      <c r="P36" s="111">
        <v>1</v>
      </c>
      <c r="Q36" s="70"/>
      <c r="R36" s="23">
        <f t="shared" si="3"/>
        <v>200</v>
      </c>
      <c r="S36" s="23">
        <f t="shared" si="6"/>
        <v>62500</v>
      </c>
      <c r="T36" s="23">
        <f t="shared" si="7"/>
        <v>-61500</v>
      </c>
      <c r="U36" s="23">
        <f t="shared" si="8"/>
        <v>0</v>
      </c>
      <c r="V36" s="10">
        <f t="shared" si="9"/>
        <v>250000</v>
      </c>
      <c r="W36" s="10">
        <f t="shared" si="10"/>
        <v>0</v>
      </c>
      <c r="X36" s="10">
        <f t="shared" si="11"/>
        <v>0</v>
      </c>
    </row>
    <row r="37" spans="1:24" s="9" customFormat="1" ht="13.5" customHeight="1" x14ac:dyDescent="0.2">
      <c r="A37" s="64">
        <v>33</v>
      </c>
      <c r="B37" s="65" t="s">
        <v>265</v>
      </c>
      <c r="C37" s="163" t="s">
        <v>266</v>
      </c>
      <c r="D37" s="67">
        <v>7327848</v>
      </c>
      <c r="E37" s="67"/>
      <c r="F37" s="67">
        <f t="shared" si="4"/>
        <v>7327848</v>
      </c>
      <c r="G37" s="110">
        <v>7326848</v>
      </c>
      <c r="H37" s="67">
        <f t="shared" si="1"/>
        <v>1000</v>
      </c>
      <c r="I37" s="68">
        <v>5</v>
      </c>
      <c r="J37" s="68">
        <v>0.2</v>
      </c>
      <c r="K37" s="68">
        <v>0</v>
      </c>
      <c r="L37" s="110"/>
      <c r="M37" s="110">
        <f t="shared" si="5"/>
        <v>7326848</v>
      </c>
      <c r="N37" s="67">
        <f t="shared" si="2"/>
        <v>1000</v>
      </c>
      <c r="O37" s="180" t="s">
        <v>267</v>
      </c>
      <c r="P37" s="111">
        <v>1</v>
      </c>
      <c r="Q37" s="179" t="s">
        <v>268</v>
      </c>
      <c r="R37" s="23">
        <f t="shared" si="3"/>
        <v>200</v>
      </c>
      <c r="S37" s="23">
        <f t="shared" si="6"/>
        <v>366392.4</v>
      </c>
      <c r="T37" s="23">
        <f t="shared" si="7"/>
        <v>-365392.4</v>
      </c>
      <c r="U37" s="23">
        <f t="shared" si="8"/>
        <v>0</v>
      </c>
      <c r="V37" s="10">
        <f t="shared" si="9"/>
        <v>1465569.6</v>
      </c>
      <c r="W37" s="10">
        <f t="shared" si="10"/>
        <v>0</v>
      </c>
      <c r="X37" s="10">
        <f t="shared" si="11"/>
        <v>0</v>
      </c>
    </row>
    <row r="38" spans="1:24" s="9" customFormat="1" ht="13.5" customHeight="1" x14ac:dyDescent="0.2">
      <c r="A38" s="64">
        <v>34</v>
      </c>
      <c r="B38" s="65" t="s">
        <v>269</v>
      </c>
      <c r="C38" s="163" t="s">
        <v>270</v>
      </c>
      <c r="D38" s="67">
        <v>1950000</v>
      </c>
      <c r="E38" s="67"/>
      <c r="F38" s="67">
        <f t="shared" si="4"/>
        <v>1950000</v>
      </c>
      <c r="G38" s="110">
        <v>1949000</v>
      </c>
      <c r="H38" s="67">
        <f t="shared" si="1"/>
        <v>1000</v>
      </c>
      <c r="I38" s="68">
        <v>5</v>
      </c>
      <c r="J38" s="68">
        <v>0.2</v>
      </c>
      <c r="K38" s="68">
        <v>0</v>
      </c>
      <c r="L38" s="110"/>
      <c r="M38" s="110">
        <f t="shared" si="5"/>
        <v>1949000</v>
      </c>
      <c r="N38" s="67">
        <f t="shared" si="2"/>
        <v>1000</v>
      </c>
      <c r="O38" s="111" t="s">
        <v>221</v>
      </c>
      <c r="P38" s="111">
        <v>1</v>
      </c>
      <c r="Q38" s="70"/>
      <c r="R38" s="23">
        <f t="shared" si="3"/>
        <v>200</v>
      </c>
      <c r="S38" s="23">
        <f t="shared" si="6"/>
        <v>97500</v>
      </c>
      <c r="T38" s="23">
        <f t="shared" si="7"/>
        <v>-96500</v>
      </c>
      <c r="U38" s="23">
        <f t="shared" si="8"/>
        <v>0</v>
      </c>
      <c r="V38" s="10">
        <f t="shared" si="9"/>
        <v>390000</v>
      </c>
      <c r="W38" s="10">
        <f t="shared" si="10"/>
        <v>0</v>
      </c>
      <c r="X38" s="10">
        <f t="shared" si="11"/>
        <v>0</v>
      </c>
    </row>
    <row r="39" spans="1:24" s="9" customFormat="1" ht="13.5" customHeight="1" x14ac:dyDescent="0.2">
      <c r="A39" s="64">
        <v>35</v>
      </c>
      <c r="B39" s="65" t="s">
        <v>207</v>
      </c>
      <c r="C39" s="163" t="s">
        <v>271</v>
      </c>
      <c r="D39" s="67">
        <v>12000000</v>
      </c>
      <c r="E39" s="67"/>
      <c r="F39" s="67">
        <f t="shared" si="4"/>
        <v>12000000</v>
      </c>
      <c r="G39" s="110">
        <v>11999000</v>
      </c>
      <c r="H39" s="67">
        <f t="shared" si="1"/>
        <v>1000</v>
      </c>
      <c r="I39" s="68">
        <v>5</v>
      </c>
      <c r="J39" s="68">
        <v>0.2</v>
      </c>
      <c r="K39" s="68">
        <v>0</v>
      </c>
      <c r="L39" s="110"/>
      <c r="M39" s="110">
        <f t="shared" si="5"/>
        <v>11999000</v>
      </c>
      <c r="N39" s="67">
        <f t="shared" si="2"/>
        <v>1000</v>
      </c>
      <c r="O39" s="111" t="s">
        <v>272</v>
      </c>
      <c r="P39" s="111">
        <v>1</v>
      </c>
      <c r="Q39" s="70"/>
      <c r="R39" s="23">
        <f t="shared" si="3"/>
        <v>200</v>
      </c>
      <c r="S39" s="23">
        <f t="shared" si="6"/>
        <v>600000</v>
      </c>
      <c r="T39" s="23">
        <f t="shared" si="7"/>
        <v>-599000</v>
      </c>
      <c r="U39" s="23">
        <f t="shared" si="8"/>
        <v>0</v>
      </c>
      <c r="V39" s="10">
        <f t="shared" si="9"/>
        <v>2400000</v>
      </c>
      <c r="W39" s="10">
        <f t="shared" si="10"/>
        <v>0</v>
      </c>
      <c r="X39" s="10">
        <f t="shared" si="11"/>
        <v>0</v>
      </c>
    </row>
    <row r="40" spans="1:24" s="9" customFormat="1" ht="13.5" customHeight="1" x14ac:dyDescent="0.2">
      <c r="A40" s="64">
        <v>36</v>
      </c>
      <c r="B40" s="65" t="s">
        <v>209</v>
      </c>
      <c r="C40" s="163" t="s">
        <v>271</v>
      </c>
      <c r="D40" s="67">
        <v>2000000</v>
      </c>
      <c r="E40" s="67"/>
      <c r="F40" s="67">
        <f t="shared" si="4"/>
        <v>2000000</v>
      </c>
      <c r="G40" s="110">
        <v>1999000</v>
      </c>
      <c r="H40" s="67">
        <f t="shared" si="1"/>
        <v>1000</v>
      </c>
      <c r="I40" s="68">
        <v>5</v>
      </c>
      <c r="J40" s="68">
        <v>0.2</v>
      </c>
      <c r="K40" s="68">
        <v>0</v>
      </c>
      <c r="L40" s="110"/>
      <c r="M40" s="110">
        <f t="shared" si="5"/>
        <v>1999000</v>
      </c>
      <c r="N40" s="67">
        <f t="shared" si="2"/>
        <v>1000</v>
      </c>
      <c r="O40" s="111" t="s">
        <v>273</v>
      </c>
      <c r="P40" s="111">
        <v>1</v>
      </c>
      <c r="Q40" s="70"/>
      <c r="R40" s="23">
        <f t="shared" si="3"/>
        <v>200</v>
      </c>
      <c r="S40" s="23">
        <f t="shared" si="6"/>
        <v>100000</v>
      </c>
      <c r="T40" s="23">
        <f t="shared" si="7"/>
        <v>-99000</v>
      </c>
      <c r="U40" s="23">
        <f t="shared" si="8"/>
        <v>0</v>
      </c>
      <c r="V40" s="10">
        <f t="shared" si="9"/>
        <v>400000</v>
      </c>
      <c r="W40" s="10">
        <f t="shared" si="10"/>
        <v>0</v>
      </c>
      <c r="X40" s="10">
        <f t="shared" si="11"/>
        <v>0</v>
      </c>
    </row>
    <row r="41" spans="1:24" s="9" customFormat="1" ht="13.5" customHeight="1" x14ac:dyDescent="0.2">
      <c r="A41" s="64">
        <v>37</v>
      </c>
      <c r="B41" s="65" t="s">
        <v>274</v>
      </c>
      <c r="C41" s="163" t="s">
        <v>275</v>
      </c>
      <c r="D41" s="67">
        <v>4100000</v>
      </c>
      <c r="E41" s="67"/>
      <c r="F41" s="67">
        <f t="shared" si="4"/>
        <v>4100000</v>
      </c>
      <c r="G41" s="110">
        <v>4099000</v>
      </c>
      <c r="H41" s="67">
        <f t="shared" si="1"/>
        <v>1000</v>
      </c>
      <c r="I41" s="68">
        <v>5</v>
      </c>
      <c r="J41" s="68">
        <v>0.2</v>
      </c>
      <c r="K41" s="68">
        <v>0</v>
      </c>
      <c r="L41" s="110"/>
      <c r="M41" s="110">
        <f t="shared" si="5"/>
        <v>4099000</v>
      </c>
      <c r="N41" s="67">
        <f t="shared" si="2"/>
        <v>1000</v>
      </c>
      <c r="O41" s="111" t="s">
        <v>276</v>
      </c>
      <c r="P41" s="111">
        <v>1</v>
      </c>
      <c r="Q41" s="70"/>
      <c r="R41" s="23">
        <f t="shared" si="3"/>
        <v>200</v>
      </c>
      <c r="S41" s="23">
        <f t="shared" si="6"/>
        <v>205000</v>
      </c>
      <c r="T41" s="23">
        <f t="shared" si="7"/>
        <v>-204000</v>
      </c>
      <c r="U41" s="23">
        <f t="shared" si="8"/>
        <v>0</v>
      </c>
      <c r="V41" s="10">
        <f t="shared" si="9"/>
        <v>820000</v>
      </c>
      <c r="W41" s="10">
        <f t="shared" si="10"/>
        <v>0</v>
      </c>
      <c r="X41" s="10">
        <f t="shared" si="11"/>
        <v>0</v>
      </c>
    </row>
    <row r="42" spans="1:24" s="9" customFormat="1" ht="13.5" customHeight="1" x14ac:dyDescent="0.2">
      <c r="A42" s="64">
        <v>38</v>
      </c>
      <c r="B42" s="65" t="s">
        <v>277</v>
      </c>
      <c r="C42" s="163" t="s">
        <v>278</v>
      </c>
      <c r="D42" s="67">
        <v>3000000</v>
      </c>
      <c r="E42" s="67"/>
      <c r="F42" s="67">
        <f t="shared" si="4"/>
        <v>3000000</v>
      </c>
      <c r="G42" s="110">
        <v>2999000</v>
      </c>
      <c r="H42" s="67">
        <f t="shared" si="1"/>
        <v>1000</v>
      </c>
      <c r="I42" s="68">
        <v>5</v>
      </c>
      <c r="J42" s="68">
        <v>0.2</v>
      </c>
      <c r="K42" s="68">
        <v>0</v>
      </c>
      <c r="L42" s="110"/>
      <c r="M42" s="110">
        <f t="shared" si="5"/>
        <v>2999000</v>
      </c>
      <c r="N42" s="67">
        <f t="shared" si="2"/>
        <v>1000</v>
      </c>
      <c r="O42" s="111" t="s">
        <v>279</v>
      </c>
      <c r="P42" s="111">
        <v>1</v>
      </c>
      <c r="Q42" s="70"/>
      <c r="R42" s="23">
        <f t="shared" si="3"/>
        <v>200</v>
      </c>
      <c r="S42" s="23">
        <f t="shared" si="6"/>
        <v>150000</v>
      </c>
      <c r="T42" s="23">
        <f t="shared" si="7"/>
        <v>-149000</v>
      </c>
      <c r="U42" s="23">
        <f t="shared" si="8"/>
        <v>0</v>
      </c>
      <c r="V42" s="10">
        <f t="shared" si="9"/>
        <v>600000</v>
      </c>
      <c r="W42" s="10">
        <f t="shared" si="10"/>
        <v>0</v>
      </c>
      <c r="X42" s="10">
        <f t="shared" si="11"/>
        <v>0</v>
      </c>
    </row>
    <row r="43" spans="1:24" s="9" customFormat="1" ht="13.5" customHeight="1" x14ac:dyDescent="0.2">
      <c r="A43" s="64">
        <v>39</v>
      </c>
      <c r="B43" s="65" t="s">
        <v>280</v>
      </c>
      <c r="C43" s="163" t="s">
        <v>281</v>
      </c>
      <c r="D43" s="67">
        <v>4500000</v>
      </c>
      <c r="E43" s="67"/>
      <c r="F43" s="67">
        <f t="shared" si="4"/>
        <v>4500000</v>
      </c>
      <c r="G43" s="110">
        <v>4499000</v>
      </c>
      <c r="H43" s="67">
        <f t="shared" si="1"/>
        <v>1000</v>
      </c>
      <c r="I43" s="68">
        <v>5</v>
      </c>
      <c r="J43" s="68">
        <v>0.2</v>
      </c>
      <c r="K43" s="68">
        <v>0</v>
      </c>
      <c r="L43" s="110"/>
      <c r="M43" s="110">
        <f t="shared" si="5"/>
        <v>4499000</v>
      </c>
      <c r="N43" s="67">
        <f t="shared" si="2"/>
        <v>1000</v>
      </c>
      <c r="O43" s="111" t="s">
        <v>276</v>
      </c>
      <c r="P43" s="111">
        <v>1</v>
      </c>
      <c r="Q43" s="70"/>
      <c r="R43" s="23">
        <f t="shared" si="3"/>
        <v>200</v>
      </c>
      <c r="S43" s="23">
        <f t="shared" si="6"/>
        <v>225000</v>
      </c>
      <c r="T43" s="23">
        <f t="shared" si="7"/>
        <v>-224000</v>
      </c>
      <c r="U43" s="23">
        <f t="shared" si="8"/>
        <v>0</v>
      </c>
      <c r="V43" s="10">
        <f t="shared" si="9"/>
        <v>900000</v>
      </c>
      <c r="W43" s="10">
        <f t="shared" si="10"/>
        <v>0</v>
      </c>
      <c r="X43" s="10">
        <f t="shared" si="11"/>
        <v>0</v>
      </c>
    </row>
    <row r="44" spans="1:24" s="9" customFormat="1" ht="13.5" customHeight="1" x14ac:dyDescent="0.2">
      <c r="A44" s="64">
        <v>40</v>
      </c>
      <c r="B44" s="65" t="s">
        <v>243</v>
      </c>
      <c r="C44" s="163" t="s">
        <v>282</v>
      </c>
      <c r="D44" s="67">
        <v>41500000</v>
      </c>
      <c r="E44" s="67"/>
      <c r="F44" s="67">
        <f t="shared" si="4"/>
        <v>41500000</v>
      </c>
      <c r="G44" s="110">
        <v>41499000</v>
      </c>
      <c r="H44" s="67">
        <f t="shared" si="1"/>
        <v>1000</v>
      </c>
      <c r="I44" s="68">
        <v>5</v>
      </c>
      <c r="J44" s="68">
        <v>0.2</v>
      </c>
      <c r="K44" s="68">
        <v>0</v>
      </c>
      <c r="L44" s="110"/>
      <c r="M44" s="110">
        <f t="shared" si="5"/>
        <v>41499000</v>
      </c>
      <c r="N44" s="67">
        <f t="shared" si="2"/>
        <v>1000</v>
      </c>
      <c r="O44" s="111" t="s">
        <v>283</v>
      </c>
      <c r="P44" s="111">
        <v>1</v>
      </c>
      <c r="Q44" s="181" t="s">
        <v>284</v>
      </c>
      <c r="R44" s="23">
        <f t="shared" si="3"/>
        <v>200</v>
      </c>
      <c r="S44" s="23">
        <f t="shared" si="6"/>
        <v>2075000</v>
      </c>
      <c r="T44" s="23">
        <f t="shared" si="7"/>
        <v>-2074000</v>
      </c>
      <c r="U44" s="23">
        <f t="shared" si="8"/>
        <v>0</v>
      </c>
      <c r="V44" s="10">
        <f t="shared" si="9"/>
        <v>8300000</v>
      </c>
      <c r="W44" s="10">
        <f t="shared" si="10"/>
        <v>0</v>
      </c>
      <c r="X44" s="10">
        <f t="shared" si="11"/>
        <v>0</v>
      </c>
    </row>
    <row r="45" spans="1:24" s="9" customFormat="1" ht="13.5" customHeight="1" x14ac:dyDescent="0.2">
      <c r="A45" s="64">
        <v>41</v>
      </c>
      <c r="B45" s="65" t="s">
        <v>203</v>
      </c>
      <c r="C45" s="163" t="s">
        <v>285</v>
      </c>
      <c r="D45" s="67">
        <v>15000000</v>
      </c>
      <c r="E45" s="67"/>
      <c r="F45" s="67">
        <f t="shared" si="4"/>
        <v>15000000</v>
      </c>
      <c r="G45" s="110">
        <v>14999000</v>
      </c>
      <c r="H45" s="67">
        <f t="shared" si="1"/>
        <v>1000</v>
      </c>
      <c r="I45" s="68">
        <v>5</v>
      </c>
      <c r="J45" s="68">
        <v>0.2</v>
      </c>
      <c r="K45" s="68">
        <v>0</v>
      </c>
      <c r="L45" s="110"/>
      <c r="M45" s="110">
        <f t="shared" si="5"/>
        <v>14999000</v>
      </c>
      <c r="N45" s="67">
        <f t="shared" si="2"/>
        <v>1000</v>
      </c>
      <c r="O45" s="111" t="s">
        <v>286</v>
      </c>
      <c r="P45" s="111">
        <v>1</v>
      </c>
      <c r="Q45" s="70"/>
      <c r="R45" s="23">
        <f t="shared" si="3"/>
        <v>200</v>
      </c>
      <c r="S45" s="23">
        <f t="shared" si="6"/>
        <v>750000</v>
      </c>
      <c r="T45" s="23">
        <f t="shared" si="7"/>
        <v>-749000</v>
      </c>
      <c r="U45" s="23">
        <f t="shared" si="8"/>
        <v>0</v>
      </c>
      <c r="V45" s="10">
        <f t="shared" si="9"/>
        <v>3000000</v>
      </c>
      <c r="W45" s="10">
        <f t="shared" si="10"/>
        <v>0</v>
      </c>
      <c r="X45" s="10">
        <f t="shared" si="11"/>
        <v>0</v>
      </c>
    </row>
    <row r="46" spans="1:24" s="9" customFormat="1" ht="13.5" customHeight="1" x14ac:dyDescent="0.2">
      <c r="A46" s="64">
        <v>42</v>
      </c>
      <c r="B46" s="65" t="s">
        <v>287</v>
      </c>
      <c r="C46" s="163" t="s">
        <v>288</v>
      </c>
      <c r="D46" s="67">
        <v>1200000</v>
      </c>
      <c r="E46" s="67"/>
      <c r="F46" s="67">
        <f t="shared" si="4"/>
        <v>1200000</v>
      </c>
      <c r="G46" s="110">
        <v>1199000</v>
      </c>
      <c r="H46" s="67">
        <f t="shared" si="1"/>
        <v>1000</v>
      </c>
      <c r="I46" s="68">
        <v>5</v>
      </c>
      <c r="J46" s="68">
        <v>0.2</v>
      </c>
      <c r="K46" s="68">
        <v>0</v>
      </c>
      <c r="L46" s="110"/>
      <c r="M46" s="110">
        <f t="shared" si="5"/>
        <v>1199000</v>
      </c>
      <c r="N46" s="67">
        <f t="shared" si="2"/>
        <v>1000</v>
      </c>
      <c r="O46" s="111" t="s">
        <v>289</v>
      </c>
      <c r="P46" s="111">
        <v>1</v>
      </c>
      <c r="Q46" s="70"/>
      <c r="R46" s="23">
        <f t="shared" si="3"/>
        <v>200</v>
      </c>
      <c r="S46" s="23">
        <f t="shared" si="6"/>
        <v>60000</v>
      </c>
      <c r="T46" s="23">
        <f t="shared" si="7"/>
        <v>-59000</v>
      </c>
      <c r="U46" s="23">
        <f t="shared" si="8"/>
        <v>0</v>
      </c>
      <c r="V46" s="10">
        <f t="shared" si="9"/>
        <v>240000</v>
      </c>
      <c r="W46" s="10">
        <f t="shared" si="10"/>
        <v>0</v>
      </c>
      <c r="X46" s="10">
        <f t="shared" si="11"/>
        <v>0</v>
      </c>
    </row>
    <row r="47" spans="1:24" s="9" customFormat="1" ht="13.5" customHeight="1" x14ac:dyDescent="0.2">
      <c r="A47" s="64">
        <v>43</v>
      </c>
      <c r="B47" s="65" t="s">
        <v>290</v>
      </c>
      <c r="C47" s="163" t="s">
        <v>291</v>
      </c>
      <c r="D47" s="67">
        <v>8500000</v>
      </c>
      <c r="E47" s="67"/>
      <c r="F47" s="67">
        <f t="shared" si="4"/>
        <v>8500000</v>
      </c>
      <c r="G47" s="110">
        <v>8499000</v>
      </c>
      <c r="H47" s="67">
        <f t="shared" si="1"/>
        <v>1000</v>
      </c>
      <c r="I47" s="68">
        <v>5</v>
      </c>
      <c r="J47" s="68">
        <v>0.2</v>
      </c>
      <c r="K47" s="68">
        <v>0</v>
      </c>
      <c r="L47" s="110"/>
      <c r="M47" s="110">
        <f t="shared" si="5"/>
        <v>8499000</v>
      </c>
      <c r="N47" s="67">
        <f t="shared" si="2"/>
        <v>1000</v>
      </c>
      <c r="O47" s="111" t="s">
        <v>292</v>
      </c>
      <c r="P47" s="111">
        <v>1</v>
      </c>
      <c r="Q47" s="178"/>
      <c r="R47" s="23">
        <f t="shared" si="3"/>
        <v>200</v>
      </c>
      <c r="S47" s="23">
        <f t="shared" si="6"/>
        <v>425000</v>
      </c>
      <c r="T47" s="23">
        <f t="shared" si="7"/>
        <v>-424000</v>
      </c>
      <c r="U47" s="23">
        <f t="shared" si="8"/>
        <v>0</v>
      </c>
      <c r="V47" s="10">
        <f t="shared" si="9"/>
        <v>1700000</v>
      </c>
      <c r="W47" s="10">
        <f t="shared" si="10"/>
        <v>0</v>
      </c>
      <c r="X47" s="10">
        <f t="shared" si="11"/>
        <v>0</v>
      </c>
    </row>
    <row r="48" spans="1:24" s="9" customFormat="1" ht="13.5" customHeight="1" x14ac:dyDescent="0.2">
      <c r="A48" s="64">
        <v>44</v>
      </c>
      <c r="B48" s="65" t="s">
        <v>293</v>
      </c>
      <c r="C48" s="163" t="s">
        <v>291</v>
      </c>
      <c r="D48" s="67">
        <v>6300000</v>
      </c>
      <c r="E48" s="67"/>
      <c r="F48" s="67">
        <f t="shared" si="4"/>
        <v>6300000</v>
      </c>
      <c r="G48" s="110">
        <v>6299000</v>
      </c>
      <c r="H48" s="67">
        <f t="shared" si="1"/>
        <v>1000</v>
      </c>
      <c r="I48" s="68">
        <v>5</v>
      </c>
      <c r="J48" s="68">
        <v>0.2</v>
      </c>
      <c r="K48" s="68">
        <v>0</v>
      </c>
      <c r="L48" s="110"/>
      <c r="M48" s="110">
        <f t="shared" si="5"/>
        <v>6299000</v>
      </c>
      <c r="N48" s="67">
        <f t="shared" si="2"/>
        <v>1000</v>
      </c>
      <c r="O48" s="111" t="s">
        <v>294</v>
      </c>
      <c r="P48" s="111">
        <v>1</v>
      </c>
      <c r="Q48" s="70"/>
      <c r="R48" s="23">
        <f t="shared" si="3"/>
        <v>200</v>
      </c>
      <c r="S48" s="23">
        <f t="shared" si="6"/>
        <v>315000</v>
      </c>
      <c r="T48" s="23">
        <f t="shared" si="7"/>
        <v>-314000</v>
      </c>
      <c r="U48" s="23">
        <f t="shared" si="8"/>
        <v>0</v>
      </c>
      <c r="V48" s="10">
        <f t="shared" si="9"/>
        <v>1260000</v>
      </c>
      <c r="W48" s="10">
        <f t="shared" si="10"/>
        <v>0</v>
      </c>
      <c r="X48" s="10">
        <f t="shared" si="11"/>
        <v>0</v>
      </c>
    </row>
    <row r="49" spans="1:25" s="190" customFormat="1" ht="13.5" customHeight="1" x14ac:dyDescent="0.2">
      <c r="A49" s="64">
        <v>45</v>
      </c>
      <c r="B49" s="182" t="s">
        <v>295</v>
      </c>
      <c r="C49" s="183" t="s">
        <v>296</v>
      </c>
      <c r="D49" s="184">
        <v>1500000</v>
      </c>
      <c r="E49" s="184"/>
      <c r="F49" s="184">
        <f t="shared" si="4"/>
        <v>1500000</v>
      </c>
      <c r="G49" s="185">
        <v>1499000</v>
      </c>
      <c r="H49" s="184">
        <f t="shared" si="1"/>
        <v>1000</v>
      </c>
      <c r="I49" s="186">
        <v>5</v>
      </c>
      <c r="J49" s="68">
        <v>0.2</v>
      </c>
      <c r="K49" s="186">
        <v>0</v>
      </c>
      <c r="L49" s="185"/>
      <c r="M49" s="185">
        <f t="shared" si="5"/>
        <v>1499000</v>
      </c>
      <c r="N49" s="184">
        <f t="shared" si="2"/>
        <v>1000</v>
      </c>
      <c r="O49" s="187" t="s">
        <v>297</v>
      </c>
      <c r="P49" s="187">
        <v>1</v>
      </c>
      <c r="Q49" s="188"/>
      <c r="R49" s="189">
        <f t="shared" si="3"/>
        <v>200</v>
      </c>
      <c r="S49" s="23">
        <f t="shared" si="6"/>
        <v>75000</v>
      </c>
      <c r="T49" s="23">
        <f t="shared" si="7"/>
        <v>-74000</v>
      </c>
      <c r="U49" s="23">
        <f t="shared" si="8"/>
        <v>0</v>
      </c>
      <c r="V49" s="10">
        <f t="shared" si="9"/>
        <v>300000</v>
      </c>
      <c r="W49" s="10">
        <f t="shared" si="10"/>
        <v>0</v>
      </c>
      <c r="X49" s="10">
        <f t="shared" si="11"/>
        <v>0</v>
      </c>
    </row>
    <row r="50" spans="1:25" s="9" customFormat="1" ht="13.5" customHeight="1" x14ac:dyDescent="0.2">
      <c r="A50" s="64">
        <v>46</v>
      </c>
      <c r="B50" s="65" t="s">
        <v>203</v>
      </c>
      <c r="C50" s="163" t="s">
        <v>298</v>
      </c>
      <c r="D50" s="67">
        <v>13500000</v>
      </c>
      <c r="E50" s="67"/>
      <c r="F50" s="67">
        <f t="shared" si="4"/>
        <v>13500000</v>
      </c>
      <c r="G50" s="110">
        <v>13499000</v>
      </c>
      <c r="H50" s="67">
        <f t="shared" si="1"/>
        <v>1000</v>
      </c>
      <c r="I50" s="68">
        <v>5</v>
      </c>
      <c r="J50" s="68">
        <v>0.2</v>
      </c>
      <c r="K50" s="68">
        <v>0</v>
      </c>
      <c r="L50" s="110"/>
      <c r="M50" s="110">
        <f t="shared" si="5"/>
        <v>13499000</v>
      </c>
      <c r="N50" s="67">
        <f t="shared" si="2"/>
        <v>1000</v>
      </c>
      <c r="O50" s="111" t="s">
        <v>262</v>
      </c>
      <c r="P50" s="111">
        <v>1</v>
      </c>
      <c r="Q50" s="70"/>
      <c r="R50" s="23"/>
      <c r="S50" s="23">
        <f t="shared" si="6"/>
        <v>675000</v>
      </c>
      <c r="T50" s="23">
        <f t="shared" si="7"/>
        <v>-674000</v>
      </c>
      <c r="U50" s="23">
        <f t="shared" si="8"/>
        <v>0</v>
      </c>
      <c r="V50" s="10">
        <f t="shared" si="9"/>
        <v>2700000</v>
      </c>
      <c r="W50" s="10">
        <f t="shared" si="10"/>
        <v>0</v>
      </c>
      <c r="X50" s="10">
        <f t="shared" si="11"/>
        <v>0</v>
      </c>
    </row>
    <row r="51" spans="1:25" s="9" customFormat="1" ht="13.5" customHeight="1" x14ac:dyDescent="0.2">
      <c r="A51" s="64">
        <v>47</v>
      </c>
      <c r="B51" s="65" t="s">
        <v>299</v>
      </c>
      <c r="C51" s="163" t="s">
        <v>300</v>
      </c>
      <c r="D51" s="67">
        <v>3000000</v>
      </c>
      <c r="E51" s="67"/>
      <c r="F51" s="67">
        <f t="shared" si="4"/>
        <v>3000000</v>
      </c>
      <c r="G51" s="110">
        <v>2999000</v>
      </c>
      <c r="H51" s="67">
        <f t="shared" si="1"/>
        <v>1000</v>
      </c>
      <c r="I51" s="68">
        <v>5</v>
      </c>
      <c r="J51" s="68">
        <v>0.2</v>
      </c>
      <c r="K51" s="68">
        <v>0</v>
      </c>
      <c r="L51" s="110"/>
      <c r="M51" s="110">
        <f t="shared" si="5"/>
        <v>2999000</v>
      </c>
      <c r="N51" s="67">
        <f t="shared" si="2"/>
        <v>1000</v>
      </c>
      <c r="O51" s="111" t="s">
        <v>273</v>
      </c>
      <c r="P51" s="111">
        <v>1</v>
      </c>
      <c r="Q51" s="70"/>
      <c r="R51" s="23"/>
      <c r="S51" s="23">
        <f t="shared" si="6"/>
        <v>150000</v>
      </c>
      <c r="T51" s="23">
        <f t="shared" si="7"/>
        <v>-149000</v>
      </c>
      <c r="U51" s="23">
        <f t="shared" si="8"/>
        <v>0</v>
      </c>
      <c r="V51" s="10">
        <f t="shared" si="9"/>
        <v>600000</v>
      </c>
      <c r="W51" s="10">
        <f t="shared" si="10"/>
        <v>0</v>
      </c>
      <c r="X51" s="10">
        <f t="shared" si="11"/>
        <v>0</v>
      </c>
    </row>
    <row r="52" spans="1:25" s="9" customFormat="1" ht="13.5" customHeight="1" x14ac:dyDescent="0.2">
      <c r="A52" s="64">
        <v>48</v>
      </c>
      <c r="B52" s="65" t="s">
        <v>301</v>
      </c>
      <c r="C52" s="163" t="s">
        <v>302</v>
      </c>
      <c r="D52" s="67">
        <v>9000000</v>
      </c>
      <c r="E52" s="67"/>
      <c r="F52" s="67">
        <f t="shared" si="4"/>
        <v>9000000</v>
      </c>
      <c r="G52" s="110">
        <v>8999000</v>
      </c>
      <c r="H52" s="67">
        <f t="shared" si="1"/>
        <v>1000</v>
      </c>
      <c r="I52" s="68">
        <v>5</v>
      </c>
      <c r="J52" s="68">
        <v>0.2</v>
      </c>
      <c r="K52" s="68">
        <v>0</v>
      </c>
      <c r="L52" s="110">
        <f t="shared" ref="L52:L58" si="12">ROUND(IF(F52*J52*K52/12&gt;=H52,H52-1000,F52*J52*K52/12),0)</f>
        <v>0</v>
      </c>
      <c r="M52" s="110">
        <f t="shared" si="5"/>
        <v>8999000</v>
      </c>
      <c r="N52" s="67">
        <f t="shared" si="2"/>
        <v>1000</v>
      </c>
      <c r="O52" s="111" t="s">
        <v>303</v>
      </c>
      <c r="P52" s="111">
        <v>1</v>
      </c>
      <c r="Q52" s="70"/>
      <c r="R52" s="23"/>
      <c r="S52" s="23">
        <f t="shared" si="6"/>
        <v>450000</v>
      </c>
      <c r="T52" s="23">
        <f t="shared" si="7"/>
        <v>-449000</v>
      </c>
      <c r="U52" s="23">
        <f t="shared" si="8"/>
        <v>0</v>
      </c>
      <c r="V52" s="10">
        <f t="shared" si="9"/>
        <v>1800000</v>
      </c>
      <c r="W52" s="10">
        <f t="shared" si="10"/>
        <v>0</v>
      </c>
      <c r="X52" s="191">
        <f t="shared" si="11"/>
        <v>0</v>
      </c>
    </row>
    <row r="53" spans="1:25" s="9" customFormat="1" ht="13.5" customHeight="1" x14ac:dyDescent="0.2">
      <c r="A53" s="64">
        <v>49</v>
      </c>
      <c r="B53" s="65" t="s">
        <v>304</v>
      </c>
      <c r="C53" s="163" t="s">
        <v>302</v>
      </c>
      <c r="D53" s="67">
        <v>1450000</v>
      </c>
      <c r="E53" s="67"/>
      <c r="F53" s="67">
        <f t="shared" si="4"/>
        <v>1450000</v>
      </c>
      <c r="G53" s="110">
        <v>1449000</v>
      </c>
      <c r="H53" s="67">
        <f t="shared" si="1"/>
        <v>1000</v>
      </c>
      <c r="I53" s="68">
        <v>5</v>
      </c>
      <c r="J53" s="68">
        <v>0.2</v>
      </c>
      <c r="K53" s="68">
        <v>0</v>
      </c>
      <c r="L53" s="110">
        <f t="shared" si="12"/>
        <v>0</v>
      </c>
      <c r="M53" s="110">
        <f t="shared" si="5"/>
        <v>1449000</v>
      </c>
      <c r="N53" s="67">
        <f t="shared" si="2"/>
        <v>1000</v>
      </c>
      <c r="O53" s="111" t="s">
        <v>221</v>
      </c>
      <c r="P53" s="111">
        <v>1</v>
      </c>
      <c r="Q53" s="70"/>
      <c r="R53" s="23"/>
      <c r="S53" s="23">
        <f t="shared" si="6"/>
        <v>72500</v>
      </c>
      <c r="T53" s="23">
        <f t="shared" si="7"/>
        <v>-71500</v>
      </c>
      <c r="U53" s="23">
        <f t="shared" si="8"/>
        <v>0</v>
      </c>
      <c r="V53" s="10">
        <f t="shared" si="9"/>
        <v>290000</v>
      </c>
      <c r="W53" s="10">
        <f t="shared" si="10"/>
        <v>0</v>
      </c>
      <c r="X53" s="191">
        <f t="shared" si="11"/>
        <v>0</v>
      </c>
    </row>
    <row r="54" spans="1:25" s="190" customFormat="1" ht="13.5" customHeight="1" x14ac:dyDescent="0.2">
      <c r="A54" s="64">
        <v>50</v>
      </c>
      <c r="B54" s="182" t="s">
        <v>202</v>
      </c>
      <c r="C54" s="183" t="s">
        <v>305</v>
      </c>
      <c r="D54" s="184">
        <v>9300000</v>
      </c>
      <c r="E54" s="184"/>
      <c r="F54" s="184">
        <f t="shared" si="4"/>
        <v>9300000</v>
      </c>
      <c r="G54" s="185">
        <v>9299000</v>
      </c>
      <c r="H54" s="184">
        <f t="shared" si="1"/>
        <v>1000</v>
      </c>
      <c r="I54" s="186">
        <v>5</v>
      </c>
      <c r="J54" s="186">
        <v>0.2</v>
      </c>
      <c r="K54" s="186">
        <v>0</v>
      </c>
      <c r="L54" s="185">
        <f t="shared" si="12"/>
        <v>0</v>
      </c>
      <c r="M54" s="185">
        <f t="shared" si="5"/>
        <v>9299000</v>
      </c>
      <c r="N54" s="184">
        <f t="shared" si="2"/>
        <v>1000</v>
      </c>
      <c r="O54" s="187" t="s">
        <v>306</v>
      </c>
      <c r="P54" s="187">
        <v>1</v>
      </c>
      <c r="Q54" s="188"/>
      <c r="R54" s="189"/>
      <c r="S54" s="23">
        <f t="shared" si="6"/>
        <v>465000</v>
      </c>
      <c r="T54" s="23">
        <f t="shared" si="7"/>
        <v>-464000</v>
      </c>
      <c r="U54" s="23">
        <f t="shared" si="8"/>
        <v>0</v>
      </c>
      <c r="V54" s="10">
        <f t="shared" si="9"/>
        <v>1860000</v>
      </c>
      <c r="W54" s="10">
        <f t="shared" si="10"/>
        <v>0</v>
      </c>
      <c r="X54" s="191">
        <f t="shared" si="11"/>
        <v>0</v>
      </c>
    </row>
    <row r="55" spans="1:25" s="9" customFormat="1" ht="13.5" customHeight="1" x14ac:dyDescent="0.2">
      <c r="A55" s="64">
        <v>51</v>
      </c>
      <c r="B55" s="65" t="s">
        <v>299</v>
      </c>
      <c r="C55" s="163" t="s">
        <v>307</v>
      </c>
      <c r="D55" s="67">
        <v>3000000</v>
      </c>
      <c r="E55" s="67"/>
      <c r="F55" s="67">
        <f t="shared" si="4"/>
        <v>3000000</v>
      </c>
      <c r="G55" s="110">
        <v>2999000</v>
      </c>
      <c r="H55" s="67">
        <f t="shared" si="1"/>
        <v>1000</v>
      </c>
      <c r="I55" s="68">
        <v>5</v>
      </c>
      <c r="J55" s="68">
        <v>0.2</v>
      </c>
      <c r="K55" s="68">
        <v>0</v>
      </c>
      <c r="L55" s="110">
        <f t="shared" si="12"/>
        <v>0</v>
      </c>
      <c r="M55" s="110">
        <f t="shared" si="5"/>
        <v>2999000</v>
      </c>
      <c r="N55" s="67">
        <f t="shared" si="2"/>
        <v>1000</v>
      </c>
      <c r="O55" s="111" t="s">
        <v>273</v>
      </c>
      <c r="P55" s="111">
        <v>1</v>
      </c>
      <c r="Q55" s="70"/>
      <c r="R55" s="23"/>
      <c r="S55" s="23">
        <f t="shared" si="6"/>
        <v>150000</v>
      </c>
      <c r="T55" s="23">
        <f t="shared" si="7"/>
        <v>-149000</v>
      </c>
      <c r="U55" s="23">
        <f t="shared" si="8"/>
        <v>0</v>
      </c>
      <c r="V55" s="10">
        <f t="shared" si="9"/>
        <v>600000</v>
      </c>
      <c r="W55" s="10">
        <f t="shared" si="10"/>
        <v>0</v>
      </c>
      <c r="X55" s="191">
        <f t="shared" si="11"/>
        <v>0</v>
      </c>
    </row>
    <row r="56" spans="1:25" s="9" customFormat="1" ht="13.5" customHeight="1" x14ac:dyDescent="0.2">
      <c r="A56" s="64">
        <v>52</v>
      </c>
      <c r="B56" s="65" t="s">
        <v>207</v>
      </c>
      <c r="C56" s="163" t="s">
        <v>308</v>
      </c>
      <c r="D56" s="67">
        <v>16000000</v>
      </c>
      <c r="E56" s="67"/>
      <c r="F56" s="67">
        <f t="shared" si="4"/>
        <v>16000000</v>
      </c>
      <c r="G56" s="110">
        <v>15999000</v>
      </c>
      <c r="H56" s="67">
        <f t="shared" si="1"/>
        <v>1000</v>
      </c>
      <c r="I56" s="68">
        <v>5</v>
      </c>
      <c r="J56" s="68">
        <v>0.2</v>
      </c>
      <c r="K56" s="68">
        <v>0</v>
      </c>
      <c r="L56" s="110">
        <f t="shared" si="12"/>
        <v>0</v>
      </c>
      <c r="M56" s="110">
        <f t="shared" si="5"/>
        <v>15999000</v>
      </c>
      <c r="N56" s="67">
        <f t="shared" si="2"/>
        <v>1000</v>
      </c>
      <c r="O56" s="111" t="s">
        <v>309</v>
      </c>
      <c r="P56" s="111">
        <v>1</v>
      </c>
      <c r="Q56" s="70"/>
      <c r="R56" s="23"/>
      <c r="S56" s="23">
        <f t="shared" si="6"/>
        <v>800000</v>
      </c>
      <c r="T56" s="23">
        <f t="shared" si="7"/>
        <v>-799000</v>
      </c>
      <c r="U56" s="23">
        <f t="shared" si="8"/>
        <v>0</v>
      </c>
      <c r="V56" s="10">
        <f t="shared" si="9"/>
        <v>3200000</v>
      </c>
      <c r="W56" s="10">
        <f t="shared" si="10"/>
        <v>0</v>
      </c>
      <c r="X56" s="191">
        <f t="shared" si="11"/>
        <v>0</v>
      </c>
    </row>
    <row r="57" spans="1:25" s="9" customFormat="1" ht="13.5" customHeight="1" x14ac:dyDescent="0.2">
      <c r="A57" s="64">
        <v>53</v>
      </c>
      <c r="B57" s="65" t="s">
        <v>310</v>
      </c>
      <c r="C57" s="163" t="s">
        <v>311</v>
      </c>
      <c r="D57" s="67">
        <v>11000000</v>
      </c>
      <c r="E57" s="67"/>
      <c r="F57" s="67">
        <f t="shared" si="4"/>
        <v>11000000</v>
      </c>
      <c r="G57" s="110">
        <v>10999000</v>
      </c>
      <c r="H57" s="67">
        <f t="shared" si="1"/>
        <v>1000</v>
      </c>
      <c r="I57" s="68">
        <v>5</v>
      </c>
      <c r="J57" s="68">
        <v>0.2</v>
      </c>
      <c r="K57" s="68">
        <v>0</v>
      </c>
      <c r="L57" s="110">
        <f t="shared" si="12"/>
        <v>0</v>
      </c>
      <c r="M57" s="110">
        <f t="shared" si="5"/>
        <v>10999000</v>
      </c>
      <c r="N57" s="67">
        <f t="shared" si="2"/>
        <v>1000</v>
      </c>
      <c r="O57" s="111" t="s">
        <v>312</v>
      </c>
      <c r="P57" s="111">
        <v>1</v>
      </c>
      <c r="Q57" s="70"/>
      <c r="R57" s="23"/>
      <c r="S57" s="23">
        <f t="shared" si="6"/>
        <v>550000</v>
      </c>
      <c r="T57" s="23">
        <f t="shared" si="7"/>
        <v>-549000</v>
      </c>
      <c r="U57" s="23">
        <f t="shared" si="8"/>
        <v>0</v>
      </c>
      <c r="V57" s="10">
        <f t="shared" si="9"/>
        <v>2200000</v>
      </c>
      <c r="W57" s="10">
        <f t="shared" si="10"/>
        <v>0</v>
      </c>
      <c r="X57" s="191">
        <f t="shared" si="11"/>
        <v>0</v>
      </c>
    </row>
    <row r="58" spans="1:25" s="190" customFormat="1" ht="13.5" customHeight="1" x14ac:dyDescent="0.2">
      <c r="A58" s="64">
        <v>54</v>
      </c>
      <c r="B58" s="182" t="s">
        <v>313</v>
      </c>
      <c r="C58" s="183" t="s">
        <v>314</v>
      </c>
      <c r="D58" s="184">
        <v>5000000</v>
      </c>
      <c r="E58" s="184"/>
      <c r="F58" s="184">
        <f t="shared" si="4"/>
        <v>5000000</v>
      </c>
      <c r="G58" s="185">
        <v>4999000</v>
      </c>
      <c r="H58" s="184">
        <f t="shared" si="1"/>
        <v>1000</v>
      </c>
      <c r="I58" s="186">
        <v>5</v>
      </c>
      <c r="J58" s="186">
        <v>0.2</v>
      </c>
      <c r="K58" s="186">
        <v>0</v>
      </c>
      <c r="L58" s="185">
        <f t="shared" si="12"/>
        <v>0</v>
      </c>
      <c r="M58" s="185">
        <f t="shared" si="5"/>
        <v>4999000</v>
      </c>
      <c r="N58" s="184">
        <f t="shared" si="2"/>
        <v>1000</v>
      </c>
      <c r="O58" s="187" t="s">
        <v>315</v>
      </c>
      <c r="P58" s="187">
        <v>1</v>
      </c>
      <c r="Q58" s="188"/>
      <c r="R58" s="189"/>
      <c r="S58" s="23">
        <f t="shared" si="6"/>
        <v>250000</v>
      </c>
      <c r="T58" s="23">
        <f t="shared" si="7"/>
        <v>-249000</v>
      </c>
      <c r="U58" s="23">
        <f t="shared" si="8"/>
        <v>0</v>
      </c>
      <c r="V58" s="10">
        <f t="shared" si="9"/>
        <v>1000000</v>
      </c>
      <c r="W58" s="10">
        <f t="shared" si="10"/>
        <v>0</v>
      </c>
      <c r="X58" s="191">
        <f t="shared" si="11"/>
        <v>0</v>
      </c>
    </row>
    <row r="59" spans="1:25" s="9" customFormat="1" ht="13.5" customHeight="1" x14ac:dyDescent="0.2">
      <c r="A59" s="192">
        <v>55</v>
      </c>
      <c r="B59" s="193" t="s">
        <v>316</v>
      </c>
      <c r="C59" s="194">
        <v>39034</v>
      </c>
      <c r="D59" s="195">
        <v>0</v>
      </c>
      <c r="E59" s="195"/>
      <c r="F59" s="195">
        <f t="shared" si="4"/>
        <v>0</v>
      </c>
      <c r="G59" s="196"/>
      <c r="H59" s="195">
        <f t="shared" si="1"/>
        <v>0</v>
      </c>
      <c r="I59" s="197">
        <v>5</v>
      </c>
      <c r="J59" s="197">
        <v>0.2</v>
      </c>
      <c r="K59" s="197">
        <v>0</v>
      </c>
      <c r="L59" s="196"/>
      <c r="M59" s="196"/>
      <c r="N59" s="195"/>
      <c r="O59" s="198" t="s">
        <v>317</v>
      </c>
      <c r="P59" s="198">
        <v>1</v>
      </c>
      <c r="Q59" s="199"/>
      <c r="R59" s="200"/>
      <c r="S59" s="200">
        <f t="shared" si="6"/>
        <v>0</v>
      </c>
      <c r="T59" s="200">
        <f t="shared" si="7"/>
        <v>0</v>
      </c>
      <c r="U59" s="200"/>
      <c r="V59" s="201">
        <f t="shared" si="9"/>
        <v>0</v>
      </c>
      <c r="W59" s="10">
        <f t="shared" si="10"/>
        <v>0</v>
      </c>
      <c r="X59" s="10">
        <f t="shared" si="11"/>
        <v>0</v>
      </c>
    </row>
    <row r="60" spans="1:25" s="9" customFormat="1" ht="13.5" customHeight="1" x14ac:dyDescent="0.2">
      <c r="A60" s="64">
        <v>56</v>
      </c>
      <c r="B60" s="202" t="s">
        <v>318</v>
      </c>
      <c r="C60" s="183">
        <v>39077</v>
      </c>
      <c r="D60" s="184">
        <v>21000000</v>
      </c>
      <c r="E60" s="184"/>
      <c r="F60" s="184">
        <f t="shared" si="4"/>
        <v>21000000</v>
      </c>
      <c r="G60" s="185">
        <v>20999000</v>
      </c>
      <c r="H60" s="184">
        <f t="shared" si="1"/>
        <v>1000</v>
      </c>
      <c r="I60" s="186">
        <v>5</v>
      </c>
      <c r="J60" s="186">
        <v>0.2</v>
      </c>
      <c r="K60" s="186">
        <v>0</v>
      </c>
      <c r="L60" s="185">
        <f>ROUND(IF(F60*J60*K60/12&gt;=H60,H60-1000,F60*J60*K60/12),0)</f>
        <v>0</v>
      </c>
      <c r="M60" s="185">
        <f>+G60+L60</f>
        <v>20999000</v>
      </c>
      <c r="N60" s="184">
        <f t="shared" ref="N60:N123" si="13">+F60-M60</f>
        <v>1000</v>
      </c>
      <c r="O60" s="187" t="s">
        <v>319</v>
      </c>
      <c r="P60" s="187">
        <v>1</v>
      </c>
      <c r="Q60" s="203" t="s">
        <v>320</v>
      </c>
      <c r="R60" s="23"/>
      <c r="S60" s="23">
        <f t="shared" si="6"/>
        <v>1050000</v>
      </c>
      <c r="T60" s="23">
        <f t="shared" si="7"/>
        <v>-1049000</v>
      </c>
      <c r="U60" s="23"/>
      <c r="V60" s="10">
        <f t="shared" si="9"/>
        <v>4200000</v>
      </c>
      <c r="W60" s="10">
        <f t="shared" si="10"/>
        <v>0</v>
      </c>
      <c r="X60" s="10">
        <f t="shared" si="11"/>
        <v>0</v>
      </c>
    </row>
    <row r="61" spans="1:25" s="9" customFormat="1" ht="13.5" customHeight="1" x14ac:dyDescent="0.2">
      <c r="A61" s="64">
        <v>57</v>
      </c>
      <c r="B61" s="204" t="s">
        <v>321</v>
      </c>
      <c r="C61" s="163">
        <v>39133</v>
      </c>
      <c r="D61" s="67">
        <v>5000000</v>
      </c>
      <c r="E61" s="67"/>
      <c r="F61" s="67">
        <f t="shared" si="4"/>
        <v>5000000</v>
      </c>
      <c r="G61" s="110">
        <v>4999000</v>
      </c>
      <c r="H61" s="67">
        <f t="shared" si="1"/>
        <v>1000</v>
      </c>
      <c r="I61" s="68">
        <v>5</v>
      </c>
      <c r="J61" s="68">
        <v>0.2</v>
      </c>
      <c r="K61" s="68">
        <v>0</v>
      </c>
      <c r="L61" s="110">
        <f>ROUND(IF(F61*J61*K61/12&gt;=H61,H61-1000,F61*J61*K61/12),0)</f>
        <v>0</v>
      </c>
      <c r="M61" s="110">
        <f>+G61+L61</f>
        <v>4999000</v>
      </c>
      <c r="N61" s="67">
        <f t="shared" si="13"/>
        <v>1000</v>
      </c>
      <c r="O61" s="111" t="s">
        <v>322</v>
      </c>
      <c r="P61" s="111">
        <v>1</v>
      </c>
      <c r="Q61" s="70"/>
      <c r="R61" s="23"/>
      <c r="S61" s="23">
        <f t="shared" si="6"/>
        <v>250000</v>
      </c>
      <c r="T61" s="23">
        <f t="shared" si="7"/>
        <v>-249000</v>
      </c>
      <c r="U61" s="23">
        <f>N61-1000</f>
        <v>0</v>
      </c>
      <c r="V61" s="10">
        <f t="shared" si="9"/>
        <v>1000000</v>
      </c>
      <c r="W61" s="10">
        <f>ROUND(IF(H61&lt;=1000,0,V61/12*6),0)</f>
        <v>0</v>
      </c>
      <c r="X61" s="10">
        <f t="shared" si="11"/>
        <v>0</v>
      </c>
      <c r="Y61" s="9" t="s">
        <v>323</v>
      </c>
    </row>
    <row r="62" spans="1:25" s="9" customFormat="1" ht="13.5" customHeight="1" x14ac:dyDescent="0.2">
      <c r="A62" s="754">
        <v>58</v>
      </c>
      <c r="B62" s="773" t="s">
        <v>324</v>
      </c>
      <c r="C62" s="756">
        <v>39136</v>
      </c>
      <c r="D62" s="757">
        <v>0</v>
      </c>
      <c r="E62" s="757"/>
      <c r="F62" s="757">
        <f t="shared" si="4"/>
        <v>0</v>
      </c>
      <c r="G62" s="758"/>
      <c r="H62" s="757"/>
      <c r="I62" s="759">
        <v>5</v>
      </c>
      <c r="J62" s="759">
        <v>0.2</v>
      </c>
      <c r="K62" s="759">
        <v>0</v>
      </c>
      <c r="L62" s="758"/>
      <c r="M62" s="758"/>
      <c r="N62" s="757"/>
      <c r="O62" s="760" t="s">
        <v>325</v>
      </c>
      <c r="P62" s="760">
        <v>1</v>
      </c>
      <c r="Q62" s="771" t="s">
        <v>2942</v>
      </c>
      <c r="R62" s="23"/>
      <c r="S62" s="23">
        <f t="shared" si="6"/>
        <v>0</v>
      </c>
      <c r="T62" s="23">
        <f t="shared" si="7"/>
        <v>0</v>
      </c>
      <c r="U62" s="23">
        <f>N62-1000</f>
        <v>-1000</v>
      </c>
      <c r="V62" s="10">
        <f t="shared" si="9"/>
        <v>0</v>
      </c>
      <c r="W62" s="10">
        <f>ROUND(IF(H62&lt;=1000,0,V62/12*6),0)</f>
        <v>0</v>
      </c>
      <c r="X62" s="10">
        <f t="shared" si="11"/>
        <v>0</v>
      </c>
      <c r="Y62" s="9" t="s">
        <v>323</v>
      </c>
    </row>
    <row r="63" spans="1:25" s="9" customFormat="1" ht="13.5" customHeight="1" x14ac:dyDescent="0.2">
      <c r="A63" s="64">
        <v>59</v>
      </c>
      <c r="B63" s="204" t="s">
        <v>326</v>
      </c>
      <c r="C63" s="163">
        <v>39153</v>
      </c>
      <c r="D63" s="67">
        <v>20500000</v>
      </c>
      <c r="E63" s="67"/>
      <c r="F63" s="67">
        <f t="shared" si="4"/>
        <v>20500000</v>
      </c>
      <c r="G63" s="110">
        <v>20499000</v>
      </c>
      <c r="H63" s="67">
        <f t="shared" si="1"/>
        <v>1000</v>
      </c>
      <c r="I63" s="68">
        <v>5</v>
      </c>
      <c r="J63" s="68">
        <v>0.2</v>
      </c>
      <c r="K63" s="68">
        <v>0</v>
      </c>
      <c r="L63" s="110">
        <f>ROUND(IF(F63*J63*K63/12&gt;=H63,H63-1000,F63*J63*K63/12),0)</f>
        <v>0</v>
      </c>
      <c r="M63" s="110">
        <f>+G63+L63</f>
        <v>20499000</v>
      </c>
      <c r="N63" s="67">
        <f t="shared" si="13"/>
        <v>1000</v>
      </c>
      <c r="O63" s="111" t="s">
        <v>327</v>
      </c>
      <c r="P63" s="111">
        <v>1</v>
      </c>
      <c r="Q63" s="70"/>
      <c r="R63" s="23"/>
      <c r="S63" s="23">
        <f t="shared" si="6"/>
        <v>1025000</v>
      </c>
      <c r="T63" s="23">
        <f t="shared" si="7"/>
        <v>-1024000</v>
      </c>
      <c r="U63" s="23">
        <f>N63-1000</f>
        <v>0</v>
      </c>
      <c r="V63" s="10">
        <f t="shared" si="9"/>
        <v>4100000</v>
      </c>
      <c r="W63" s="10">
        <f>ROUND(IF(H63&lt;=1000,0,V63/12*6),0)</f>
        <v>0</v>
      </c>
      <c r="X63" s="10">
        <f t="shared" si="11"/>
        <v>0</v>
      </c>
      <c r="Y63" s="9" t="s">
        <v>328</v>
      </c>
    </row>
    <row r="64" spans="1:25" s="174" customFormat="1" ht="13.5" customHeight="1" x14ac:dyDescent="0.2">
      <c r="A64" s="164">
        <v>60</v>
      </c>
      <c r="B64" s="205" t="s">
        <v>329</v>
      </c>
      <c r="C64" s="166">
        <v>39164</v>
      </c>
      <c r="D64" s="167">
        <v>0</v>
      </c>
      <c r="E64" s="167"/>
      <c r="F64" s="167">
        <f t="shared" si="4"/>
        <v>0</v>
      </c>
      <c r="G64" s="168"/>
      <c r="H64" s="167">
        <f t="shared" si="1"/>
        <v>0</v>
      </c>
      <c r="I64" s="169">
        <v>5</v>
      </c>
      <c r="J64" s="169">
        <v>0.2</v>
      </c>
      <c r="K64" s="169">
        <v>0</v>
      </c>
      <c r="L64" s="168"/>
      <c r="M64" s="168"/>
      <c r="N64" s="167">
        <f t="shared" si="13"/>
        <v>0</v>
      </c>
      <c r="O64" s="176" t="s">
        <v>330</v>
      </c>
      <c r="P64" s="176">
        <v>1</v>
      </c>
      <c r="Q64" s="171" t="s">
        <v>331</v>
      </c>
      <c r="R64" s="172"/>
      <c r="S64" s="172"/>
      <c r="T64" s="172"/>
      <c r="U64" s="172"/>
      <c r="V64" s="173"/>
      <c r="W64" s="173"/>
      <c r="X64" s="173">
        <f t="shared" si="11"/>
        <v>0</v>
      </c>
      <c r="Y64" s="174" t="s">
        <v>323</v>
      </c>
    </row>
    <row r="65" spans="1:24" s="9" customFormat="1" ht="13.5" customHeight="1" x14ac:dyDescent="0.2">
      <c r="A65" s="754">
        <v>61</v>
      </c>
      <c r="B65" s="755" t="s">
        <v>332</v>
      </c>
      <c r="C65" s="756">
        <v>39264</v>
      </c>
      <c r="D65" s="757">
        <v>0</v>
      </c>
      <c r="E65" s="757"/>
      <c r="F65" s="757">
        <f t="shared" si="4"/>
        <v>0</v>
      </c>
      <c r="G65" s="758"/>
      <c r="H65" s="757"/>
      <c r="I65" s="759">
        <v>5</v>
      </c>
      <c r="J65" s="759">
        <v>0.2</v>
      </c>
      <c r="K65" s="759">
        <v>0</v>
      </c>
      <c r="L65" s="758"/>
      <c r="M65" s="758"/>
      <c r="N65" s="757"/>
      <c r="O65" s="760" t="s">
        <v>333</v>
      </c>
      <c r="P65" s="760">
        <v>1</v>
      </c>
      <c r="Q65" s="771" t="s">
        <v>2942</v>
      </c>
      <c r="R65" s="23"/>
      <c r="S65" s="23">
        <f t="shared" ref="S65:S100" si="14">D65*0.05</f>
        <v>0</v>
      </c>
      <c r="T65" s="23">
        <f t="shared" ref="T65:T100" si="15">N65-S65</f>
        <v>0</v>
      </c>
      <c r="U65" s="23">
        <f t="shared" ref="U65:U100" si="16">N65-1000</f>
        <v>-1000</v>
      </c>
      <c r="V65" s="10">
        <f t="shared" ref="V65:V100" si="17">F65/I65</f>
        <v>0</v>
      </c>
      <c r="W65" s="10">
        <f t="shared" ref="W65:W80" si="18">ROUND(IF(H65&lt;=1000,0,V65/12*3),0)</f>
        <v>0</v>
      </c>
      <c r="X65" s="10">
        <f t="shared" si="11"/>
        <v>0</v>
      </c>
    </row>
    <row r="66" spans="1:24" s="9" customFormat="1" ht="13.5" customHeight="1" x14ac:dyDescent="0.2">
      <c r="A66" s="64">
        <v>62</v>
      </c>
      <c r="B66" s="206" t="s">
        <v>334</v>
      </c>
      <c r="C66" s="163">
        <v>39268</v>
      </c>
      <c r="D66" s="67">
        <v>15000000</v>
      </c>
      <c r="E66" s="67"/>
      <c r="F66" s="67">
        <f t="shared" si="4"/>
        <v>15000000</v>
      </c>
      <c r="G66" s="110">
        <v>14999000</v>
      </c>
      <c r="H66" s="67">
        <f t="shared" si="1"/>
        <v>1000</v>
      </c>
      <c r="I66" s="68">
        <v>5</v>
      </c>
      <c r="J66" s="68">
        <v>0.2</v>
      </c>
      <c r="K66" s="68">
        <v>0</v>
      </c>
      <c r="L66" s="110">
        <f t="shared" ref="L66:L100" si="19">ROUND(IF(F66*J66*K66/12&gt;=H66,H66-1000,F66*J66*K66/12),0)</f>
        <v>0</v>
      </c>
      <c r="M66" s="110">
        <f t="shared" ref="M66:M100" si="20">+G66+L66</f>
        <v>14999000</v>
      </c>
      <c r="N66" s="67">
        <f t="shared" si="13"/>
        <v>1000</v>
      </c>
      <c r="O66" s="111" t="s">
        <v>335</v>
      </c>
      <c r="P66" s="111">
        <v>1</v>
      </c>
      <c r="Q66" s="70"/>
      <c r="R66" s="23"/>
      <c r="S66" s="23">
        <f t="shared" si="14"/>
        <v>750000</v>
      </c>
      <c r="T66" s="23">
        <f t="shared" si="15"/>
        <v>-749000</v>
      </c>
      <c r="U66" s="23">
        <f t="shared" si="16"/>
        <v>0</v>
      </c>
      <c r="V66" s="10">
        <f t="shared" si="17"/>
        <v>3000000</v>
      </c>
      <c r="W66" s="10">
        <f t="shared" si="18"/>
        <v>0</v>
      </c>
      <c r="X66" s="10">
        <f t="shared" si="11"/>
        <v>0</v>
      </c>
    </row>
    <row r="67" spans="1:24" s="9" customFormat="1" ht="13.5" customHeight="1" x14ac:dyDescent="0.2">
      <c r="A67" s="64">
        <v>63</v>
      </c>
      <c r="B67" s="206" t="s">
        <v>336</v>
      </c>
      <c r="C67" s="163">
        <v>39314</v>
      </c>
      <c r="D67" s="67">
        <v>10200000</v>
      </c>
      <c r="E67" s="67"/>
      <c r="F67" s="67">
        <f t="shared" si="4"/>
        <v>10200000</v>
      </c>
      <c r="G67" s="110">
        <v>10199000</v>
      </c>
      <c r="H67" s="67">
        <f t="shared" si="1"/>
        <v>1000</v>
      </c>
      <c r="I67" s="68">
        <v>5</v>
      </c>
      <c r="J67" s="68">
        <v>0.2</v>
      </c>
      <c r="K67" s="68">
        <v>0</v>
      </c>
      <c r="L67" s="110">
        <f t="shared" si="19"/>
        <v>0</v>
      </c>
      <c r="M67" s="110">
        <f t="shared" si="20"/>
        <v>10199000</v>
      </c>
      <c r="N67" s="67">
        <f t="shared" si="13"/>
        <v>1000</v>
      </c>
      <c r="O67" s="111" t="s">
        <v>337</v>
      </c>
      <c r="P67" s="111">
        <v>1</v>
      </c>
      <c r="Q67" s="70"/>
      <c r="R67" s="23"/>
      <c r="S67" s="23">
        <f t="shared" si="14"/>
        <v>510000</v>
      </c>
      <c r="T67" s="23">
        <f t="shared" si="15"/>
        <v>-509000</v>
      </c>
      <c r="U67" s="23">
        <f t="shared" si="16"/>
        <v>0</v>
      </c>
      <c r="V67" s="10">
        <f t="shared" si="17"/>
        <v>2040000</v>
      </c>
      <c r="W67" s="10">
        <f t="shared" si="18"/>
        <v>0</v>
      </c>
      <c r="X67" s="10">
        <f t="shared" si="11"/>
        <v>0</v>
      </c>
    </row>
    <row r="68" spans="1:24" s="9" customFormat="1" ht="13.5" customHeight="1" x14ac:dyDescent="0.2">
      <c r="A68" s="64">
        <v>64</v>
      </c>
      <c r="B68" s="207" t="s">
        <v>338</v>
      </c>
      <c r="C68" s="208">
        <v>39321</v>
      </c>
      <c r="D68" s="91">
        <v>26000000</v>
      </c>
      <c r="E68" s="91"/>
      <c r="F68" s="91">
        <f t="shared" si="4"/>
        <v>26000000</v>
      </c>
      <c r="G68" s="121">
        <v>25999000</v>
      </c>
      <c r="H68" s="91">
        <f t="shared" si="1"/>
        <v>1000</v>
      </c>
      <c r="I68" s="68">
        <v>5</v>
      </c>
      <c r="J68" s="68">
        <v>0.2</v>
      </c>
      <c r="K68" s="68">
        <v>0</v>
      </c>
      <c r="L68" s="110">
        <f t="shared" si="19"/>
        <v>0</v>
      </c>
      <c r="M68" s="110">
        <f t="shared" si="20"/>
        <v>25999000</v>
      </c>
      <c r="N68" s="67">
        <f t="shared" si="13"/>
        <v>1000</v>
      </c>
      <c r="O68" s="122" t="s">
        <v>339</v>
      </c>
      <c r="P68" s="122">
        <v>2</v>
      </c>
      <c r="Q68" s="94"/>
      <c r="R68" s="23"/>
      <c r="S68" s="23">
        <f t="shared" si="14"/>
        <v>1300000</v>
      </c>
      <c r="T68" s="23">
        <f t="shared" si="15"/>
        <v>-1299000</v>
      </c>
      <c r="U68" s="23">
        <f t="shared" si="16"/>
        <v>0</v>
      </c>
      <c r="V68" s="10">
        <f t="shared" si="17"/>
        <v>5200000</v>
      </c>
      <c r="W68" s="10">
        <f t="shared" si="18"/>
        <v>0</v>
      </c>
      <c r="X68" s="10">
        <f t="shared" si="11"/>
        <v>0</v>
      </c>
    </row>
    <row r="69" spans="1:24" s="9" customFormat="1" ht="13.5" customHeight="1" x14ac:dyDescent="0.2">
      <c r="A69" s="64">
        <v>65</v>
      </c>
      <c r="B69" s="206" t="s">
        <v>340</v>
      </c>
      <c r="C69" s="163">
        <v>39325</v>
      </c>
      <c r="D69" s="67">
        <v>3100000</v>
      </c>
      <c r="E69" s="67"/>
      <c r="F69" s="67">
        <f t="shared" si="4"/>
        <v>3100000</v>
      </c>
      <c r="G69" s="110">
        <v>3099000</v>
      </c>
      <c r="H69" s="67">
        <f t="shared" ref="H69:H132" si="21">+F69-G69</f>
        <v>1000</v>
      </c>
      <c r="I69" s="68">
        <v>5</v>
      </c>
      <c r="J69" s="68">
        <v>0.2</v>
      </c>
      <c r="K69" s="68">
        <v>0</v>
      </c>
      <c r="L69" s="110">
        <f t="shared" si="19"/>
        <v>0</v>
      </c>
      <c r="M69" s="110">
        <f t="shared" si="20"/>
        <v>3099000</v>
      </c>
      <c r="N69" s="67">
        <f t="shared" si="13"/>
        <v>1000</v>
      </c>
      <c r="O69" s="111" t="s">
        <v>341</v>
      </c>
      <c r="P69" s="111">
        <v>1</v>
      </c>
      <c r="Q69" s="70"/>
      <c r="R69" s="23"/>
      <c r="S69" s="23">
        <f t="shared" si="14"/>
        <v>155000</v>
      </c>
      <c r="T69" s="23">
        <f t="shared" si="15"/>
        <v>-154000</v>
      </c>
      <c r="U69" s="23">
        <f t="shared" si="16"/>
        <v>0</v>
      </c>
      <c r="V69" s="10">
        <f t="shared" si="17"/>
        <v>620000</v>
      </c>
      <c r="W69" s="10">
        <f t="shared" si="18"/>
        <v>0</v>
      </c>
      <c r="X69" s="10">
        <f t="shared" si="11"/>
        <v>0</v>
      </c>
    </row>
    <row r="70" spans="1:24" s="9" customFormat="1" ht="13.5" customHeight="1" x14ac:dyDescent="0.2">
      <c r="A70" s="64">
        <v>66</v>
      </c>
      <c r="B70" s="207" t="s">
        <v>329</v>
      </c>
      <c r="C70" s="208">
        <v>39345</v>
      </c>
      <c r="D70" s="91">
        <v>5000000</v>
      </c>
      <c r="E70" s="91"/>
      <c r="F70" s="91">
        <f t="shared" si="4"/>
        <v>5000000</v>
      </c>
      <c r="G70" s="121">
        <v>4999000</v>
      </c>
      <c r="H70" s="91">
        <f t="shared" si="21"/>
        <v>1000</v>
      </c>
      <c r="I70" s="74">
        <v>5</v>
      </c>
      <c r="J70" s="68">
        <v>0.2</v>
      </c>
      <c r="K70" s="68">
        <v>0</v>
      </c>
      <c r="L70" s="110">
        <f t="shared" si="19"/>
        <v>0</v>
      </c>
      <c r="M70" s="140">
        <f t="shared" si="20"/>
        <v>4999000</v>
      </c>
      <c r="N70" s="73">
        <f t="shared" si="13"/>
        <v>1000</v>
      </c>
      <c r="O70" s="209" t="s">
        <v>342</v>
      </c>
      <c r="P70" s="122">
        <v>1</v>
      </c>
      <c r="Q70" s="94"/>
      <c r="R70" s="23"/>
      <c r="S70" s="23">
        <f t="shared" si="14"/>
        <v>250000</v>
      </c>
      <c r="T70" s="23">
        <f t="shared" si="15"/>
        <v>-249000</v>
      </c>
      <c r="U70" s="23">
        <f t="shared" si="16"/>
        <v>0</v>
      </c>
      <c r="V70" s="10">
        <f t="shared" si="17"/>
        <v>1000000</v>
      </c>
      <c r="W70" s="10">
        <f t="shared" si="18"/>
        <v>0</v>
      </c>
      <c r="X70" s="10">
        <f t="shared" si="11"/>
        <v>0</v>
      </c>
    </row>
    <row r="71" spans="1:24" s="9" customFormat="1" ht="13.5" customHeight="1" x14ac:dyDescent="0.2">
      <c r="A71" s="64">
        <v>67</v>
      </c>
      <c r="B71" s="206" t="s">
        <v>343</v>
      </c>
      <c r="C71" s="163">
        <v>39380</v>
      </c>
      <c r="D71" s="67">
        <v>55000000</v>
      </c>
      <c r="E71" s="67"/>
      <c r="F71" s="67">
        <f t="shared" si="4"/>
        <v>55000000</v>
      </c>
      <c r="G71" s="110">
        <v>54999000</v>
      </c>
      <c r="H71" s="67">
        <f t="shared" si="21"/>
        <v>1000</v>
      </c>
      <c r="I71" s="74">
        <v>5</v>
      </c>
      <c r="J71" s="68">
        <v>0.2</v>
      </c>
      <c r="K71" s="68">
        <v>0</v>
      </c>
      <c r="L71" s="110">
        <f t="shared" si="19"/>
        <v>0</v>
      </c>
      <c r="M71" s="110">
        <f t="shared" si="20"/>
        <v>54999000</v>
      </c>
      <c r="N71" s="67">
        <f t="shared" si="13"/>
        <v>1000</v>
      </c>
      <c r="O71" s="111" t="s">
        <v>344</v>
      </c>
      <c r="P71" s="111">
        <v>1</v>
      </c>
      <c r="Q71" s="70"/>
      <c r="R71" s="23"/>
      <c r="S71" s="23">
        <f t="shared" si="14"/>
        <v>2750000</v>
      </c>
      <c r="T71" s="23">
        <f t="shared" si="15"/>
        <v>-2749000</v>
      </c>
      <c r="U71" s="23">
        <f t="shared" si="16"/>
        <v>0</v>
      </c>
      <c r="V71" s="10">
        <f t="shared" si="17"/>
        <v>11000000</v>
      </c>
      <c r="W71" s="10">
        <f t="shared" si="18"/>
        <v>0</v>
      </c>
      <c r="X71" s="10">
        <f t="shared" si="11"/>
        <v>0</v>
      </c>
    </row>
    <row r="72" spans="1:24" s="9" customFormat="1" ht="13.5" customHeight="1" x14ac:dyDescent="0.2">
      <c r="A72" s="64">
        <v>68</v>
      </c>
      <c r="B72" s="206" t="s">
        <v>345</v>
      </c>
      <c r="C72" s="163">
        <v>39380</v>
      </c>
      <c r="D72" s="67">
        <v>42800000</v>
      </c>
      <c r="E72" s="67"/>
      <c r="F72" s="67">
        <f t="shared" si="4"/>
        <v>42800000</v>
      </c>
      <c r="G72" s="110">
        <v>42799000</v>
      </c>
      <c r="H72" s="67">
        <f t="shared" si="21"/>
        <v>1000</v>
      </c>
      <c r="I72" s="74">
        <v>5</v>
      </c>
      <c r="J72" s="68">
        <v>0.2</v>
      </c>
      <c r="K72" s="68">
        <v>0</v>
      </c>
      <c r="L72" s="110">
        <f t="shared" si="19"/>
        <v>0</v>
      </c>
      <c r="M72" s="110">
        <f t="shared" si="20"/>
        <v>42799000</v>
      </c>
      <c r="N72" s="67">
        <f t="shared" si="13"/>
        <v>1000</v>
      </c>
      <c r="O72" s="111" t="s">
        <v>346</v>
      </c>
      <c r="P72" s="111">
        <v>1</v>
      </c>
      <c r="Q72" s="70"/>
      <c r="R72" s="23"/>
      <c r="S72" s="23">
        <f t="shared" si="14"/>
        <v>2140000</v>
      </c>
      <c r="T72" s="23">
        <f t="shared" si="15"/>
        <v>-2139000</v>
      </c>
      <c r="U72" s="23">
        <f t="shared" si="16"/>
        <v>0</v>
      </c>
      <c r="V72" s="10">
        <f t="shared" si="17"/>
        <v>8560000</v>
      </c>
      <c r="W72" s="10">
        <f t="shared" si="18"/>
        <v>0</v>
      </c>
      <c r="X72" s="10">
        <f t="shared" si="11"/>
        <v>0</v>
      </c>
    </row>
    <row r="73" spans="1:24" s="9" customFormat="1" ht="13.5" customHeight="1" x14ac:dyDescent="0.2">
      <c r="A73" s="64">
        <v>69</v>
      </c>
      <c r="B73" s="206" t="s">
        <v>299</v>
      </c>
      <c r="C73" s="163">
        <v>39386</v>
      </c>
      <c r="D73" s="67">
        <v>3300000</v>
      </c>
      <c r="E73" s="67"/>
      <c r="F73" s="67">
        <f t="shared" si="4"/>
        <v>3300000</v>
      </c>
      <c r="G73" s="110">
        <v>3299000</v>
      </c>
      <c r="H73" s="67">
        <f t="shared" si="21"/>
        <v>1000</v>
      </c>
      <c r="I73" s="74">
        <v>5</v>
      </c>
      <c r="J73" s="68">
        <v>0.2</v>
      </c>
      <c r="K73" s="68">
        <v>0</v>
      </c>
      <c r="L73" s="110">
        <f t="shared" si="19"/>
        <v>0</v>
      </c>
      <c r="M73" s="110">
        <f t="shared" si="20"/>
        <v>3299000</v>
      </c>
      <c r="N73" s="67">
        <f t="shared" si="13"/>
        <v>1000</v>
      </c>
      <c r="O73" s="111" t="s">
        <v>347</v>
      </c>
      <c r="P73" s="111">
        <v>1</v>
      </c>
      <c r="Q73" s="70"/>
      <c r="R73" s="23"/>
      <c r="S73" s="23">
        <f t="shared" si="14"/>
        <v>165000</v>
      </c>
      <c r="T73" s="23">
        <f t="shared" si="15"/>
        <v>-164000</v>
      </c>
      <c r="U73" s="23">
        <f t="shared" si="16"/>
        <v>0</v>
      </c>
      <c r="V73" s="10">
        <f t="shared" si="17"/>
        <v>660000</v>
      </c>
      <c r="W73" s="10">
        <f t="shared" si="18"/>
        <v>0</v>
      </c>
      <c r="X73" s="10">
        <f t="shared" si="11"/>
        <v>0</v>
      </c>
    </row>
    <row r="74" spans="1:24" s="9" customFormat="1" ht="13.5" customHeight="1" x14ac:dyDescent="0.2">
      <c r="A74" s="64">
        <v>70</v>
      </c>
      <c r="B74" s="206" t="s">
        <v>207</v>
      </c>
      <c r="C74" s="163">
        <v>39386</v>
      </c>
      <c r="D74" s="67">
        <v>15000000</v>
      </c>
      <c r="E74" s="67"/>
      <c r="F74" s="67">
        <f t="shared" si="4"/>
        <v>15000000</v>
      </c>
      <c r="G74" s="110">
        <v>14999000</v>
      </c>
      <c r="H74" s="67">
        <f t="shared" si="21"/>
        <v>1000</v>
      </c>
      <c r="I74" s="74">
        <v>5</v>
      </c>
      <c r="J74" s="68">
        <v>0.2</v>
      </c>
      <c r="K74" s="68">
        <v>0</v>
      </c>
      <c r="L74" s="110">
        <f t="shared" si="19"/>
        <v>0</v>
      </c>
      <c r="M74" s="110">
        <f t="shared" si="20"/>
        <v>14999000</v>
      </c>
      <c r="N74" s="67">
        <f t="shared" si="13"/>
        <v>1000</v>
      </c>
      <c r="O74" s="111" t="s">
        <v>348</v>
      </c>
      <c r="P74" s="111">
        <v>1</v>
      </c>
      <c r="Q74" s="70"/>
      <c r="R74" s="23"/>
      <c r="S74" s="23">
        <f t="shared" si="14"/>
        <v>750000</v>
      </c>
      <c r="T74" s="23">
        <f t="shared" si="15"/>
        <v>-749000</v>
      </c>
      <c r="U74" s="23">
        <f t="shared" si="16"/>
        <v>0</v>
      </c>
      <c r="V74" s="10">
        <f t="shared" si="17"/>
        <v>3000000</v>
      </c>
      <c r="W74" s="10">
        <f t="shared" si="18"/>
        <v>0</v>
      </c>
      <c r="X74" s="10">
        <f t="shared" si="11"/>
        <v>0</v>
      </c>
    </row>
    <row r="75" spans="1:24" s="9" customFormat="1" ht="13.5" customHeight="1" x14ac:dyDescent="0.2">
      <c r="A75" s="64">
        <v>71</v>
      </c>
      <c r="B75" s="206" t="s">
        <v>349</v>
      </c>
      <c r="C75" s="163">
        <v>39386</v>
      </c>
      <c r="D75" s="67">
        <v>2150000</v>
      </c>
      <c r="E75" s="67"/>
      <c r="F75" s="67">
        <f t="shared" si="4"/>
        <v>2150000</v>
      </c>
      <c r="G75" s="110">
        <v>2149000</v>
      </c>
      <c r="H75" s="67">
        <f t="shared" si="21"/>
        <v>1000</v>
      </c>
      <c r="I75" s="74">
        <v>5</v>
      </c>
      <c r="J75" s="68">
        <v>0.2</v>
      </c>
      <c r="K75" s="68">
        <v>0</v>
      </c>
      <c r="L75" s="110">
        <f t="shared" si="19"/>
        <v>0</v>
      </c>
      <c r="M75" s="110">
        <f t="shared" si="20"/>
        <v>2149000</v>
      </c>
      <c r="N75" s="67">
        <f t="shared" si="13"/>
        <v>1000</v>
      </c>
      <c r="O75" s="111" t="s">
        <v>350</v>
      </c>
      <c r="P75" s="111">
        <v>1</v>
      </c>
      <c r="Q75" s="70"/>
      <c r="R75" s="23"/>
      <c r="S75" s="23">
        <f t="shared" si="14"/>
        <v>107500</v>
      </c>
      <c r="T75" s="23">
        <f t="shared" si="15"/>
        <v>-106500</v>
      </c>
      <c r="U75" s="23">
        <f t="shared" si="16"/>
        <v>0</v>
      </c>
      <c r="V75" s="10">
        <f t="shared" si="17"/>
        <v>430000</v>
      </c>
      <c r="W75" s="10">
        <f t="shared" si="18"/>
        <v>0</v>
      </c>
      <c r="X75" s="10">
        <f t="shared" si="11"/>
        <v>0</v>
      </c>
    </row>
    <row r="76" spans="1:24" s="9" customFormat="1" ht="13.5" customHeight="1" x14ac:dyDescent="0.2">
      <c r="A76" s="64">
        <v>72</v>
      </c>
      <c r="B76" s="206" t="s">
        <v>351</v>
      </c>
      <c r="C76" s="163">
        <v>39394</v>
      </c>
      <c r="D76" s="67">
        <v>35000000</v>
      </c>
      <c r="E76" s="67"/>
      <c r="F76" s="67">
        <f t="shared" si="4"/>
        <v>35000000</v>
      </c>
      <c r="G76" s="110">
        <v>34999000</v>
      </c>
      <c r="H76" s="67">
        <f t="shared" si="21"/>
        <v>1000</v>
      </c>
      <c r="I76" s="74">
        <v>5</v>
      </c>
      <c r="J76" s="68">
        <v>0.2</v>
      </c>
      <c r="K76" s="68">
        <v>0</v>
      </c>
      <c r="L76" s="110">
        <f t="shared" si="19"/>
        <v>0</v>
      </c>
      <c r="M76" s="110">
        <f t="shared" si="20"/>
        <v>34999000</v>
      </c>
      <c r="N76" s="67">
        <f t="shared" si="13"/>
        <v>1000</v>
      </c>
      <c r="O76" s="111" t="s">
        <v>352</v>
      </c>
      <c r="P76" s="111">
        <v>1</v>
      </c>
      <c r="Q76" s="70"/>
      <c r="R76" s="23"/>
      <c r="S76" s="23">
        <f t="shared" si="14"/>
        <v>1750000</v>
      </c>
      <c r="T76" s="23">
        <f t="shared" si="15"/>
        <v>-1749000</v>
      </c>
      <c r="U76" s="23">
        <f t="shared" si="16"/>
        <v>0</v>
      </c>
      <c r="V76" s="10">
        <f t="shared" si="17"/>
        <v>7000000</v>
      </c>
      <c r="W76" s="10">
        <f t="shared" si="18"/>
        <v>0</v>
      </c>
      <c r="X76" s="10">
        <f t="shared" si="11"/>
        <v>0</v>
      </c>
    </row>
    <row r="77" spans="1:24" s="9" customFormat="1" ht="13.5" customHeight="1" x14ac:dyDescent="0.2">
      <c r="A77" s="64">
        <v>73</v>
      </c>
      <c r="B77" s="207" t="s">
        <v>304</v>
      </c>
      <c r="C77" s="208">
        <v>39409</v>
      </c>
      <c r="D77" s="91">
        <v>2960000</v>
      </c>
      <c r="E77" s="91"/>
      <c r="F77" s="91">
        <f t="shared" si="4"/>
        <v>2960000</v>
      </c>
      <c r="G77" s="121">
        <v>2959000</v>
      </c>
      <c r="H77" s="91">
        <f t="shared" si="21"/>
        <v>1000</v>
      </c>
      <c r="I77" s="74">
        <v>5</v>
      </c>
      <c r="J77" s="68">
        <v>0.2</v>
      </c>
      <c r="K77" s="68">
        <v>0</v>
      </c>
      <c r="L77" s="110">
        <f t="shared" si="19"/>
        <v>0</v>
      </c>
      <c r="M77" s="121">
        <f t="shared" si="20"/>
        <v>2959000</v>
      </c>
      <c r="N77" s="91">
        <f t="shared" si="13"/>
        <v>1000</v>
      </c>
      <c r="O77" s="122" t="s">
        <v>221</v>
      </c>
      <c r="P77" s="122">
        <v>2</v>
      </c>
      <c r="Q77" s="94"/>
      <c r="R77" s="23"/>
      <c r="S77" s="23">
        <f t="shared" si="14"/>
        <v>148000</v>
      </c>
      <c r="T77" s="23">
        <f t="shared" si="15"/>
        <v>-147000</v>
      </c>
      <c r="U77" s="23">
        <f t="shared" si="16"/>
        <v>0</v>
      </c>
      <c r="V77" s="10">
        <f t="shared" si="17"/>
        <v>592000</v>
      </c>
      <c r="W77" s="10">
        <f t="shared" si="18"/>
        <v>0</v>
      </c>
      <c r="X77" s="10">
        <f t="shared" si="11"/>
        <v>0</v>
      </c>
    </row>
    <row r="78" spans="1:24" s="9" customFormat="1" ht="13.5" customHeight="1" x14ac:dyDescent="0.2">
      <c r="A78" s="64">
        <v>74</v>
      </c>
      <c r="B78" s="210" t="s">
        <v>353</v>
      </c>
      <c r="C78" s="148">
        <v>39428</v>
      </c>
      <c r="D78" s="73">
        <v>53000000</v>
      </c>
      <c r="E78" s="73"/>
      <c r="F78" s="73">
        <f t="shared" si="4"/>
        <v>53000000</v>
      </c>
      <c r="G78" s="140">
        <v>52999000</v>
      </c>
      <c r="H78" s="73">
        <f t="shared" si="21"/>
        <v>1000</v>
      </c>
      <c r="I78" s="74">
        <v>5</v>
      </c>
      <c r="J78" s="68">
        <v>0.2</v>
      </c>
      <c r="K78" s="68">
        <v>0</v>
      </c>
      <c r="L78" s="110">
        <f t="shared" si="19"/>
        <v>0</v>
      </c>
      <c r="M78" s="140">
        <f t="shared" si="20"/>
        <v>52999000</v>
      </c>
      <c r="N78" s="73">
        <f t="shared" si="13"/>
        <v>1000</v>
      </c>
      <c r="O78" s="209" t="s">
        <v>354</v>
      </c>
      <c r="P78" s="209">
        <v>1</v>
      </c>
      <c r="Q78" s="76"/>
      <c r="R78" s="23"/>
      <c r="S78" s="23">
        <f t="shared" si="14"/>
        <v>2650000</v>
      </c>
      <c r="T78" s="23">
        <f t="shared" si="15"/>
        <v>-2649000</v>
      </c>
      <c r="U78" s="23">
        <f t="shared" si="16"/>
        <v>0</v>
      </c>
      <c r="V78" s="10">
        <f t="shared" si="17"/>
        <v>10600000</v>
      </c>
      <c r="W78" s="10">
        <f t="shared" si="18"/>
        <v>0</v>
      </c>
      <c r="X78" s="10">
        <f t="shared" si="11"/>
        <v>0</v>
      </c>
    </row>
    <row r="79" spans="1:24" s="9" customFormat="1" ht="13.5" customHeight="1" x14ac:dyDescent="0.2">
      <c r="A79" s="64">
        <v>75</v>
      </c>
      <c r="B79" s="210" t="s">
        <v>355</v>
      </c>
      <c r="C79" s="148">
        <v>39455</v>
      </c>
      <c r="D79" s="73">
        <v>3900000</v>
      </c>
      <c r="E79" s="73"/>
      <c r="F79" s="73">
        <f t="shared" si="4"/>
        <v>3900000</v>
      </c>
      <c r="G79" s="140">
        <v>3899000</v>
      </c>
      <c r="H79" s="73">
        <f t="shared" si="21"/>
        <v>1000</v>
      </c>
      <c r="I79" s="74">
        <v>5</v>
      </c>
      <c r="J79" s="68">
        <v>0.2</v>
      </c>
      <c r="K79" s="68">
        <v>0</v>
      </c>
      <c r="L79" s="110">
        <f t="shared" si="19"/>
        <v>0</v>
      </c>
      <c r="M79" s="140">
        <f t="shared" si="20"/>
        <v>3899000</v>
      </c>
      <c r="N79" s="73">
        <f t="shared" si="13"/>
        <v>1000</v>
      </c>
      <c r="O79" s="209" t="s">
        <v>346</v>
      </c>
      <c r="P79" s="209">
        <v>1</v>
      </c>
      <c r="Q79" s="76"/>
      <c r="R79" s="23"/>
      <c r="S79" s="23">
        <f t="shared" si="14"/>
        <v>195000</v>
      </c>
      <c r="T79" s="23">
        <f t="shared" si="15"/>
        <v>-194000</v>
      </c>
      <c r="U79" s="23">
        <f t="shared" si="16"/>
        <v>0</v>
      </c>
      <c r="V79" s="10">
        <f t="shared" si="17"/>
        <v>780000</v>
      </c>
      <c r="W79" s="10">
        <f t="shared" si="18"/>
        <v>0</v>
      </c>
      <c r="X79" s="10">
        <f t="shared" si="11"/>
        <v>0</v>
      </c>
    </row>
    <row r="80" spans="1:24" s="9" customFormat="1" ht="13.5" customHeight="1" x14ac:dyDescent="0.2">
      <c r="A80" s="64">
        <v>76</v>
      </c>
      <c r="B80" s="210" t="s">
        <v>356</v>
      </c>
      <c r="C80" s="148">
        <v>39477</v>
      </c>
      <c r="D80" s="73">
        <v>147350100</v>
      </c>
      <c r="E80" s="73"/>
      <c r="F80" s="73">
        <f t="shared" si="4"/>
        <v>147350100</v>
      </c>
      <c r="G80" s="140">
        <v>147349100</v>
      </c>
      <c r="H80" s="73">
        <f t="shared" si="21"/>
        <v>1000</v>
      </c>
      <c r="I80" s="74">
        <v>5</v>
      </c>
      <c r="J80" s="68">
        <v>0.2</v>
      </c>
      <c r="K80" s="68">
        <v>0</v>
      </c>
      <c r="L80" s="110">
        <f t="shared" si="19"/>
        <v>0</v>
      </c>
      <c r="M80" s="140">
        <f t="shared" si="20"/>
        <v>147349100</v>
      </c>
      <c r="N80" s="73">
        <f t="shared" si="13"/>
        <v>1000</v>
      </c>
      <c r="O80" s="209" t="s">
        <v>357</v>
      </c>
      <c r="P80" s="209">
        <v>1</v>
      </c>
      <c r="Q80" s="76"/>
      <c r="R80" s="23"/>
      <c r="S80" s="23">
        <f t="shared" si="14"/>
        <v>7367505</v>
      </c>
      <c r="T80" s="23">
        <f t="shared" si="15"/>
        <v>-7366505</v>
      </c>
      <c r="U80" s="23">
        <f t="shared" si="16"/>
        <v>0</v>
      </c>
      <c r="V80" s="10">
        <f t="shared" si="17"/>
        <v>29470020</v>
      </c>
      <c r="W80" s="10">
        <f t="shared" si="18"/>
        <v>0</v>
      </c>
      <c r="X80" s="10">
        <f t="shared" si="11"/>
        <v>0</v>
      </c>
    </row>
    <row r="81" spans="1:24" s="9" customFormat="1" ht="13.5" customHeight="1" x14ac:dyDescent="0.2">
      <c r="A81" s="64">
        <v>77</v>
      </c>
      <c r="B81" s="206" t="s">
        <v>358</v>
      </c>
      <c r="C81" s="163">
        <v>39507</v>
      </c>
      <c r="D81" s="67">
        <v>3000000</v>
      </c>
      <c r="E81" s="67"/>
      <c r="F81" s="73">
        <f t="shared" si="4"/>
        <v>3000000</v>
      </c>
      <c r="G81" s="110">
        <v>2999000</v>
      </c>
      <c r="H81" s="73">
        <f t="shared" si="21"/>
        <v>1000</v>
      </c>
      <c r="I81" s="68">
        <v>5</v>
      </c>
      <c r="J81" s="68">
        <v>0.2</v>
      </c>
      <c r="K81" s="68">
        <v>0</v>
      </c>
      <c r="L81" s="110">
        <f t="shared" si="19"/>
        <v>0</v>
      </c>
      <c r="M81" s="140">
        <f t="shared" si="20"/>
        <v>2999000</v>
      </c>
      <c r="N81" s="73">
        <f t="shared" si="13"/>
        <v>1000</v>
      </c>
      <c r="O81" s="111" t="s">
        <v>359</v>
      </c>
      <c r="P81" s="111">
        <v>1</v>
      </c>
      <c r="Q81" s="70"/>
      <c r="R81" s="23"/>
      <c r="S81" s="23">
        <f t="shared" si="14"/>
        <v>150000</v>
      </c>
      <c r="T81" s="23">
        <f t="shared" si="15"/>
        <v>-149000</v>
      </c>
      <c r="U81" s="23">
        <f t="shared" si="16"/>
        <v>0</v>
      </c>
      <c r="V81" s="10">
        <f t="shared" si="17"/>
        <v>600000</v>
      </c>
      <c r="W81" s="10">
        <f t="shared" ref="W81:W100" si="22">ROUND(IF(H81&lt;=1000,0,V81/12*1),0)</f>
        <v>0</v>
      </c>
      <c r="X81" s="10">
        <f t="shared" si="11"/>
        <v>0</v>
      </c>
    </row>
    <row r="82" spans="1:24" s="9" customFormat="1" ht="13.5" customHeight="1" x14ac:dyDescent="0.2">
      <c r="A82" s="64">
        <v>78</v>
      </c>
      <c r="B82" s="210" t="s">
        <v>360</v>
      </c>
      <c r="C82" s="148">
        <v>39507</v>
      </c>
      <c r="D82" s="73">
        <v>1500000</v>
      </c>
      <c r="E82" s="73"/>
      <c r="F82" s="73">
        <f t="shared" si="4"/>
        <v>1500000</v>
      </c>
      <c r="G82" s="140">
        <v>1499000</v>
      </c>
      <c r="H82" s="73">
        <f t="shared" si="21"/>
        <v>1000</v>
      </c>
      <c r="I82" s="74">
        <v>5</v>
      </c>
      <c r="J82" s="68">
        <v>0.2</v>
      </c>
      <c r="K82" s="68">
        <v>0</v>
      </c>
      <c r="L82" s="110">
        <f t="shared" si="19"/>
        <v>0</v>
      </c>
      <c r="M82" s="140">
        <f t="shared" si="20"/>
        <v>1499000</v>
      </c>
      <c r="N82" s="73">
        <f t="shared" si="13"/>
        <v>1000</v>
      </c>
      <c r="O82" s="209" t="s">
        <v>361</v>
      </c>
      <c r="P82" s="209">
        <v>1</v>
      </c>
      <c r="Q82" s="76"/>
      <c r="R82" s="23"/>
      <c r="S82" s="23">
        <f t="shared" si="14"/>
        <v>75000</v>
      </c>
      <c r="T82" s="23">
        <f t="shared" si="15"/>
        <v>-74000</v>
      </c>
      <c r="U82" s="23">
        <f t="shared" si="16"/>
        <v>0</v>
      </c>
      <c r="V82" s="10">
        <f t="shared" si="17"/>
        <v>300000</v>
      </c>
      <c r="W82" s="10">
        <f t="shared" si="22"/>
        <v>0</v>
      </c>
      <c r="X82" s="10">
        <f t="shared" si="11"/>
        <v>0</v>
      </c>
    </row>
    <row r="83" spans="1:24" s="9" customFormat="1" ht="13.5" customHeight="1" x14ac:dyDescent="0.2">
      <c r="A83" s="754">
        <v>79</v>
      </c>
      <c r="B83" s="761" t="s">
        <v>203</v>
      </c>
      <c r="C83" s="762">
        <v>39507</v>
      </c>
      <c r="D83" s="763">
        <v>0</v>
      </c>
      <c r="E83" s="763"/>
      <c r="F83" s="763">
        <f t="shared" si="4"/>
        <v>0</v>
      </c>
      <c r="G83" s="764"/>
      <c r="H83" s="763"/>
      <c r="I83" s="765">
        <v>5</v>
      </c>
      <c r="J83" s="759">
        <v>0.2</v>
      </c>
      <c r="K83" s="759">
        <v>0</v>
      </c>
      <c r="L83" s="758"/>
      <c r="M83" s="764"/>
      <c r="N83" s="763"/>
      <c r="O83" s="766" t="s">
        <v>362</v>
      </c>
      <c r="P83" s="766">
        <v>1</v>
      </c>
      <c r="Q83" s="771" t="s">
        <v>2942</v>
      </c>
      <c r="R83" s="23"/>
      <c r="S83" s="23">
        <f t="shared" si="14"/>
        <v>0</v>
      </c>
      <c r="T83" s="23">
        <f t="shared" si="15"/>
        <v>0</v>
      </c>
      <c r="U83" s="23">
        <f t="shared" si="16"/>
        <v>-1000</v>
      </c>
      <c r="V83" s="10">
        <f t="shared" si="17"/>
        <v>0</v>
      </c>
      <c r="W83" s="10">
        <f t="shared" si="22"/>
        <v>0</v>
      </c>
      <c r="X83" s="10">
        <f t="shared" si="11"/>
        <v>0</v>
      </c>
    </row>
    <row r="84" spans="1:24" s="9" customFormat="1" ht="13.5" customHeight="1" x14ac:dyDescent="0.2">
      <c r="A84" s="64">
        <v>80</v>
      </c>
      <c r="B84" s="210" t="s">
        <v>363</v>
      </c>
      <c r="C84" s="148">
        <v>39545</v>
      </c>
      <c r="D84" s="73">
        <v>25000000</v>
      </c>
      <c r="E84" s="73"/>
      <c r="F84" s="73">
        <f t="shared" si="4"/>
        <v>25000000</v>
      </c>
      <c r="G84" s="140">
        <v>24999000</v>
      </c>
      <c r="H84" s="73">
        <f t="shared" si="21"/>
        <v>1000</v>
      </c>
      <c r="I84" s="74">
        <v>5</v>
      </c>
      <c r="J84" s="68">
        <v>0.2</v>
      </c>
      <c r="K84" s="68">
        <v>0</v>
      </c>
      <c r="L84" s="110">
        <f t="shared" si="19"/>
        <v>0</v>
      </c>
      <c r="M84" s="140">
        <f t="shared" si="20"/>
        <v>24999000</v>
      </c>
      <c r="N84" s="73">
        <f t="shared" si="13"/>
        <v>1000</v>
      </c>
      <c r="O84" s="209" t="s">
        <v>306</v>
      </c>
      <c r="P84" s="209">
        <v>1</v>
      </c>
      <c r="Q84" s="76"/>
      <c r="R84" s="23"/>
      <c r="S84" s="23">
        <f t="shared" si="14"/>
        <v>1250000</v>
      </c>
      <c r="T84" s="23">
        <f t="shared" si="15"/>
        <v>-1249000</v>
      </c>
      <c r="U84" s="23">
        <f t="shared" si="16"/>
        <v>0</v>
      </c>
      <c r="V84" s="10">
        <f t="shared" si="17"/>
        <v>5000000</v>
      </c>
      <c r="W84" s="10">
        <f t="shared" si="22"/>
        <v>0</v>
      </c>
      <c r="X84" s="10">
        <f t="shared" si="11"/>
        <v>0</v>
      </c>
    </row>
    <row r="85" spans="1:24" s="9" customFormat="1" ht="13.5" customHeight="1" x14ac:dyDescent="0.2">
      <c r="A85" s="64">
        <v>81</v>
      </c>
      <c r="B85" s="210" t="s">
        <v>364</v>
      </c>
      <c r="C85" s="148">
        <v>39559</v>
      </c>
      <c r="D85" s="73">
        <v>9000000</v>
      </c>
      <c r="E85" s="73"/>
      <c r="F85" s="73">
        <f t="shared" ref="F85:F148" si="23">+D85+E85</f>
        <v>9000000</v>
      </c>
      <c r="G85" s="140">
        <v>8999000</v>
      </c>
      <c r="H85" s="73">
        <f t="shared" si="21"/>
        <v>1000</v>
      </c>
      <c r="I85" s="74">
        <v>5</v>
      </c>
      <c r="J85" s="68">
        <v>0.2</v>
      </c>
      <c r="K85" s="68">
        <v>0</v>
      </c>
      <c r="L85" s="110">
        <f t="shared" si="19"/>
        <v>0</v>
      </c>
      <c r="M85" s="140">
        <f t="shared" si="20"/>
        <v>8999000</v>
      </c>
      <c r="N85" s="73">
        <f t="shared" si="13"/>
        <v>1000</v>
      </c>
      <c r="O85" s="209" t="s">
        <v>365</v>
      </c>
      <c r="P85" s="209">
        <v>1</v>
      </c>
      <c r="Q85" s="76"/>
      <c r="R85" s="23"/>
      <c r="S85" s="23">
        <f t="shared" si="14"/>
        <v>450000</v>
      </c>
      <c r="T85" s="23">
        <f t="shared" si="15"/>
        <v>-449000</v>
      </c>
      <c r="U85" s="23">
        <f t="shared" si="16"/>
        <v>0</v>
      </c>
      <c r="V85" s="10">
        <f t="shared" si="17"/>
        <v>1800000</v>
      </c>
      <c r="W85" s="10">
        <f t="shared" si="22"/>
        <v>0</v>
      </c>
      <c r="X85" s="10">
        <f t="shared" ref="X85:X100" si="24">L85-W85</f>
        <v>0</v>
      </c>
    </row>
    <row r="86" spans="1:24" s="9" customFormat="1" ht="13.5" customHeight="1" x14ac:dyDescent="0.2">
      <c r="A86" s="64">
        <v>82</v>
      </c>
      <c r="B86" s="210" t="s">
        <v>366</v>
      </c>
      <c r="C86" s="148">
        <v>39559</v>
      </c>
      <c r="D86" s="73">
        <v>600000</v>
      </c>
      <c r="E86" s="73"/>
      <c r="F86" s="73">
        <f t="shared" si="23"/>
        <v>600000</v>
      </c>
      <c r="G86" s="140">
        <v>599000</v>
      </c>
      <c r="H86" s="73">
        <f t="shared" si="21"/>
        <v>1000</v>
      </c>
      <c r="I86" s="74">
        <v>5</v>
      </c>
      <c r="J86" s="68">
        <v>0.2</v>
      </c>
      <c r="K86" s="68">
        <v>0</v>
      </c>
      <c r="L86" s="110">
        <f t="shared" si="19"/>
        <v>0</v>
      </c>
      <c r="M86" s="140">
        <f t="shared" si="20"/>
        <v>599000</v>
      </c>
      <c r="N86" s="73">
        <f t="shared" si="13"/>
        <v>1000</v>
      </c>
      <c r="O86" s="209" t="s">
        <v>365</v>
      </c>
      <c r="P86" s="209">
        <v>2</v>
      </c>
      <c r="Q86" s="76"/>
      <c r="R86" s="23"/>
      <c r="S86" s="23">
        <f t="shared" si="14"/>
        <v>30000</v>
      </c>
      <c r="T86" s="23">
        <f t="shared" si="15"/>
        <v>-29000</v>
      </c>
      <c r="U86" s="23">
        <f t="shared" si="16"/>
        <v>0</v>
      </c>
      <c r="V86" s="10">
        <f t="shared" si="17"/>
        <v>120000</v>
      </c>
      <c r="W86" s="10">
        <f t="shared" si="22"/>
        <v>0</v>
      </c>
      <c r="X86" s="10">
        <f t="shared" si="24"/>
        <v>0</v>
      </c>
    </row>
    <row r="87" spans="1:24" s="9" customFormat="1" ht="13.5" customHeight="1" x14ac:dyDescent="0.2">
      <c r="A87" s="64">
        <v>83</v>
      </c>
      <c r="B87" s="210" t="s">
        <v>367</v>
      </c>
      <c r="C87" s="148">
        <v>39559</v>
      </c>
      <c r="D87" s="73">
        <v>28000000</v>
      </c>
      <c r="E87" s="73"/>
      <c r="F87" s="73">
        <f t="shared" si="23"/>
        <v>28000000</v>
      </c>
      <c r="G87" s="140">
        <v>27999000</v>
      </c>
      <c r="H87" s="73">
        <f t="shared" si="21"/>
        <v>1000</v>
      </c>
      <c r="I87" s="74">
        <v>5</v>
      </c>
      <c r="J87" s="68">
        <v>0.2</v>
      </c>
      <c r="K87" s="68">
        <v>0</v>
      </c>
      <c r="L87" s="110">
        <f t="shared" si="19"/>
        <v>0</v>
      </c>
      <c r="M87" s="140">
        <f t="shared" si="20"/>
        <v>27999000</v>
      </c>
      <c r="N87" s="73">
        <f t="shared" si="13"/>
        <v>1000</v>
      </c>
      <c r="O87" s="209" t="s">
        <v>365</v>
      </c>
      <c r="P87" s="209">
        <v>1</v>
      </c>
      <c r="Q87" s="76"/>
      <c r="R87" s="23"/>
      <c r="S87" s="23">
        <f t="shared" si="14"/>
        <v>1400000</v>
      </c>
      <c r="T87" s="23">
        <f t="shared" si="15"/>
        <v>-1399000</v>
      </c>
      <c r="U87" s="23">
        <f t="shared" si="16"/>
        <v>0</v>
      </c>
      <c r="V87" s="10">
        <f t="shared" si="17"/>
        <v>5600000</v>
      </c>
      <c r="W87" s="10">
        <f t="shared" si="22"/>
        <v>0</v>
      </c>
      <c r="X87" s="10">
        <f t="shared" si="24"/>
        <v>0</v>
      </c>
    </row>
    <row r="88" spans="1:24" s="9" customFormat="1" ht="13.5" customHeight="1" x14ac:dyDescent="0.2">
      <c r="A88" s="64">
        <v>84</v>
      </c>
      <c r="B88" s="210" t="s">
        <v>368</v>
      </c>
      <c r="C88" s="148">
        <v>39559</v>
      </c>
      <c r="D88" s="73">
        <v>43000000</v>
      </c>
      <c r="E88" s="73"/>
      <c r="F88" s="73">
        <f t="shared" si="23"/>
        <v>43000000</v>
      </c>
      <c r="G88" s="140">
        <v>42999000</v>
      </c>
      <c r="H88" s="73">
        <f t="shared" si="21"/>
        <v>1000</v>
      </c>
      <c r="I88" s="74">
        <v>5</v>
      </c>
      <c r="J88" s="68">
        <v>0.2</v>
      </c>
      <c r="K88" s="68">
        <v>0</v>
      </c>
      <c r="L88" s="110">
        <f t="shared" si="19"/>
        <v>0</v>
      </c>
      <c r="M88" s="140">
        <f t="shared" si="20"/>
        <v>42999000</v>
      </c>
      <c r="N88" s="73">
        <f t="shared" si="13"/>
        <v>1000</v>
      </c>
      <c r="O88" s="209" t="s">
        <v>369</v>
      </c>
      <c r="P88" s="209">
        <v>1</v>
      </c>
      <c r="Q88" s="76"/>
      <c r="R88" s="23"/>
      <c r="S88" s="23">
        <f t="shared" si="14"/>
        <v>2150000</v>
      </c>
      <c r="T88" s="23">
        <f t="shared" si="15"/>
        <v>-2149000</v>
      </c>
      <c r="U88" s="23">
        <f t="shared" si="16"/>
        <v>0</v>
      </c>
      <c r="V88" s="10">
        <f t="shared" si="17"/>
        <v>8600000</v>
      </c>
      <c r="W88" s="10">
        <f t="shared" si="22"/>
        <v>0</v>
      </c>
      <c r="X88" s="10">
        <f t="shared" si="24"/>
        <v>0</v>
      </c>
    </row>
    <row r="89" spans="1:24" s="9" customFormat="1" ht="13.5" customHeight="1" x14ac:dyDescent="0.2">
      <c r="A89" s="64">
        <v>85</v>
      </c>
      <c r="B89" s="210" t="s">
        <v>370</v>
      </c>
      <c r="C89" s="148">
        <v>39559</v>
      </c>
      <c r="D89" s="73">
        <v>19000000</v>
      </c>
      <c r="E89" s="73"/>
      <c r="F89" s="73">
        <f t="shared" si="23"/>
        <v>19000000</v>
      </c>
      <c r="G89" s="140">
        <v>18999000</v>
      </c>
      <c r="H89" s="73">
        <f t="shared" si="21"/>
        <v>1000</v>
      </c>
      <c r="I89" s="74">
        <v>5</v>
      </c>
      <c r="J89" s="68">
        <v>0.2</v>
      </c>
      <c r="K89" s="68">
        <v>0</v>
      </c>
      <c r="L89" s="110">
        <f t="shared" si="19"/>
        <v>0</v>
      </c>
      <c r="M89" s="140">
        <f t="shared" si="20"/>
        <v>18999000</v>
      </c>
      <c r="N89" s="73">
        <f t="shared" si="13"/>
        <v>1000</v>
      </c>
      <c r="O89" s="209" t="s">
        <v>365</v>
      </c>
      <c r="P89" s="209">
        <v>1</v>
      </c>
      <c r="Q89" s="76"/>
      <c r="R89" s="23"/>
      <c r="S89" s="23">
        <f t="shared" si="14"/>
        <v>950000</v>
      </c>
      <c r="T89" s="23">
        <f t="shared" si="15"/>
        <v>-949000</v>
      </c>
      <c r="U89" s="23">
        <f t="shared" si="16"/>
        <v>0</v>
      </c>
      <c r="V89" s="10">
        <f t="shared" si="17"/>
        <v>3800000</v>
      </c>
      <c r="W89" s="10">
        <f t="shared" si="22"/>
        <v>0</v>
      </c>
      <c r="X89" s="10">
        <f t="shared" si="24"/>
        <v>0</v>
      </c>
    </row>
    <row r="90" spans="1:24" s="9" customFormat="1" ht="13.5" customHeight="1" x14ac:dyDescent="0.2">
      <c r="A90" s="64">
        <v>86</v>
      </c>
      <c r="B90" s="210" t="s">
        <v>371</v>
      </c>
      <c r="C90" s="148">
        <v>39559</v>
      </c>
      <c r="D90" s="73">
        <v>29000000</v>
      </c>
      <c r="E90" s="73"/>
      <c r="F90" s="73">
        <f t="shared" si="23"/>
        <v>29000000</v>
      </c>
      <c r="G90" s="140">
        <v>28999000</v>
      </c>
      <c r="H90" s="73">
        <f t="shared" si="21"/>
        <v>1000</v>
      </c>
      <c r="I90" s="74">
        <v>5</v>
      </c>
      <c r="J90" s="68">
        <v>0.2</v>
      </c>
      <c r="K90" s="68">
        <v>0</v>
      </c>
      <c r="L90" s="110">
        <f t="shared" si="19"/>
        <v>0</v>
      </c>
      <c r="M90" s="140">
        <f t="shared" si="20"/>
        <v>28999000</v>
      </c>
      <c r="N90" s="73">
        <f t="shared" si="13"/>
        <v>1000</v>
      </c>
      <c r="O90" s="209" t="s">
        <v>372</v>
      </c>
      <c r="P90" s="209">
        <v>1</v>
      </c>
      <c r="Q90" s="76"/>
      <c r="R90" s="23"/>
      <c r="S90" s="23">
        <f t="shared" si="14"/>
        <v>1450000</v>
      </c>
      <c r="T90" s="23">
        <f t="shared" si="15"/>
        <v>-1449000</v>
      </c>
      <c r="U90" s="23">
        <f t="shared" si="16"/>
        <v>0</v>
      </c>
      <c r="V90" s="10">
        <f t="shared" si="17"/>
        <v>5800000</v>
      </c>
      <c r="W90" s="10">
        <f t="shared" si="22"/>
        <v>0</v>
      </c>
      <c r="X90" s="10">
        <f t="shared" si="24"/>
        <v>0</v>
      </c>
    </row>
    <row r="91" spans="1:24" s="9" customFormat="1" ht="13.5" customHeight="1" x14ac:dyDescent="0.2">
      <c r="A91" s="64">
        <v>87</v>
      </c>
      <c r="B91" s="210" t="s">
        <v>373</v>
      </c>
      <c r="C91" s="148">
        <v>39559</v>
      </c>
      <c r="D91" s="73">
        <v>6400000</v>
      </c>
      <c r="E91" s="73"/>
      <c r="F91" s="73">
        <f t="shared" si="23"/>
        <v>6400000</v>
      </c>
      <c r="G91" s="140">
        <v>6399000</v>
      </c>
      <c r="H91" s="73">
        <f t="shared" si="21"/>
        <v>1000</v>
      </c>
      <c r="I91" s="74">
        <v>5</v>
      </c>
      <c r="J91" s="68">
        <v>0.2</v>
      </c>
      <c r="K91" s="68">
        <v>0</v>
      </c>
      <c r="L91" s="110">
        <f t="shared" si="19"/>
        <v>0</v>
      </c>
      <c r="M91" s="140">
        <f t="shared" si="20"/>
        <v>6399000</v>
      </c>
      <c r="N91" s="73">
        <f t="shared" si="13"/>
        <v>1000</v>
      </c>
      <c r="O91" s="209" t="s">
        <v>374</v>
      </c>
      <c r="P91" s="209">
        <v>1</v>
      </c>
      <c r="Q91" s="76"/>
      <c r="R91" s="23"/>
      <c r="S91" s="23">
        <f t="shared" si="14"/>
        <v>320000</v>
      </c>
      <c r="T91" s="23">
        <f t="shared" si="15"/>
        <v>-319000</v>
      </c>
      <c r="U91" s="23">
        <f t="shared" si="16"/>
        <v>0</v>
      </c>
      <c r="V91" s="10">
        <f t="shared" si="17"/>
        <v>1280000</v>
      </c>
      <c r="W91" s="10">
        <f t="shared" si="22"/>
        <v>0</v>
      </c>
      <c r="X91" s="10">
        <f t="shared" si="24"/>
        <v>0</v>
      </c>
    </row>
    <row r="92" spans="1:24" s="9" customFormat="1" ht="13.5" customHeight="1" x14ac:dyDescent="0.2">
      <c r="A92" s="64">
        <v>88</v>
      </c>
      <c r="B92" s="210" t="s">
        <v>375</v>
      </c>
      <c r="C92" s="148">
        <v>39577</v>
      </c>
      <c r="D92" s="73">
        <v>30000000</v>
      </c>
      <c r="E92" s="73"/>
      <c r="F92" s="73">
        <f t="shared" si="23"/>
        <v>30000000</v>
      </c>
      <c r="G92" s="140">
        <v>29999000</v>
      </c>
      <c r="H92" s="73">
        <f t="shared" si="21"/>
        <v>1000</v>
      </c>
      <c r="I92" s="74">
        <v>5</v>
      </c>
      <c r="J92" s="68">
        <v>0.2</v>
      </c>
      <c r="K92" s="68">
        <v>0</v>
      </c>
      <c r="L92" s="110">
        <f t="shared" si="19"/>
        <v>0</v>
      </c>
      <c r="M92" s="140">
        <f t="shared" si="20"/>
        <v>29999000</v>
      </c>
      <c r="N92" s="73">
        <f t="shared" si="13"/>
        <v>1000</v>
      </c>
      <c r="O92" s="209" t="s">
        <v>376</v>
      </c>
      <c r="P92" s="209">
        <v>1</v>
      </c>
      <c r="Q92" s="76"/>
      <c r="R92" s="23"/>
      <c r="S92" s="23">
        <f t="shared" si="14"/>
        <v>1500000</v>
      </c>
      <c r="T92" s="23">
        <f t="shared" si="15"/>
        <v>-1499000</v>
      </c>
      <c r="U92" s="23">
        <f t="shared" si="16"/>
        <v>0</v>
      </c>
      <c r="V92" s="10">
        <f t="shared" si="17"/>
        <v>6000000</v>
      </c>
      <c r="W92" s="10">
        <f t="shared" si="22"/>
        <v>0</v>
      </c>
      <c r="X92" s="10">
        <f t="shared" si="24"/>
        <v>0</v>
      </c>
    </row>
    <row r="93" spans="1:24" s="9" customFormat="1" ht="13.5" customHeight="1" x14ac:dyDescent="0.2">
      <c r="A93" s="64">
        <v>89</v>
      </c>
      <c r="B93" s="210" t="s">
        <v>377</v>
      </c>
      <c r="C93" s="148">
        <v>39577</v>
      </c>
      <c r="D93" s="73">
        <v>4200000</v>
      </c>
      <c r="E93" s="73"/>
      <c r="F93" s="73">
        <f t="shared" si="23"/>
        <v>4200000</v>
      </c>
      <c r="G93" s="140">
        <v>4199000</v>
      </c>
      <c r="H93" s="73">
        <f t="shared" si="21"/>
        <v>1000</v>
      </c>
      <c r="I93" s="74">
        <v>5</v>
      </c>
      <c r="J93" s="68">
        <v>0.2</v>
      </c>
      <c r="K93" s="68">
        <v>0</v>
      </c>
      <c r="L93" s="110">
        <f t="shared" si="19"/>
        <v>0</v>
      </c>
      <c r="M93" s="140">
        <f t="shared" si="20"/>
        <v>4199000</v>
      </c>
      <c r="N93" s="73">
        <f t="shared" si="13"/>
        <v>1000</v>
      </c>
      <c r="O93" s="209" t="s">
        <v>376</v>
      </c>
      <c r="P93" s="209">
        <v>2</v>
      </c>
      <c r="Q93" s="76"/>
      <c r="R93" s="23"/>
      <c r="S93" s="23">
        <f t="shared" si="14"/>
        <v>210000</v>
      </c>
      <c r="T93" s="23">
        <f t="shared" si="15"/>
        <v>-209000</v>
      </c>
      <c r="U93" s="23">
        <f t="shared" si="16"/>
        <v>0</v>
      </c>
      <c r="V93" s="10">
        <f t="shared" si="17"/>
        <v>840000</v>
      </c>
      <c r="W93" s="10">
        <f t="shared" si="22"/>
        <v>0</v>
      </c>
      <c r="X93" s="10">
        <f t="shared" si="24"/>
        <v>0</v>
      </c>
    </row>
    <row r="94" spans="1:24" s="9" customFormat="1" ht="13.5" customHeight="1" x14ac:dyDescent="0.2">
      <c r="A94" s="64">
        <v>90</v>
      </c>
      <c r="B94" s="210" t="s">
        <v>378</v>
      </c>
      <c r="C94" s="148">
        <v>39599</v>
      </c>
      <c r="D94" s="73">
        <v>1800000</v>
      </c>
      <c r="E94" s="73"/>
      <c r="F94" s="73">
        <f t="shared" si="23"/>
        <v>1800000</v>
      </c>
      <c r="G94" s="140">
        <v>1799000</v>
      </c>
      <c r="H94" s="73">
        <f t="shared" si="21"/>
        <v>1000</v>
      </c>
      <c r="I94" s="74">
        <v>5</v>
      </c>
      <c r="J94" s="68">
        <v>0.2</v>
      </c>
      <c r="K94" s="68">
        <v>0</v>
      </c>
      <c r="L94" s="110">
        <f t="shared" si="19"/>
        <v>0</v>
      </c>
      <c r="M94" s="140">
        <f t="shared" si="20"/>
        <v>1799000</v>
      </c>
      <c r="N94" s="73">
        <f t="shared" si="13"/>
        <v>1000</v>
      </c>
      <c r="O94" s="209" t="s">
        <v>379</v>
      </c>
      <c r="P94" s="209">
        <v>1</v>
      </c>
      <c r="Q94" s="76"/>
      <c r="R94" s="23"/>
      <c r="S94" s="23">
        <f t="shared" si="14"/>
        <v>90000</v>
      </c>
      <c r="T94" s="23">
        <f t="shared" si="15"/>
        <v>-89000</v>
      </c>
      <c r="U94" s="23">
        <f t="shared" si="16"/>
        <v>0</v>
      </c>
      <c r="V94" s="10">
        <f t="shared" si="17"/>
        <v>360000</v>
      </c>
      <c r="W94" s="10">
        <f t="shared" si="22"/>
        <v>0</v>
      </c>
      <c r="X94" s="10">
        <f t="shared" si="24"/>
        <v>0</v>
      </c>
    </row>
    <row r="95" spans="1:24" s="9" customFormat="1" ht="13.5" customHeight="1" x14ac:dyDescent="0.2">
      <c r="A95" s="64">
        <v>91</v>
      </c>
      <c r="B95" s="210" t="s">
        <v>380</v>
      </c>
      <c r="C95" s="148">
        <v>39620</v>
      </c>
      <c r="D95" s="73">
        <v>71848000</v>
      </c>
      <c r="E95" s="73"/>
      <c r="F95" s="73">
        <f t="shared" si="23"/>
        <v>71848000</v>
      </c>
      <c r="G95" s="140">
        <v>71847000</v>
      </c>
      <c r="H95" s="73">
        <f t="shared" si="21"/>
        <v>1000</v>
      </c>
      <c r="I95" s="74">
        <v>5</v>
      </c>
      <c r="J95" s="68">
        <v>0.2</v>
      </c>
      <c r="K95" s="68">
        <v>0</v>
      </c>
      <c r="L95" s="110">
        <f t="shared" si="19"/>
        <v>0</v>
      </c>
      <c r="M95" s="140">
        <f t="shared" si="20"/>
        <v>71847000</v>
      </c>
      <c r="N95" s="73">
        <f t="shared" si="13"/>
        <v>1000</v>
      </c>
      <c r="O95" s="209" t="s">
        <v>381</v>
      </c>
      <c r="P95" s="209">
        <v>1</v>
      </c>
      <c r="Q95" s="76"/>
      <c r="R95" s="23"/>
      <c r="S95" s="23">
        <f t="shared" si="14"/>
        <v>3592400</v>
      </c>
      <c r="T95" s="23">
        <f t="shared" si="15"/>
        <v>-3591400</v>
      </c>
      <c r="U95" s="23">
        <f t="shared" si="16"/>
        <v>0</v>
      </c>
      <c r="V95" s="10">
        <f t="shared" si="17"/>
        <v>14369600</v>
      </c>
      <c r="W95" s="10">
        <f t="shared" si="22"/>
        <v>0</v>
      </c>
      <c r="X95" s="10">
        <f t="shared" si="24"/>
        <v>0</v>
      </c>
    </row>
    <row r="96" spans="1:24" s="9" customFormat="1" ht="13.5" customHeight="1" x14ac:dyDescent="0.2">
      <c r="A96" s="64">
        <v>92</v>
      </c>
      <c r="B96" s="206" t="s">
        <v>382</v>
      </c>
      <c r="C96" s="163">
        <v>39623</v>
      </c>
      <c r="D96" s="67">
        <v>6700000</v>
      </c>
      <c r="E96" s="67"/>
      <c r="F96" s="73">
        <f t="shared" si="23"/>
        <v>6700000</v>
      </c>
      <c r="G96" s="110">
        <v>6699000</v>
      </c>
      <c r="H96" s="73">
        <f t="shared" si="21"/>
        <v>1000</v>
      </c>
      <c r="I96" s="74">
        <v>5</v>
      </c>
      <c r="J96" s="68">
        <v>0.2</v>
      </c>
      <c r="K96" s="68">
        <v>0</v>
      </c>
      <c r="L96" s="110">
        <f t="shared" si="19"/>
        <v>0</v>
      </c>
      <c r="M96" s="140">
        <f t="shared" si="20"/>
        <v>6699000</v>
      </c>
      <c r="N96" s="73">
        <f t="shared" si="13"/>
        <v>1000</v>
      </c>
      <c r="O96" s="111" t="s">
        <v>376</v>
      </c>
      <c r="P96" s="111">
        <v>1</v>
      </c>
      <c r="Q96" s="70"/>
      <c r="R96" s="23"/>
      <c r="S96" s="23">
        <f t="shared" si="14"/>
        <v>335000</v>
      </c>
      <c r="T96" s="23">
        <f t="shared" si="15"/>
        <v>-334000</v>
      </c>
      <c r="U96" s="23">
        <f t="shared" si="16"/>
        <v>0</v>
      </c>
      <c r="V96" s="10">
        <f t="shared" si="17"/>
        <v>1340000</v>
      </c>
      <c r="W96" s="10">
        <f t="shared" si="22"/>
        <v>0</v>
      </c>
      <c r="X96" s="10">
        <f t="shared" si="24"/>
        <v>0</v>
      </c>
    </row>
    <row r="97" spans="1:24" s="9" customFormat="1" ht="13.5" customHeight="1" x14ac:dyDescent="0.2">
      <c r="A97" s="754">
        <v>93</v>
      </c>
      <c r="B97" s="761" t="s">
        <v>383</v>
      </c>
      <c r="C97" s="762">
        <v>39624</v>
      </c>
      <c r="D97" s="763">
        <v>0</v>
      </c>
      <c r="E97" s="763"/>
      <c r="F97" s="763">
        <f t="shared" si="23"/>
        <v>0</v>
      </c>
      <c r="G97" s="764"/>
      <c r="H97" s="763"/>
      <c r="I97" s="765">
        <v>5</v>
      </c>
      <c r="J97" s="759">
        <v>0.2</v>
      </c>
      <c r="K97" s="759">
        <v>0</v>
      </c>
      <c r="L97" s="758"/>
      <c r="M97" s="764"/>
      <c r="N97" s="763"/>
      <c r="O97" s="766" t="s">
        <v>359</v>
      </c>
      <c r="P97" s="766">
        <v>1</v>
      </c>
      <c r="Q97" s="771" t="s">
        <v>2942</v>
      </c>
      <c r="R97" s="23"/>
      <c r="S97" s="23">
        <f t="shared" si="14"/>
        <v>0</v>
      </c>
      <c r="T97" s="23">
        <f t="shared" si="15"/>
        <v>0</v>
      </c>
      <c r="U97" s="23">
        <f t="shared" si="16"/>
        <v>-1000</v>
      </c>
      <c r="V97" s="10">
        <f t="shared" si="17"/>
        <v>0</v>
      </c>
      <c r="W97" s="10">
        <f t="shared" si="22"/>
        <v>0</v>
      </c>
      <c r="X97" s="10">
        <f t="shared" si="24"/>
        <v>0</v>
      </c>
    </row>
    <row r="98" spans="1:24" s="9" customFormat="1" ht="13.5" customHeight="1" x14ac:dyDescent="0.2">
      <c r="A98" s="64">
        <v>94</v>
      </c>
      <c r="B98" s="206" t="s">
        <v>384</v>
      </c>
      <c r="C98" s="163">
        <v>39654</v>
      </c>
      <c r="D98" s="67">
        <v>29000000</v>
      </c>
      <c r="E98" s="67"/>
      <c r="F98" s="67">
        <f t="shared" si="23"/>
        <v>29000000</v>
      </c>
      <c r="G98" s="110">
        <v>28999000</v>
      </c>
      <c r="H98" s="67">
        <f t="shared" si="21"/>
        <v>1000</v>
      </c>
      <c r="I98" s="68">
        <v>5</v>
      </c>
      <c r="J98" s="68">
        <v>0.2</v>
      </c>
      <c r="K98" s="68">
        <v>0</v>
      </c>
      <c r="L98" s="110">
        <f t="shared" si="19"/>
        <v>0</v>
      </c>
      <c r="M98" s="110">
        <f t="shared" si="20"/>
        <v>28999000</v>
      </c>
      <c r="N98" s="67">
        <f t="shared" si="13"/>
        <v>1000</v>
      </c>
      <c r="O98" s="111" t="s">
        <v>365</v>
      </c>
      <c r="P98" s="111">
        <v>1</v>
      </c>
      <c r="Q98" s="70"/>
      <c r="R98" s="23"/>
      <c r="S98" s="23">
        <f t="shared" si="14"/>
        <v>1450000</v>
      </c>
      <c r="T98" s="23">
        <f t="shared" si="15"/>
        <v>-1449000</v>
      </c>
      <c r="U98" s="23">
        <f t="shared" si="16"/>
        <v>0</v>
      </c>
      <c r="V98" s="10">
        <f t="shared" si="17"/>
        <v>5800000</v>
      </c>
      <c r="W98" s="10">
        <f t="shared" si="22"/>
        <v>0</v>
      </c>
      <c r="X98" s="10">
        <f t="shared" si="24"/>
        <v>0</v>
      </c>
    </row>
    <row r="99" spans="1:24" s="9" customFormat="1" ht="13.5" customHeight="1" x14ac:dyDescent="0.2">
      <c r="A99" s="64">
        <v>95</v>
      </c>
      <c r="B99" s="210" t="s">
        <v>385</v>
      </c>
      <c r="C99" s="208">
        <v>39721</v>
      </c>
      <c r="D99" s="91">
        <v>40000000</v>
      </c>
      <c r="E99" s="91"/>
      <c r="F99" s="91">
        <f t="shared" si="23"/>
        <v>40000000</v>
      </c>
      <c r="G99" s="121">
        <v>39999000</v>
      </c>
      <c r="H99" s="91">
        <f t="shared" si="21"/>
        <v>1000</v>
      </c>
      <c r="I99" s="92">
        <v>5</v>
      </c>
      <c r="J99" s="68">
        <v>0.2</v>
      </c>
      <c r="K99" s="68">
        <v>0</v>
      </c>
      <c r="L99" s="110">
        <f t="shared" si="19"/>
        <v>0</v>
      </c>
      <c r="M99" s="121">
        <f t="shared" si="20"/>
        <v>39999000</v>
      </c>
      <c r="N99" s="91">
        <f t="shared" si="13"/>
        <v>1000</v>
      </c>
      <c r="O99" s="122" t="s">
        <v>386</v>
      </c>
      <c r="P99" s="122">
        <v>1</v>
      </c>
      <c r="Q99" s="94"/>
      <c r="R99" s="23"/>
      <c r="S99" s="23">
        <f t="shared" si="14"/>
        <v>2000000</v>
      </c>
      <c r="T99" s="23">
        <f t="shared" si="15"/>
        <v>-1999000</v>
      </c>
      <c r="U99" s="23">
        <f t="shared" si="16"/>
        <v>0</v>
      </c>
      <c r="V99" s="10">
        <f t="shared" si="17"/>
        <v>8000000</v>
      </c>
      <c r="W99" s="10">
        <f t="shared" si="22"/>
        <v>0</v>
      </c>
      <c r="X99" s="10">
        <f t="shared" si="24"/>
        <v>0</v>
      </c>
    </row>
    <row r="100" spans="1:24" s="9" customFormat="1" ht="13.5" customHeight="1" x14ac:dyDescent="0.2">
      <c r="A100" s="64">
        <v>96</v>
      </c>
      <c r="B100" s="210" t="s">
        <v>385</v>
      </c>
      <c r="C100" s="163">
        <v>39741</v>
      </c>
      <c r="D100" s="67">
        <v>39000000</v>
      </c>
      <c r="E100" s="67"/>
      <c r="F100" s="67">
        <f t="shared" si="23"/>
        <v>39000000</v>
      </c>
      <c r="G100" s="110">
        <v>38999000</v>
      </c>
      <c r="H100" s="67">
        <f t="shared" si="21"/>
        <v>1000</v>
      </c>
      <c r="I100" s="68">
        <v>5</v>
      </c>
      <c r="J100" s="68">
        <v>0.2</v>
      </c>
      <c r="K100" s="68">
        <v>0</v>
      </c>
      <c r="L100" s="110">
        <f t="shared" si="19"/>
        <v>0</v>
      </c>
      <c r="M100" s="110">
        <f t="shared" si="20"/>
        <v>38999000</v>
      </c>
      <c r="N100" s="67">
        <f t="shared" si="13"/>
        <v>1000</v>
      </c>
      <c r="O100" s="111" t="s">
        <v>387</v>
      </c>
      <c r="P100" s="111">
        <v>1</v>
      </c>
      <c r="Q100" s="70"/>
      <c r="R100" s="23"/>
      <c r="S100" s="23">
        <f t="shared" si="14"/>
        <v>1950000</v>
      </c>
      <c r="T100" s="23">
        <f t="shared" si="15"/>
        <v>-1949000</v>
      </c>
      <c r="U100" s="23">
        <f t="shared" si="16"/>
        <v>0</v>
      </c>
      <c r="V100" s="10">
        <f t="shared" si="17"/>
        <v>7800000</v>
      </c>
      <c r="W100" s="10">
        <f t="shared" si="22"/>
        <v>0</v>
      </c>
      <c r="X100" s="10">
        <f t="shared" si="24"/>
        <v>0</v>
      </c>
    </row>
    <row r="101" spans="1:24" s="174" customFormat="1" ht="13.5" customHeight="1" x14ac:dyDescent="0.2">
      <c r="A101" s="164">
        <v>97</v>
      </c>
      <c r="B101" s="211" t="s">
        <v>388</v>
      </c>
      <c r="C101" s="212">
        <v>39783</v>
      </c>
      <c r="D101" s="213">
        <v>0</v>
      </c>
      <c r="E101" s="213"/>
      <c r="F101" s="213">
        <f t="shared" si="23"/>
        <v>0</v>
      </c>
      <c r="G101" s="214"/>
      <c r="H101" s="213">
        <f t="shared" si="21"/>
        <v>0</v>
      </c>
      <c r="I101" s="169">
        <v>5</v>
      </c>
      <c r="J101" s="169">
        <v>0.2</v>
      </c>
      <c r="K101" s="169">
        <v>0</v>
      </c>
      <c r="L101" s="168"/>
      <c r="M101" s="214"/>
      <c r="N101" s="213">
        <f t="shared" si="13"/>
        <v>0</v>
      </c>
      <c r="O101" s="215" t="s">
        <v>389</v>
      </c>
      <c r="P101" s="215">
        <v>1</v>
      </c>
      <c r="Q101" s="171" t="s">
        <v>390</v>
      </c>
      <c r="R101" s="172"/>
      <c r="S101" s="172"/>
      <c r="T101" s="172"/>
      <c r="U101" s="172"/>
      <c r="V101" s="173"/>
      <c r="W101" s="173"/>
      <c r="X101" s="173"/>
    </row>
    <row r="102" spans="1:24" s="228" customFormat="1" ht="13.5" customHeight="1" x14ac:dyDescent="0.2">
      <c r="A102" s="216">
        <v>98</v>
      </c>
      <c r="B102" s="217" t="s">
        <v>391</v>
      </c>
      <c r="C102" s="218">
        <v>39838</v>
      </c>
      <c r="D102" s="219">
        <v>28000000</v>
      </c>
      <c r="E102" s="219"/>
      <c r="F102" s="220">
        <f t="shared" si="23"/>
        <v>28000000</v>
      </c>
      <c r="G102" s="221">
        <v>27999000</v>
      </c>
      <c r="H102" s="220">
        <f t="shared" si="21"/>
        <v>1000</v>
      </c>
      <c r="I102" s="222">
        <v>5</v>
      </c>
      <c r="J102" s="222">
        <v>0.2</v>
      </c>
      <c r="K102" s="222">
        <v>0</v>
      </c>
      <c r="L102" s="221">
        <v>0</v>
      </c>
      <c r="M102" s="223">
        <f>+G102+L102</f>
        <v>27999000</v>
      </c>
      <c r="N102" s="220">
        <f t="shared" si="13"/>
        <v>1000</v>
      </c>
      <c r="O102" s="224" t="s">
        <v>392</v>
      </c>
      <c r="P102" s="224">
        <v>1</v>
      </c>
      <c r="Q102" s="225" t="s">
        <v>393</v>
      </c>
      <c r="R102" s="226"/>
      <c r="S102" s="226">
        <f>D102*0.05</f>
        <v>1400000</v>
      </c>
      <c r="T102" s="226">
        <f>N102-S102</f>
        <v>-1399000</v>
      </c>
      <c r="U102" s="226">
        <f>N102-1000</f>
        <v>0</v>
      </c>
      <c r="V102" s="227">
        <f t="shared" ref="V102:V118" si="25">F102/I102</f>
        <v>5600000</v>
      </c>
      <c r="W102" s="227">
        <f>ROUND(IF(H102&lt;=1000,0,V102/12*12),0)</f>
        <v>0</v>
      </c>
      <c r="X102" s="227">
        <f t="shared" ref="X102:X118" si="26">L102-W102</f>
        <v>0</v>
      </c>
    </row>
    <row r="103" spans="1:24" s="9" customFormat="1" ht="13.5" customHeight="1" x14ac:dyDescent="0.2">
      <c r="A103" s="64">
        <v>99</v>
      </c>
      <c r="B103" s="229" t="s">
        <v>394</v>
      </c>
      <c r="C103" s="163">
        <v>39838</v>
      </c>
      <c r="D103" s="67">
        <v>32000000</v>
      </c>
      <c r="E103" s="67"/>
      <c r="F103" s="73">
        <f t="shared" si="23"/>
        <v>32000000</v>
      </c>
      <c r="G103" s="110">
        <v>31999000</v>
      </c>
      <c r="H103" s="73">
        <f t="shared" si="21"/>
        <v>1000</v>
      </c>
      <c r="I103" s="68">
        <v>5</v>
      </c>
      <c r="J103" s="68">
        <v>0.2</v>
      </c>
      <c r="K103" s="68">
        <v>0</v>
      </c>
      <c r="L103" s="110">
        <f>ROUND(IF(F103*J103*K103/12&gt;=H103,H103-1000,F103*J103*K103/12),0)</f>
        <v>0</v>
      </c>
      <c r="M103" s="140">
        <f>+G103+L103</f>
        <v>31999000</v>
      </c>
      <c r="N103" s="73">
        <f t="shared" si="13"/>
        <v>1000</v>
      </c>
      <c r="O103" s="230" t="s">
        <v>392</v>
      </c>
      <c r="P103" s="230">
        <v>1</v>
      </c>
      <c r="Q103" s="70"/>
      <c r="R103" s="23"/>
      <c r="S103" s="23">
        <f>D103*0.05</f>
        <v>1600000</v>
      </c>
      <c r="T103" s="23">
        <f>N103-S103</f>
        <v>-1599000</v>
      </c>
      <c r="U103" s="23">
        <f>N103-1000</f>
        <v>0</v>
      </c>
      <c r="V103" s="10">
        <f t="shared" si="25"/>
        <v>6400000</v>
      </c>
      <c r="W103" s="10">
        <f>ROUND(IF(H103&lt;=1000,0,V103/12*12),0)</f>
        <v>0</v>
      </c>
      <c r="X103" s="10">
        <f t="shared" si="26"/>
        <v>0</v>
      </c>
    </row>
    <row r="104" spans="1:24" s="9" customFormat="1" ht="13.5" customHeight="1" x14ac:dyDescent="0.2">
      <c r="A104" s="64">
        <v>100</v>
      </c>
      <c r="B104" s="229" t="s">
        <v>395</v>
      </c>
      <c r="C104" s="163">
        <v>39869</v>
      </c>
      <c r="D104" s="67">
        <v>11500000</v>
      </c>
      <c r="E104" s="67"/>
      <c r="F104" s="73">
        <f t="shared" si="23"/>
        <v>11500000</v>
      </c>
      <c r="G104" s="110">
        <v>11499000</v>
      </c>
      <c r="H104" s="73">
        <f t="shared" si="21"/>
        <v>1000</v>
      </c>
      <c r="I104" s="68">
        <v>5</v>
      </c>
      <c r="J104" s="68">
        <v>0.2</v>
      </c>
      <c r="K104" s="68">
        <v>0</v>
      </c>
      <c r="L104" s="110">
        <f>ROUND(IF(F104*J104*K104/12&gt;=H104,H104-1000,F104*J104*K104/12),0)</f>
        <v>0</v>
      </c>
      <c r="M104" s="140">
        <f>+G104+L104</f>
        <v>11499000</v>
      </c>
      <c r="N104" s="73">
        <f t="shared" si="13"/>
        <v>1000</v>
      </c>
      <c r="O104" s="230" t="s">
        <v>396</v>
      </c>
      <c r="P104" s="230">
        <v>1</v>
      </c>
      <c r="Q104" s="70"/>
      <c r="R104" s="23"/>
      <c r="S104" s="23">
        <f>D104*0.05</f>
        <v>575000</v>
      </c>
      <c r="T104" s="23">
        <f>N104-S104</f>
        <v>-574000</v>
      </c>
      <c r="U104" s="23">
        <f>N104-1000</f>
        <v>0</v>
      </c>
      <c r="V104" s="10">
        <f t="shared" si="25"/>
        <v>2300000</v>
      </c>
      <c r="W104" s="10">
        <f>ROUND(IF(H104&lt;=1000,0,V104/12*1),0)</f>
        <v>0</v>
      </c>
      <c r="X104" s="10">
        <f t="shared" si="26"/>
        <v>0</v>
      </c>
    </row>
    <row r="105" spans="1:24" s="9" customFormat="1" ht="13.5" customHeight="1" x14ac:dyDescent="0.2">
      <c r="A105" s="64">
        <v>101</v>
      </c>
      <c r="B105" s="229" t="s">
        <v>397</v>
      </c>
      <c r="C105" s="163">
        <v>39903</v>
      </c>
      <c r="D105" s="67">
        <v>6000000</v>
      </c>
      <c r="E105" s="67"/>
      <c r="F105" s="73">
        <f t="shared" si="23"/>
        <v>6000000</v>
      </c>
      <c r="G105" s="110">
        <v>5999000</v>
      </c>
      <c r="H105" s="73">
        <f t="shared" si="21"/>
        <v>1000</v>
      </c>
      <c r="I105" s="68">
        <v>5</v>
      </c>
      <c r="J105" s="68">
        <v>0.2</v>
      </c>
      <c r="K105" s="68">
        <v>0</v>
      </c>
      <c r="L105" s="110">
        <f>ROUND(IF(F105*J105*K105/12&gt;=H105,H105-1000,F105*J105*K105/12),0)</f>
        <v>0</v>
      </c>
      <c r="M105" s="140">
        <f>+G105+L105</f>
        <v>5999000</v>
      </c>
      <c r="N105" s="73">
        <f t="shared" si="13"/>
        <v>1000</v>
      </c>
      <c r="O105" s="230" t="s">
        <v>398</v>
      </c>
      <c r="P105" s="230">
        <v>1</v>
      </c>
      <c r="Q105" s="70"/>
      <c r="R105" s="23"/>
      <c r="S105" s="23">
        <f>D105*0.05</f>
        <v>300000</v>
      </c>
      <c r="T105" s="23">
        <f>N105-S105</f>
        <v>-299000</v>
      </c>
      <c r="U105" s="23">
        <f>N105-1000</f>
        <v>0</v>
      </c>
      <c r="V105" s="10">
        <f t="shared" si="25"/>
        <v>1200000</v>
      </c>
      <c r="W105" s="10">
        <f>ROUND(IF(H105&lt;=1000,0,V105/12*2),0)</f>
        <v>0</v>
      </c>
      <c r="X105" s="10">
        <f t="shared" si="26"/>
        <v>0</v>
      </c>
    </row>
    <row r="106" spans="1:24" s="9" customFormat="1" ht="13.5" customHeight="1" x14ac:dyDescent="0.2">
      <c r="A106" s="64">
        <v>102</v>
      </c>
      <c r="B106" s="231" t="s">
        <v>399</v>
      </c>
      <c r="C106" s="208">
        <v>39903</v>
      </c>
      <c r="D106" s="91">
        <v>22794000</v>
      </c>
      <c r="E106" s="91"/>
      <c r="F106" s="73">
        <f t="shared" si="23"/>
        <v>22794000</v>
      </c>
      <c r="G106" s="121">
        <v>22793000</v>
      </c>
      <c r="H106" s="73">
        <f t="shared" si="21"/>
        <v>1000</v>
      </c>
      <c r="I106" s="92">
        <v>5</v>
      </c>
      <c r="J106" s="68">
        <v>0.2</v>
      </c>
      <c r="K106" s="68">
        <v>0</v>
      </c>
      <c r="L106" s="110">
        <f>ROUND(IF(F106*J106*K106/12&gt;=H106,H106-1000,F106*J106*K106/12),0)</f>
        <v>0</v>
      </c>
      <c r="M106" s="140">
        <f>+G106+L106</f>
        <v>22793000</v>
      </c>
      <c r="N106" s="73">
        <f t="shared" si="13"/>
        <v>1000</v>
      </c>
      <c r="O106" s="122" t="s">
        <v>400</v>
      </c>
      <c r="P106" s="122">
        <v>1</v>
      </c>
      <c r="Q106" s="94"/>
      <c r="R106" s="23"/>
      <c r="S106" s="23">
        <f>D106*0.05</f>
        <v>1139700</v>
      </c>
      <c r="T106" s="23">
        <f>N106-S106</f>
        <v>-1138700</v>
      </c>
      <c r="U106" s="23">
        <f>N106-1000</f>
        <v>0</v>
      </c>
      <c r="V106" s="10">
        <f t="shared" si="25"/>
        <v>4558800</v>
      </c>
      <c r="W106" s="10">
        <f>ROUND(IF(H106&lt;=1000,0,V106/12*2),0)</f>
        <v>0</v>
      </c>
      <c r="X106" s="10">
        <f t="shared" si="26"/>
        <v>0</v>
      </c>
    </row>
    <row r="107" spans="1:24" s="228" customFormat="1" ht="13.5" customHeight="1" x14ac:dyDescent="0.2">
      <c r="A107" s="216">
        <v>103</v>
      </c>
      <c r="B107" s="217" t="s">
        <v>401</v>
      </c>
      <c r="C107" s="218">
        <v>39928</v>
      </c>
      <c r="D107" s="219">
        <v>0</v>
      </c>
      <c r="E107" s="219"/>
      <c r="F107" s="219">
        <f t="shared" si="23"/>
        <v>0</v>
      </c>
      <c r="G107" s="221">
        <v>0</v>
      </c>
      <c r="H107" s="219">
        <f t="shared" si="21"/>
        <v>0</v>
      </c>
      <c r="I107" s="222">
        <v>5</v>
      </c>
      <c r="J107" s="222">
        <v>0.2</v>
      </c>
      <c r="K107" s="68">
        <v>0</v>
      </c>
      <c r="L107" s="221">
        <v>0</v>
      </c>
      <c r="M107" s="221">
        <v>0</v>
      </c>
      <c r="N107" s="219">
        <f t="shared" si="13"/>
        <v>0</v>
      </c>
      <c r="O107" s="232" t="s">
        <v>402</v>
      </c>
      <c r="P107" s="224">
        <v>1</v>
      </c>
      <c r="Q107" s="225" t="s">
        <v>403</v>
      </c>
      <c r="R107" s="226"/>
      <c r="S107" s="226">
        <v>0</v>
      </c>
      <c r="T107" s="226">
        <v>0</v>
      </c>
      <c r="U107" s="226">
        <f>N107</f>
        <v>0</v>
      </c>
      <c r="V107" s="227">
        <f t="shared" si="25"/>
        <v>0</v>
      </c>
      <c r="W107" s="10">
        <f>ROUND(IF(H107&lt;=1000,0,V107/12*9),0)</f>
        <v>0</v>
      </c>
      <c r="X107" s="227">
        <f t="shared" si="26"/>
        <v>0</v>
      </c>
    </row>
    <row r="108" spans="1:24" s="9" customFormat="1" ht="13.5" customHeight="1" x14ac:dyDescent="0.2">
      <c r="A108" s="64">
        <v>104</v>
      </c>
      <c r="B108" s="206" t="s">
        <v>404</v>
      </c>
      <c r="C108" s="163">
        <v>39959</v>
      </c>
      <c r="D108" s="67">
        <v>23000000</v>
      </c>
      <c r="E108" s="67"/>
      <c r="F108" s="67">
        <f t="shared" si="23"/>
        <v>23000000</v>
      </c>
      <c r="G108" s="110">
        <v>22999000</v>
      </c>
      <c r="H108" s="67">
        <f t="shared" si="21"/>
        <v>1000</v>
      </c>
      <c r="I108" s="68">
        <v>5</v>
      </c>
      <c r="J108" s="68">
        <v>0.2</v>
      </c>
      <c r="K108" s="68">
        <v>0</v>
      </c>
      <c r="L108" s="110">
        <f t="shared" ref="L108:L118" si="27">ROUND(IF(F108*J108*K108/12&gt;=H108,H108-1000,F108*J108*K108/12),0)</f>
        <v>0</v>
      </c>
      <c r="M108" s="110">
        <f t="shared" ref="M108:M118" si="28">+G108+L108</f>
        <v>22999000</v>
      </c>
      <c r="N108" s="67">
        <f t="shared" si="13"/>
        <v>1000</v>
      </c>
      <c r="O108" s="111" t="s">
        <v>405</v>
      </c>
      <c r="P108" s="230">
        <v>1</v>
      </c>
      <c r="Q108" s="70"/>
      <c r="R108" s="23"/>
      <c r="S108" s="23">
        <f t="shared" ref="S108:S118" si="29">D108*0.05</f>
        <v>1150000</v>
      </c>
      <c r="T108" s="23">
        <f t="shared" ref="T108:T118" si="30">N108-S108</f>
        <v>-1149000</v>
      </c>
      <c r="U108" s="23">
        <f t="shared" ref="U108:U118" si="31">N108-1000</f>
        <v>0</v>
      </c>
      <c r="V108" s="10">
        <f t="shared" si="25"/>
        <v>4600000</v>
      </c>
      <c r="W108" s="10">
        <f>ROUND(IF(H108&lt;=1000,0,V108/12*4),0)</f>
        <v>0</v>
      </c>
      <c r="X108" s="10">
        <f t="shared" si="26"/>
        <v>0</v>
      </c>
    </row>
    <row r="109" spans="1:24" s="9" customFormat="1" ht="13.5" customHeight="1" x14ac:dyDescent="0.2">
      <c r="A109" s="64">
        <v>105</v>
      </c>
      <c r="B109" s="206" t="s">
        <v>406</v>
      </c>
      <c r="C109" s="163">
        <v>39968</v>
      </c>
      <c r="D109" s="67">
        <v>4500000</v>
      </c>
      <c r="E109" s="67"/>
      <c r="F109" s="67">
        <f t="shared" si="23"/>
        <v>4500000</v>
      </c>
      <c r="G109" s="110">
        <v>4499000</v>
      </c>
      <c r="H109" s="67">
        <f t="shared" si="21"/>
        <v>1000</v>
      </c>
      <c r="I109" s="68">
        <v>5</v>
      </c>
      <c r="J109" s="68">
        <v>0.2</v>
      </c>
      <c r="K109" s="68">
        <v>0</v>
      </c>
      <c r="L109" s="110">
        <f t="shared" si="27"/>
        <v>0</v>
      </c>
      <c r="M109" s="110">
        <f t="shared" si="28"/>
        <v>4499000</v>
      </c>
      <c r="N109" s="67">
        <f t="shared" si="13"/>
        <v>1000</v>
      </c>
      <c r="O109" s="230" t="s">
        <v>407</v>
      </c>
      <c r="P109" s="230">
        <v>1</v>
      </c>
      <c r="Q109" s="70"/>
      <c r="R109" s="23"/>
      <c r="S109" s="23">
        <f t="shared" si="29"/>
        <v>225000</v>
      </c>
      <c r="T109" s="23">
        <f t="shared" si="30"/>
        <v>-224000</v>
      </c>
      <c r="U109" s="23">
        <f t="shared" si="31"/>
        <v>0</v>
      </c>
      <c r="V109" s="10">
        <f t="shared" si="25"/>
        <v>900000</v>
      </c>
      <c r="W109" s="10">
        <f t="shared" ref="W109:W118" si="32">ROUND(IF(H109&lt;=1000,0,V109/12*5),0)</f>
        <v>0</v>
      </c>
      <c r="X109" s="10">
        <f t="shared" si="26"/>
        <v>0</v>
      </c>
    </row>
    <row r="110" spans="1:24" s="9" customFormat="1" ht="13.5" customHeight="1" x14ac:dyDescent="0.2">
      <c r="A110" s="64">
        <v>106</v>
      </c>
      <c r="B110" s="210" t="s">
        <v>408</v>
      </c>
      <c r="C110" s="148">
        <v>39994</v>
      </c>
      <c r="D110" s="73">
        <v>6300000</v>
      </c>
      <c r="E110" s="73"/>
      <c r="F110" s="73">
        <f t="shared" si="23"/>
        <v>6300000</v>
      </c>
      <c r="G110" s="140">
        <v>6299000</v>
      </c>
      <c r="H110" s="73">
        <f t="shared" si="21"/>
        <v>1000</v>
      </c>
      <c r="I110" s="74">
        <v>5</v>
      </c>
      <c r="J110" s="68">
        <v>0.2</v>
      </c>
      <c r="K110" s="68">
        <v>0</v>
      </c>
      <c r="L110" s="110">
        <f t="shared" si="27"/>
        <v>0</v>
      </c>
      <c r="M110" s="140">
        <f t="shared" si="28"/>
        <v>6299000</v>
      </c>
      <c r="N110" s="73">
        <f t="shared" si="13"/>
        <v>1000</v>
      </c>
      <c r="O110" s="233" t="s">
        <v>409</v>
      </c>
      <c r="P110" s="122">
        <v>1</v>
      </c>
      <c r="Q110" s="76"/>
      <c r="R110" s="23"/>
      <c r="S110" s="23">
        <f t="shared" si="29"/>
        <v>315000</v>
      </c>
      <c r="T110" s="23">
        <f t="shared" si="30"/>
        <v>-314000</v>
      </c>
      <c r="U110" s="23">
        <f t="shared" si="31"/>
        <v>0</v>
      </c>
      <c r="V110" s="10">
        <f t="shared" si="25"/>
        <v>1260000</v>
      </c>
      <c r="W110" s="10">
        <f t="shared" si="32"/>
        <v>0</v>
      </c>
      <c r="X110" s="10">
        <f t="shared" si="26"/>
        <v>0</v>
      </c>
    </row>
    <row r="111" spans="1:24" s="9" customFormat="1" ht="13.5" customHeight="1" x14ac:dyDescent="0.2">
      <c r="A111" s="64">
        <v>107</v>
      </c>
      <c r="B111" s="206" t="s">
        <v>410</v>
      </c>
      <c r="C111" s="163">
        <v>40004</v>
      </c>
      <c r="D111" s="67">
        <v>80570700</v>
      </c>
      <c r="E111" s="67"/>
      <c r="F111" s="67">
        <f t="shared" si="23"/>
        <v>80570700</v>
      </c>
      <c r="G111" s="110">
        <v>80569700</v>
      </c>
      <c r="H111" s="67">
        <f t="shared" si="21"/>
        <v>1000</v>
      </c>
      <c r="I111" s="74">
        <v>5</v>
      </c>
      <c r="J111" s="68">
        <v>0.2</v>
      </c>
      <c r="K111" s="68">
        <v>0</v>
      </c>
      <c r="L111" s="110">
        <f t="shared" si="27"/>
        <v>0</v>
      </c>
      <c r="M111" s="110">
        <f t="shared" si="28"/>
        <v>80569700</v>
      </c>
      <c r="N111" s="67">
        <f t="shared" si="13"/>
        <v>1000</v>
      </c>
      <c r="O111" s="111" t="s">
        <v>357</v>
      </c>
      <c r="P111" s="111">
        <v>1</v>
      </c>
      <c r="Q111" s="70"/>
      <c r="R111" s="23"/>
      <c r="S111" s="23">
        <f t="shared" si="29"/>
        <v>4028535</v>
      </c>
      <c r="T111" s="23">
        <f t="shared" si="30"/>
        <v>-4027535</v>
      </c>
      <c r="U111" s="23">
        <f t="shared" si="31"/>
        <v>0</v>
      </c>
      <c r="V111" s="10">
        <f t="shared" si="25"/>
        <v>16114140</v>
      </c>
      <c r="W111" s="10">
        <f t="shared" si="32"/>
        <v>0</v>
      </c>
      <c r="X111" s="10">
        <f t="shared" si="26"/>
        <v>0</v>
      </c>
    </row>
    <row r="112" spans="1:24" s="9" customFormat="1" ht="13.5" customHeight="1" x14ac:dyDescent="0.2">
      <c r="A112" s="64">
        <v>108</v>
      </c>
      <c r="B112" s="206" t="s">
        <v>411</v>
      </c>
      <c r="C112" s="163">
        <v>40081</v>
      </c>
      <c r="D112" s="67">
        <v>92000000</v>
      </c>
      <c r="E112" s="67"/>
      <c r="F112" s="67">
        <f t="shared" si="23"/>
        <v>92000000</v>
      </c>
      <c r="G112" s="110">
        <v>91999000</v>
      </c>
      <c r="H112" s="67">
        <f t="shared" si="21"/>
        <v>1000</v>
      </c>
      <c r="I112" s="68">
        <v>5</v>
      </c>
      <c r="J112" s="68">
        <v>0.2</v>
      </c>
      <c r="K112" s="68">
        <v>0</v>
      </c>
      <c r="L112" s="110">
        <f t="shared" si="27"/>
        <v>0</v>
      </c>
      <c r="M112" s="110">
        <f t="shared" si="28"/>
        <v>91999000</v>
      </c>
      <c r="N112" s="67">
        <f t="shared" si="13"/>
        <v>1000</v>
      </c>
      <c r="O112" s="111" t="s">
        <v>412</v>
      </c>
      <c r="P112" s="111">
        <v>1</v>
      </c>
      <c r="Q112" s="70"/>
      <c r="R112" s="23"/>
      <c r="S112" s="23">
        <f t="shared" si="29"/>
        <v>4600000</v>
      </c>
      <c r="T112" s="23">
        <f t="shared" si="30"/>
        <v>-4599000</v>
      </c>
      <c r="U112" s="23">
        <f t="shared" si="31"/>
        <v>0</v>
      </c>
      <c r="V112" s="10">
        <f t="shared" si="25"/>
        <v>18400000</v>
      </c>
      <c r="W112" s="10">
        <f t="shared" si="32"/>
        <v>0</v>
      </c>
      <c r="X112" s="10">
        <f t="shared" si="26"/>
        <v>0</v>
      </c>
    </row>
    <row r="113" spans="1:24" s="9" customFormat="1" ht="13.5" customHeight="1" x14ac:dyDescent="0.2">
      <c r="A113" s="64">
        <v>109</v>
      </c>
      <c r="B113" s="234" t="s">
        <v>413</v>
      </c>
      <c r="C113" s="163">
        <v>40111</v>
      </c>
      <c r="D113" s="67">
        <v>13800000</v>
      </c>
      <c r="E113" s="235"/>
      <c r="F113" s="67">
        <f t="shared" si="23"/>
        <v>13800000</v>
      </c>
      <c r="G113" s="110">
        <v>13799000</v>
      </c>
      <c r="H113" s="67">
        <f t="shared" si="21"/>
        <v>1000</v>
      </c>
      <c r="I113" s="68">
        <v>5</v>
      </c>
      <c r="J113" s="68">
        <v>0.2</v>
      </c>
      <c r="K113" s="68">
        <v>0</v>
      </c>
      <c r="L113" s="110">
        <f t="shared" si="27"/>
        <v>0</v>
      </c>
      <c r="M113" s="110">
        <f t="shared" si="28"/>
        <v>13799000</v>
      </c>
      <c r="N113" s="67">
        <f t="shared" si="13"/>
        <v>1000</v>
      </c>
      <c r="O113" s="145" t="s">
        <v>414</v>
      </c>
      <c r="P113" s="111">
        <v>1</v>
      </c>
      <c r="Q113" s="70"/>
      <c r="R113" s="23"/>
      <c r="S113" s="23">
        <f t="shared" si="29"/>
        <v>690000</v>
      </c>
      <c r="T113" s="23">
        <f t="shared" si="30"/>
        <v>-689000</v>
      </c>
      <c r="U113" s="23">
        <f t="shared" si="31"/>
        <v>0</v>
      </c>
      <c r="V113" s="10">
        <f t="shared" si="25"/>
        <v>2760000</v>
      </c>
      <c r="W113" s="10">
        <f t="shared" si="32"/>
        <v>0</v>
      </c>
      <c r="X113" s="10">
        <f t="shared" si="26"/>
        <v>0</v>
      </c>
    </row>
    <row r="114" spans="1:24" s="9" customFormat="1" ht="13.5" customHeight="1" x14ac:dyDescent="0.2">
      <c r="A114" s="64">
        <v>110</v>
      </c>
      <c r="B114" s="206" t="s">
        <v>415</v>
      </c>
      <c r="C114" s="163">
        <v>40111</v>
      </c>
      <c r="D114" s="67">
        <v>15000000</v>
      </c>
      <c r="E114" s="235"/>
      <c r="F114" s="67">
        <f t="shared" si="23"/>
        <v>15000000</v>
      </c>
      <c r="G114" s="110">
        <v>14999000</v>
      </c>
      <c r="H114" s="67">
        <f t="shared" si="21"/>
        <v>1000</v>
      </c>
      <c r="I114" s="68">
        <v>5</v>
      </c>
      <c r="J114" s="68">
        <v>0.2</v>
      </c>
      <c r="K114" s="68">
        <v>0</v>
      </c>
      <c r="L114" s="110">
        <f t="shared" si="27"/>
        <v>0</v>
      </c>
      <c r="M114" s="110">
        <f t="shared" si="28"/>
        <v>14999000</v>
      </c>
      <c r="N114" s="67">
        <f t="shared" si="13"/>
        <v>1000</v>
      </c>
      <c r="O114" s="145" t="s">
        <v>416</v>
      </c>
      <c r="P114" s="111">
        <v>1</v>
      </c>
      <c r="Q114" s="70"/>
      <c r="R114" s="23"/>
      <c r="S114" s="23">
        <f t="shared" si="29"/>
        <v>750000</v>
      </c>
      <c r="T114" s="23">
        <f t="shared" si="30"/>
        <v>-749000</v>
      </c>
      <c r="U114" s="23">
        <f t="shared" si="31"/>
        <v>0</v>
      </c>
      <c r="V114" s="10">
        <f t="shared" si="25"/>
        <v>3000000</v>
      </c>
      <c r="W114" s="10">
        <f t="shared" si="32"/>
        <v>0</v>
      </c>
      <c r="X114" s="10">
        <f t="shared" si="26"/>
        <v>0</v>
      </c>
    </row>
    <row r="115" spans="1:24" s="9" customFormat="1" ht="13.5" customHeight="1" x14ac:dyDescent="0.2">
      <c r="A115" s="64">
        <v>111</v>
      </c>
      <c r="B115" s="206" t="s">
        <v>417</v>
      </c>
      <c r="C115" s="163">
        <v>40111</v>
      </c>
      <c r="D115" s="67">
        <v>2000000</v>
      </c>
      <c r="E115" s="235"/>
      <c r="F115" s="67">
        <f t="shared" si="23"/>
        <v>2000000</v>
      </c>
      <c r="G115" s="110">
        <v>1999000</v>
      </c>
      <c r="H115" s="67">
        <f t="shared" si="21"/>
        <v>1000</v>
      </c>
      <c r="I115" s="68">
        <v>5</v>
      </c>
      <c r="J115" s="68">
        <v>0.2</v>
      </c>
      <c r="K115" s="68">
        <v>0</v>
      </c>
      <c r="L115" s="110">
        <f t="shared" si="27"/>
        <v>0</v>
      </c>
      <c r="M115" s="110">
        <f t="shared" si="28"/>
        <v>1999000</v>
      </c>
      <c r="N115" s="67">
        <f t="shared" si="13"/>
        <v>1000</v>
      </c>
      <c r="O115" s="145" t="s">
        <v>416</v>
      </c>
      <c r="P115" s="111">
        <v>1</v>
      </c>
      <c r="Q115" s="70"/>
      <c r="R115" s="23"/>
      <c r="S115" s="23">
        <f t="shared" si="29"/>
        <v>100000</v>
      </c>
      <c r="T115" s="23">
        <f t="shared" si="30"/>
        <v>-99000</v>
      </c>
      <c r="U115" s="23">
        <f t="shared" si="31"/>
        <v>0</v>
      </c>
      <c r="V115" s="10">
        <f t="shared" si="25"/>
        <v>400000</v>
      </c>
      <c r="W115" s="10">
        <f t="shared" si="32"/>
        <v>0</v>
      </c>
      <c r="X115" s="10">
        <f t="shared" si="26"/>
        <v>0</v>
      </c>
    </row>
    <row r="116" spans="1:24" s="9" customFormat="1" ht="13.5" customHeight="1" x14ac:dyDescent="0.2">
      <c r="A116" s="64">
        <v>112</v>
      </c>
      <c r="B116" s="206" t="s">
        <v>418</v>
      </c>
      <c r="C116" s="163">
        <v>40111</v>
      </c>
      <c r="D116" s="67">
        <v>8200000</v>
      </c>
      <c r="E116" s="235"/>
      <c r="F116" s="67">
        <f t="shared" si="23"/>
        <v>8200000</v>
      </c>
      <c r="G116" s="110">
        <v>8199000</v>
      </c>
      <c r="H116" s="67">
        <f t="shared" si="21"/>
        <v>1000</v>
      </c>
      <c r="I116" s="68">
        <v>5</v>
      </c>
      <c r="J116" s="68">
        <v>0.2</v>
      </c>
      <c r="K116" s="68">
        <v>0</v>
      </c>
      <c r="L116" s="110">
        <f t="shared" si="27"/>
        <v>0</v>
      </c>
      <c r="M116" s="110">
        <f t="shared" si="28"/>
        <v>8199000</v>
      </c>
      <c r="N116" s="67">
        <f t="shared" si="13"/>
        <v>1000</v>
      </c>
      <c r="O116" s="145" t="s">
        <v>419</v>
      </c>
      <c r="P116" s="111">
        <v>1</v>
      </c>
      <c r="Q116" s="70"/>
      <c r="R116" s="23"/>
      <c r="S116" s="23">
        <f t="shared" si="29"/>
        <v>410000</v>
      </c>
      <c r="T116" s="23">
        <f t="shared" si="30"/>
        <v>-409000</v>
      </c>
      <c r="U116" s="23">
        <f t="shared" si="31"/>
        <v>0</v>
      </c>
      <c r="V116" s="10">
        <f t="shared" si="25"/>
        <v>1640000</v>
      </c>
      <c r="W116" s="10">
        <f t="shared" si="32"/>
        <v>0</v>
      </c>
      <c r="X116" s="10">
        <f t="shared" si="26"/>
        <v>0</v>
      </c>
    </row>
    <row r="117" spans="1:24" s="9" customFormat="1" ht="13.5" customHeight="1" x14ac:dyDescent="0.2">
      <c r="A117" s="64">
        <v>113</v>
      </c>
      <c r="B117" s="206" t="s">
        <v>420</v>
      </c>
      <c r="C117" s="163">
        <v>40147</v>
      </c>
      <c r="D117" s="67">
        <v>3650000</v>
      </c>
      <c r="E117" s="235"/>
      <c r="F117" s="67">
        <f t="shared" si="23"/>
        <v>3650000</v>
      </c>
      <c r="G117" s="110">
        <v>3649000</v>
      </c>
      <c r="H117" s="67">
        <f t="shared" si="21"/>
        <v>1000</v>
      </c>
      <c r="I117" s="68">
        <v>5</v>
      </c>
      <c r="J117" s="68">
        <v>0.2</v>
      </c>
      <c r="K117" s="68">
        <v>0</v>
      </c>
      <c r="L117" s="110">
        <f t="shared" si="27"/>
        <v>0</v>
      </c>
      <c r="M117" s="110">
        <f t="shared" si="28"/>
        <v>3649000</v>
      </c>
      <c r="N117" s="67">
        <f t="shared" si="13"/>
        <v>1000</v>
      </c>
      <c r="O117" s="145" t="s">
        <v>421</v>
      </c>
      <c r="P117" s="111">
        <v>1</v>
      </c>
      <c r="Q117" s="70"/>
      <c r="R117" s="23"/>
      <c r="S117" s="23">
        <f t="shared" si="29"/>
        <v>182500</v>
      </c>
      <c r="T117" s="23">
        <f t="shared" si="30"/>
        <v>-181500</v>
      </c>
      <c r="U117" s="23">
        <f t="shared" si="31"/>
        <v>0</v>
      </c>
      <c r="V117" s="10">
        <f t="shared" si="25"/>
        <v>730000</v>
      </c>
      <c r="W117" s="10">
        <f t="shared" si="32"/>
        <v>0</v>
      </c>
      <c r="X117" s="10">
        <f t="shared" si="26"/>
        <v>0</v>
      </c>
    </row>
    <row r="118" spans="1:24" s="9" customFormat="1" ht="13.5" customHeight="1" x14ac:dyDescent="0.2">
      <c r="A118" s="64">
        <v>114</v>
      </c>
      <c r="B118" s="206" t="s">
        <v>422</v>
      </c>
      <c r="C118" s="163">
        <v>40147</v>
      </c>
      <c r="D118" s="67">
        <v>1950000</v>
      </c>
      <c r="E118" s="235"/>
      <c r="F118" s="67">
        <f t="shared" si="23"/>
        <v>1950000</v>
      </c>
      <c r="G118" s="110">
        <v>1949000</v>
      </c>
      <c r="H118" s="67">
        <f t="shared" si="21"/>
        <v>1000</v>
      </c>
      <c r="I118" s="68">
        <v>5</v>
      </c>
      <c r="J118" s="68">
        <v>0.2</v>
      </c>
      <c r="K118" s="68">
        <v>0</v>
      </c>
      <c r="L118" s="110">
        <f t="shared" si="27"/>
        <v>0</v>
      </c>
      <c r="M118" s="110">
        <f t="shared" si="28"/>
        <v>1949000</v>
      </c>
      <c r="N118" s="67">
        <f t="shared" si="13"/>
        <v>1000</v>
      </c>
      <c r="O118" s="145" t="s">
        <v>421</v>
      </c>
      <c r="P118" s="111">
        <v>1</v>
      </c>
      <c r="Q118" s="70"/>
      <c r="R118" s="23"/>
      <c r="S118" s="23">
        <f t="shared" si="29"/>
        <v>97500</v>
      </c>
      <c r="T118" s="23">
        <f t="shared" si="30"/>
        <v>-96500</v>
      </c>
      <c r="U118" s="23">
        <f t="shared" si="31"/>
        <v>0</v>
      </c>
      <c r="V118" s="10">
        <f t="shared" si="25"/>
        <v>390000</v>
      </c>
      <c r="W118" s="10">
        <f t="shared" si="32"/>
        <v>0</v>
      </c>
      <c r="X118" s="10">
        <f t="shared" si="26"/>
        <v>0</v>
      </c>
    </row>
    <row r="119" spans="1:24" s="174" customFormat="1" ht="13.5" customHeight="1" x14ac:dyDescent="0.2">
      <c r="A119" s="164">
        <v>115</v>
      </c>
      <c r="B119" s="205" t="s">
        <v>423</v>
      </c>
      <c r="C119" s="166">
        <v>40147</v>
      </c>
      <c r="D119" s="167">
        <v>0</v>
      </c>
      <c r="E119" s="236"/>
      <c r="F119" s="167">
        <f t="shared" si="23"/>
        <v>0</v>
      </c>
      <c r="G119" s="168"/>
      <c r="H119" s="167">
        <f t="shared" si="21"/>
        <v>0</v>
      </c>
      <c r="I119" s="169">
        <v>5</v>
      </c>
      <c r="J119" s="169">
        <v>0.2</v>
      </c>
      <c r="K119" s="169">
        <v>0</v>
      </c>
      <c r="L119" s="168"/>
      <c r="M119" s="168"/>
      <c r="N119" s="167">
        <f t="shared" si="13"/>
        <v>0</v>
      </c>
      <c r="O119" s="237" t="s">
        <v>421</v>
      </c>
      <c r="P119" s="176">
        <v>1</v>
      </c>
      <c r="Q119" s="171" t="s">
        <v>390</v>
      </c>
      <c r="R119" s="172"/>
      <c r="S119" s="172"/>
      <c r="T119" s="172"/>
      <c r="U119" s="172"/>
      <c r="V119" s="173"/>
      <c r="W119" s="173"/>
      <c r="X119" s="173"/>
    </row>
    <row r="120" spans="1:24" s="9" customFormat="1" ht="13.5" customHeight="1" x14ac:dyDescent="0.2">
      <c r="A120" s="64">
        <v>116</v>
      </c>
      <c r="B120" s="206" t="s">
        <v>424</v>
      </c>
      <c r="C120" s="163">
        <v>40147</v>
      </c>
      <c r="D120" s="67">
        <v>3600000</v>
      </c>
      <c r="E120" s="235"/>
      <c r="F120" s="67">
        <f t="shared" si="23"/>
        <v>3600000</v>
      </c>
      <c r="G120" s="110">
        <v>3599000</v>
      </c>
      <c r="H120" s="67">
        <f t="shared" si="21"/>
        <v>1000</v>
      </c>
      <c r="I120" s="68">
        <v>5</v>
      </c>
      <c r="J120" s="68">
        <v>0.2</v>
      </c>
      <c r="K120" s="68">
        <v>0</v>
      </c>
      <c r="L120" s="110">
        <f t="shared" ref="L120:L158" si="33">ROUND(IF(F120*J120*K120/12&gt;=H120,H120-1000,F120*J120*K120/12),0)</f>
        <v>0</v>
      </c>
      <c r="M120" s="110">
        <f t="shared" ref="M120:M183" si="34">+G120+L120</f>
        <v>3599000</v>
      </c>
      <c r="N120" s="67">
        <f t="shared" si="13"/>
        <v>1000</v>
      </c>
      <c r="O120" s="145" t="s">
        <v>421</v>
      </c>
      <c r="P120" s="111">
        <v>1</v>
      </c>
      <c r="Q120" s="70"/>
      <c r="R120" s="23"/>
      <c r="S120" s="23">
        <f t="shared" ref="S120:S158" si="35">D120*0.05</f>
        <v>180000</v>
      </c>
      <c r="T120" s="23">
        <f t="shared" ref="T120:T158" si="36">N120-S120</f>
        <v>-179000</v>
      </c>
      <c r="U120" s="23">
        <f t="shared" ref="U120:U158" si="37">N120-1000</f>
        <v>0</v>
      </c>
      <c r="V120" s="10">
        <f t="shared" ref="V120:V158" si="38">F120/I120</f>
        <v>720000</v>
      </c>
      <c r="W120" s="10">
        <f t="shared" ref="W120:W126" si="39">ROUND(IF(H120&lt;=1000,0,V120/12*5),0)</f>
        <v>0</v>
      </c>
      <c r="X120" s="10">
        <f t="shared" ref="X120:X158" si="40">L120-W120</f>
        <v>0</v>
      </c>
    </row>
    <row r="121" spans="1:24" s="9" customFormat="1" ht="13.5" customHeight="1" x14ac:dyDescent="0.2">
      <c r="A121" s="64">
        <v>117</v>
      </c>
      <c r="B121" s="206" t="s">
        <v>425</v>
      </c>
      <c r="C121" s="163">
        <v>40147</v>
      </c>
      <c r="D121" s="67">
        <v>38000000</v>
      </c>
      <c r="E121" s="235"/>
      <c r="F121" s="67">
        <f t="shared" si="23"/>
        <v>38000000</v>
      </c>
      <c r="G121" s="110">
        <v>37999000</v>
      </c>
      <c r="H121" s="67">
        <f t="shared" si="21"/>
        <v>1000</v>
      </c>
      <c r="I121" s="68">
        <v>5</v>
      </c>
      <c r="J121" s="68">
        <v>0.2</v>
      </c>
      <c r="K121" s="68">
        <v>0</v>
      </c>
      <c r="L121" s="110">
        <f t="shared" si="33"/>
        <v>0</v>
      </c>
      <c r="M121" s="110">
        <f t="shared" si="34"/>
        <v>37999000</v>
      </c>
      <c r="N121" s="67">
        <f t="shared" si="13"/>
        <v>1000</v>
      </c>
      <c r="O121" s="145" t="s">
        <v>359</v>
      </c>
      <c r="P121" s="111">
        <v>1</v>
      </c>
      <c r="Q121" s="70"/>
      <c r="R121" s="23"/>
      <c r="S121" s="23">
        <f t="shared" si="35"/>
        <v>1900000</v>
      </c>
      <c r="T121" s="23">
        <f t="shared" si="36"/>
        <v>-1899000</v>
      </c>
      <c r="U121" s="23">
        <f t="shared" si="37"/>
        <v>0</v>
      </c>
      <c r="V121" s="10">
        <f t="shared" si="38"/>
        <v>7600000</v>
      </c>
      <c r="W121" s="10">
        <f t="shared" si="39"/>
        <v>0</v>
      </c>
      <c r="X121" s="10">
        <f t="shared" si="40"/>
        <v>0</v>
      </c>
    </row>
    <row r="122" spans="1:24" s="9" customFormat="1" ht="13.5" customHeight="1" x14ac:dyDescent="0.2">
      <c r="A122" s="64">
        <v>118</v>
      </c>
      <c r="B122" s="206" t="s">
        <v>426</v>
      </c>
      <c r="C122" s="163">
        <v>40171</v>
      </c>
      <c r="D122" s="67">
        <v>40069000</v>
      </c>
      <c r="E122" s="235"/>
      <c r="F122" s="67">
        <f t="shared" si="23"/>
        <v>40069000</v>
      </c>
      <c r="G122" s="110">
        <v>40068000</v>
      </c>
      <c r="H122" s="67">
        <f t="shared" si="21"/>
        <v>1000</v>
      </c>
      <c r="I122" s="68">
        <v>5</v>
      </c>
      <c r="J122" s="68">
        <v>0.2</v>
      </c>
      <c r="K122" s="68">
        <v>0</v>
      </c>
      <c r="L122" s="110">
        <f t="shared" si="33"/>
        <v>0</v>
      </c>
      <c r="M122" s="110">
        <f t="shared" si="34"/>
        <v>40068000</v>
      </c>
      <c r="N122" s="67">
        <f t="shared" si="13"/>
        <v>1000</v>
      </c>
      <c r="O122" s="145" t="s">
        <v>427</v>
      </c>
      <c r="P122" s="111">
        <v>1</v>
      </c>
      <c r="Q122" s="70"/>
      <c r="R122" s="23"/>
      <c r="S122" s="23">
        <f t="shared" si="35"/>
        <v>2003450</v>
      </c>
      <c r="T122" s="23">
        <f t="shared" si="36"/>
        <v>-2002450</v>
      </c>
      <c r="U122" s="23">
        <f t="shared" si="37"/>
        <v>0</v>
      </c>
      <c r="V122" s="10">
        <f t="shared" si="38"/>
        <v>8013800</v>
      </c>
      <c r="W122" s="10">
        <f t="shared" si="39"/>
        <v>0</v>
      </c>
      <c r="X122" s="10">
        <f t="shared" si="40"/>
        <v>0</v>
      </c>
    </row>
    <row r="123" spans="1:24" s="9" customFormat="1" ht="13.5" customHeight="1" x14ac:dyDescent="0.2">
      <c r="A123" s="64">
        <v>119</v>
      </c>
      <c r="B123" s="206" t="s">
        <v>428</v>
      </c>
      <c r="C123" s="163">
        <v>40177</v>
      </c>
      <c r="D123" s="67">
        <v>17000000</v>
      </c>
      <c r="E123" s="235"/>
      <c r="F123" s="67">
        <f t="shared" si="23"/>
        <v>17000000</v>
      </c>
      <c r="G123" s="110">
        <v>16999000</v>
      </c>
      <c r="H123" s="67">
        <f t="shared" si="21"/>
        <v>1000</v>
      </c>
      <c r="I123" s="68">
        <v>5</v>
      </c>
      <c r="J123" s="68">
        <v>0.2</v>
      </c>
      <c r="K123" s="68">
        <v>0</v>
      </c>
      <c r="L123" s="110">
        <f t="shared" si="33"/>
        <v>0</v>
      </c>
      <c r="M123" s="110">
        <f t="shared" si="34"/>
        <v>16999000</v>
      </c>
      <c r="N123" s="67">
        <f t="shared" si="13"/>
        <v>1000</v>
      </c>
      <c r="O123" s="145" t="s">
        <v>429</v>
      </c>
      <c r="P123" s="111">
        <v>1</v>
      </c>
      <c r="Q123" s="70"/>
      <c r="R123" s="23"/>
      <c r="S123" s="23">
        <f t="shared" si="35"/>
        <v>850000</v>
      </c>
      <c r="T123" s="23">
        <f t="shared" si="36"/>
        <v>-849000</v>
      </c>
      <c r="U123" s="23">
        <f t="shared" si="37"/>
        <v>0</v>
      </c>
      <c r="V123" s="10">
        <f t="shared" si="38"/>
        <v>3400000</v>
      </c>
      <c r="W123" s="10">
        <f t="shared" si="39"/>
        <v>0</v>
      </c>
      <c r="X123" s="10">
        <f t="shared" si="40"/>
        <v>0</v>
      </c>
    </row>
    <row r="124" spans="1:24" s="9" customFormat="1" ht="13.5" customHeight="1" x14ac:dyDescent="0.2">
      <c r="A124" s="64">
        <v>120</v>
      </c>
      <c r="B124" s="206" t="s">
        <v>430</v>
      </c>
      <c r="C124" s="163">
        <v>40178</v>
      </c>
      <c r="D124" s="67">
        <v>5771000</v>
      </c>
      <c r="E124" s="235"/>
      <c r="F124" s="67">
        <f t="shared" si="23"/>
        <v>5771000</v>
      </c>
      <c r="G124" s="110">
        <v>5770000</v>
      </c>
      <c r="H124" s="67">
        <f t="shared" si="21"/>
        <v>1000</v>
      </c>
      <c r="I124" s="68">
        <v>5</v>
      </c>
      <c r="J124" s="68">
        <v>0.2</v>
      </c>
      <c r="K124" s="68">
        <v>0</v>
      </c>
      <c r="L124" s="110">
        <f t="shared" si="33"/>
        <v>0</v>
      </c>
      <c r="M124" s="110">
        <f t="shared" si="34"/>
        <v>5770000</v>
      </c>
      <c r="N124" s="67">
        <f t="shared" ref="N124:N187" si="41">+F124-M124</f>
        <v>1000</v>
      </c>
      <c r="O124" s="145" t="s">
        <v>431</v>
      </c>
      <c r="P124" s="111">
        <v>1</v>
      </c>
      <c r="Q124" s="70"/>
      <c r="R124" s="23"/>
      <c r="S124" s="23">
        <f t="shared" si="35"/>
        <v>288550</v>
      </c>
      <c r="T124" s="23">
        <f t="shared" si="36"/>
        <v>-287550</v>
      </c>
      <c r="U124" s="23">
        <f t="shared" si="37"/>
        <v>0</v>
      </c>
      <c r="V124" s="10">
        <f t="shared" si="38"/>
        <v>1154200</v>
      </c>
      <c r="W124" s="10">
        <f t="shared" si="39"/>
        <v>0</v>
      </c>
      <c r="X124" s="10">
        <f t="shared" si="40"/>
        <v>0</v>
      </c>
    </row>
    <row r="125" spans="1:24" s="9" customFormat="1" ht="13.5" customHeight="1" x14ac:dyDescent="0.2">
      <c r="A125" s="64">
        <v>121</v>
      </c>
      <c r="B125" s="206" t="s">
        <v>432</v>
      </c>
      <c r="C125" s="163">
        <v>40203</v>
      </c>
      <c r="D125" s="67">
        <v>20100000</v>
      </c>
      <c r="E125" s="235"/>
      <c r="F125" s="67">
        <f t="shared" si="23"/>
        <v>20100000</v>
      </c>
      <c r="G125" s="110">
        <v>20099000</v>
      </c>
      <c r="H125" s="67">
        <f t="shared" si="21"/>
        <v>1000</v>
      </c>
      <c r="I125" s="68">
        <v>5</v>
      </c>
      <c r="J125" s="68">
        <v>0.2</v>
      </c>
      <c r="K125" s="68">
        <v>0</v>
      </c>
      <c r="L125" s="110">
        <f t="shared" si="33"/>
        <v>0</v>
      </c>
      <c r="M125" s="110">
        <f t="shared" si="34"/>
        <v>20099000</v>
      </c>
      <c r="N125" s="67">
        <f t="shared" si="41"/>
        <v>1000</v>
      </c>
      <c r="O125" s="238" t="s">
        <v>433</v>
      </c>
      <c r="P125" s="111">
        <v>1</v>
      </c>
      <c r="Q125" s="70"/>
      <c r="R125" s="23"/>
      <c r="S125" s="23">
        <f t="shared" si="35"/>
        <v>1005000</v>
      </c>
      <c r="T125" s="23">
        <f t="shared" si="36"/>
        <v>-1004000</v>
      </c>
      <c r="U125" s="23">
        <f t="shared" si="37"/>
        <v>0</v>
      </c>
      <c r="V125" s="10">
        <f t="shared" si="38"/>
        <v>4020000</v>
      </c>
      <c r="W125" s="10">
        <f t="shared" si="39"/>
        <v>0</v>
      </c>
      <c r="X125" s="10">
        <f t="shared" si="40"/>
        <v>0</v>
      </c>
    </row>
    <row r="126" spans="1:24" s="9" customFormat="1" ht="13.5" customHeight="1" x14ac:dyDescent="0.2">
      <c r="A126" s="64">
        <v>122</v>
      </c>
      <c r="B126" s="206" t="s">
        <v>434</v>
      </c>
      <c r="C126" s="163">
        <v>40204</v>
      </c>
      <c r="D126" s="67">
        <v>47000000</v>
      </c>
      <c r="E126" s="235"/>
      <c r="F126" s="67">
        <f t="shared" si="23"/>
        <v>47000000</v>
      </c>
      <c r="G126" s="110">
        <v>46999000</v>
      </c>
      <c r="H126" s="67">
        <f t="shared" si="21"/>
        <v>1000</v>
      </c>
      <c r="I126" s="68">
        <v>5</v>
      </c>
      <c r="J126" s="68">
        <v>0.2</v>
      </c>
      <c r="K126" s="68">
        <v>0</v>
      </c>
      <c r="L126" s="110">
        <f t="shared" si="33"/>
        <v>0</v>
      </c>
      <c r="M126" s="110">
        <f t="shared" si="34"/>
        <v>46999000</v>
      </c>
      <c r="N126" s="67">
        <f t="shared" si="41"/>
        <v>1000</v>
      </c>
      <c r="O126" s="238" t="s">
        <v>435</v>
      </c>
      <c r="P126" s="111">
        <v>1</v>
      </c>
      <c r="Q126" s="70"/>
      <c r="R126" s="23"/>
      <c r="S126" s="23">
        <f t="shared" si="35"/>
        <v>2350000</v>
      </c>
      <c r="T126" s="23">
        <f t="shared" si="36"/>
        <v>-2349000</v>
      </c>
      <c r="U126" s="23">
        <f t="shared" si="37"/>
        <v>0</v>
      </c>
      <c r="V126" s="10">
        <f t="shared" si="38"/>
        <v>9400000</v>
      </c>
      <c r="W126" s="10">
        <f t="shared" si="39"/>
        <v>0</v>
      </c>
      <c r="X126" s="10">
        <f t="shared" si="40"/>
        <v>0</v>
      </c>
    </row>
    <row r="127" spans="1:24" s="9" customFormat="1" ht="13.5" customHeight="1" x14ac:dyDescent="0.2">
      <c r="A127" s="64">
        <v>123</v>
      </c>
      <c r="B127" s="206" t="s">
        <v>436</v>
      </c>
      <c r="C127" s="163">
        <v>40233</v>
      </c>
      <c r="D127" s="67">
        <v>34500000</v>
      </c>
      <c r="E127" s="235"/>
      <c r="F127" s="67">
        <f t="shared" si="23"/>
        <v>34500000</v>
      </c>
      <c r="G127" s="110">
        <v>34499000</v>
      </c>
      <c r="H127" s="67">
        <f t="shared" si="21"/>
        <v>1000</v>
      </c>
      <c r="I127" s="68">
        <v>5</v>
      </c>
      <c r="J127" s="68">
        <v>0.2</v>
      </c>
      <c r="K127" s="68">
        <v>0</v>
      </c>
      <c r="L127" s="110">
        <f t="shared" si="33"/>
        <v>0</v>
      </c>
      <c r="M127" s="110">
        <f t="shared" si="34"/>
        <v>34499000</v>
      </c>
      <c r="N127" s="67">
        <f t="shared" si="41"/>
        <v>1000</v>
      </c>
      <c r="O127" s="238" t="s">
        <v>437</v>
      </c>
      <c r="P127" s="111">
        <v>1</v>
      </c>
      <c r="Q127" s="70"/>
      <c r="R127" s="23"/>
      <c r="S127" s="23">
        <f t="shared" si="35"/>
        <v>1725000</v>
      </c>
      <c r="T127" s="23">
        <f t="shared" si="36"/>
        <v>-1724000</v>
      </c>
      <c r="U127" s="23">
        <f t="shared" si="37"/>
        <v>0</v>
      </c>
      <c r="V127" s="10">
        <f t="shared" si="38"/>
        <v>6900000</v>
      </c>
      <c r="W127" s="10">
        <f t="shared" ref="W127:W176" si="42">ROUND(IF(H127&lt;=1000,0,V127/12*3),0)</f>
        <v>0</v>
      </c>
      <c r="X127" s="10">
        <f t="shared" si="40"/>
        <v>0</v>
      </c>
    </row>
    <row r="128" spans="1:24" s="9" customFormat="1" ht="13.5" customHeight="1" x14ac:dyDescent="0.2">
      <c r="A128" s="64">
        <v>124</v>
      </c>
      <c r="B128" s="206" t="s">
        <v>438</v>
      </c>
      <c r="C128" s="163">
        <v>40234</v>
      </c>
      <c r="D128" s="67">
        <v>46900000</v>
      </c>
      <c r="E128" s="235"/>
      <c r="F128" s="67">
        <f t="shared" si="23"/>
        <v>46900000</v>
      </c>
      <c r="G128" s="110">
        <v>46899000</v>
      </c>
      <c r="H128" s="67">
        <f t="shared" si="21"/>
        <v>1000</v>
      </c>
      <c r="I128" s="68">
        <v>5</v>
      </c>
      <c r="J128" s="68">
        <v>0.2</v>
      </c>
      <c r="K128" s="68">
        <v>0</v>
      </c>
      <c r="L128" s="110">
        <f t="shared" si="33"/>
        <v>0</v>
      </c>
      <c r="M128" s="110">
        <f t="shared" si="34"/>
        <v>46899000</v>
      </c>
      <c r="N128" s="67">
        <f t="shared" si="41"/>
        <v>1000</v>
      </c>
      <c r="O128" s="238" t="s">
        <v>439</v>
      </c>
      <c r="P128" s="111">
        <v>2</v>
      </c>
      <c r="Q128" s="70"/>
      <c r="R128" s="23"/>
      <c r="S128" s="23">
        <f t="shared" si="35"/>
        <v>2345000</v>
      </c>
      <c r="T128" s="23">
        <f t="shared" si="36"/>
        <v>-2344000</v>
      </c>
      <c r="U128" s="23">
        <f t="shared" si="37"/>
        <v>0</v>
      </c>
      <c r="V128" s="10">
        <f t="shared" si="38"/>
        <v>9380000</v>
      </c>
      <c r="W128" s="10">
        <f t="shared" si="42"/>
        <v>0</v>
      </c>
      <c r="X128" s="10">
        <f t="shared" si="40"/>
        <v>0</v>
      </c>
    </row>
    <row r="129" spans="1:24" s="9" customFormat="1" ht="13.5" customHeight="1" x14ac:dyDescent="0.2">
      <c r="A129" s="64">
        <v>125</v>
      </c>
      <c r="B129" s="206" t="s">
        <v>440</v>
      </c>
      <c r="C129" s="163">
        <v>40252</v>
      </c>
      <c r="D129" s="67">
        <v>21000000</v>
      </c>
      <c r="E129" s="235"/>
      <c r="F129" s="67">
        <f t="shared" si="23"/>
        <v>21000000</v>
      </c>
      <c r="G129" s="110">
        <v>20999000</v>
      </c>
      <c r="H129" s="67">
        <f t="shared" si="21"/>
        <v>1000</v>
      </c>
      <c r="I129" s="68">
        <v>5</v>
      </c>
      <c r="J129" s="68">
        <v>0.2</v>
      </c>
      <c r="K129" s="68">
        <v>0</v>
      </c>
      <c r="L129" s="110">
        <f t="shared" si="33"/>
        <v>0</v>
      </c>
      <c r="M129" s="110">
        <f t="shared" si="34"/>
        <v>20999000</v>
      </c>
      <c r="N129" s="67">
        <f t="shared" si="41"/>
        <v>1000</v>
      </c>
      <c r="O129" s="238" t="s">
        <v>441</v>
      </c>
      <c r="P129" s="111">
        <v>1</v>
      </c>
      <c r="Q129" s="70"/>
      <c r="R129" s="23"/>
      <c r="S129" s="23">
        <f t="shared" si="35"/>
        <v>1050000</v>
      </c>
      <c r="T129" s="23">
        <f t="shared" si="36"/>
        <v>-1049000</v>
      </c>
      <c r="U129" s="23">
        <f t="shared" si="37"/>
        <v>0</v>
      </c>
      <c r="V129" s="10">
        <f t="shared" si="38"/>
        <v>4200000</v>
      </c>
      <c r="W129" s="10">
        <f t="shared" si="42"/>
        <v>0</v>
      </c>
      <c r="X129" s="10">
        <f t="shared" si="40"/>
        <v>0</v>
      </c>
    </row>
    <row r="130" spans="1:24" s="9" customFormat="1" ht="13.5" customHeight="1" x14ac:dyDescent="0.2">
      <c r="A130" s="64">
        <v>126</v>
      </c>
      <c r="B130" s="206" t="s">
        <v>442</v>
      </c>
      <c r="C130" s="163">
        <v>40252</v>
      </c>
      <c r="D130" s="67">
        <v>14000000</v>
      </c>
      <c r="E130" s="235"/>
      <c r="F130" s="67">
        <f t="shared" si="23"/>
        <v>14000000</v>
      </c>
      <c r="G130" s="110">
        <v>13999000</v>
      </c>
      <c r="H130" s="67">
        <f t="shared" si="21"/>
        <v>1000</v>
      </c>
      <c r="I130" s="68">
        <v>5</v>
      </c>
      <c r="J130" s="68">
        <v>0.2</v>
      </c>
      <c r="K130" s="68">
        <v>0</v>
      </c>
      <c r="L130" s="110">
        <f t="shared" si="33"/>
        <v>0</v>
      </c>
      <c r="M130" s="110">
        <f t="shared" si="34"/>
        <v>13999000</v>
      </c>
      <c r="N130" s="67">
        <f t="shared" si="41"/>
        <v>1000</v>
      </c>
      <c r="O130" s="238" t="s">
        <v>443</v>
      </c>
      <c r="P130" s="111">
        <v>2</v>
      </c>
      <c r="Q130" s="70"/>
      <c r="R130" s="23"/>
      <c r="S130" s="23">
        <f t="shared" si="35"/>
        <v>700000</v>
      </c>
      <c r="T130" s="23">
        <f t="shared" si="36"/>
        <v>-699000</v>
      </c>
      <c r="U130" s="23">
        <f t="shared" si="37"/>
        <v>0</v>
      </c>
      <c r="V130" s="10">
        <f t="shared" si="38"/>
        <v>2800000</v>
      </c>
      <c r="W130" s="10">
        <f t="shared" si="42"/>
        <v>0</v>
      </c>
      <c r="X130" s="10">
        <f t="shared" si="40"/>
        <v>0</v>
      </c>
    </row>
    <row r="131" spans="1:24" s="9" customFormat="1" ht="13.5" customHeight="1" x14ac:dyDescent="0.2">
      <c r="A131" s="64">
        <v>127</v>
      </c>
      <c r="B131" s="207" t="s">
        <v>444</v>
      </c>
      <c r="C131" s="208">
        <v>40262</v>
      </c>
      <c r="D131" s="91">
        <v>6000000</v>
      </c>
      <c r="E131" s="235"/>
      <c r="F131" s="67">
        <f t="shared" si="23"/>
        <v>6000000</v>
      </c>
      <c r="G131" s="110">
        <v>5999000</v>
      </c>
      <c r="H131" s="67">
        <f t="shared" si="21"/>
        <v>1000</v>
      </c>
      <c r="I131" s="68">
        <v>5</v>
      </c>
      <c r="J131" s="68">
        <v>0.2</v>
      </c>
      <c r="K131" s="68">
        <v>0</v>
      </c>
      <c r="L131" s="110">
        <f t="shared" si="33"/>
        <v>0</v>
      </c>
      <c r="M131" s="140">
        <f t="shared" si="34"/>
        <v>5999000</v>
      </c>
      <c r="N131" s="73">
        <f t="shared" si="41"/>
        <v>1000</v>
      </c>
      <c r="O131" s="239" t="s">
        <v>445</v>
      </c>
      <c r="P131" s="122">
        <v>1</v>
      </c>
      <c r="Q131" s="94"/>
      <c r="R131" s="23"/>
      <c r="S131" s="23">
        <f t="shared" si="35"/>
        <v>300000</v>
      </c>
      <c r="T131" s="23">
        <f t="shared" si="36"/>
        <v>-299000</v>
      </c>
      <c r="U131" s="23">
        <f t="shared" si="37"/>
        <v>0</v>
      </c>
      <c r="V131" s="10">
        <f t="shared" si="38"/>
        <v>1200000</v>
      </c>
      <c r="W131" s="10">
        <f t="shared" si="42"/>
        <v>0</v>
      </c>
      <c r="X131" s="10">
        <f t="shared" si="40"/>
        <v>0</v>
      </c>
    </row>
    <row r="132" spans="1:24" s="9" customFormat="1" ht="13.5" customHeight="1" x14ac:dyDescent="0.2">
      <c r="A132" s="64">
        <v>128</v>
      </c>
      <c r="B132" s="206" t="s">
        <v>446</v>
      </c>
      <c r="C132" s="163">
        <v>40291</v>
      </c>
      <c r="D132" s="67">
        <v>7000000</v>
      </c>
      <c r="E132" s="235"/>
      <c r="F132" s="67">
        <f t="shared" si="23"/>
        <v>7000000</v>
      </c>
      <c r="G132" s="110">
        <v>6999000</v>
      </c>
      <c r="H132" s="67">
        <f t="shared" si="21"/>
        <v>1000</v>
      </c>
      <c r="I132" s="68">
        <v>5</v>
      </c>
      <c r="J132" s="68">
        <v>0.2</v>
      </c>
      <c r="K132" s="68">
        <v>0</v>
      </c>
      <c r="L132" s="110">
        <f t="shared" si="33"/>
        <v>0</v>
      </c>
      <c r="M132" s="110">
        <f t="shared" si="34"/>
        <v>6999000</v>
      </c>
      <c r="N132" s="67">
        <f t="shared" si="41"/>
        <v>1000</v>
      </c>
      <c r="O132" s="145" t="s">
        <v>447</v>
      </c>
      <c r="P132" s="230">
        <v>1</v>
      </c>
      <c r="Q132" s="70"/>
      <c r="R132" s="23"/>
      <c r="S132" s="23">
        <f t="shared" si="35"/>
        <v>350000</v>
      </c>
      <c r="T132" s="23">
        <f t="shared" si="36"/>
        <v>-349000</v>
      </c>
      <c r="U132" s="23">
        <f t="shared" si="37"/>
        <v>0</v>
      </c>
      <c r="V132" s="10">
        <f t="shared" si="38"/>
        <v>1400000</v>
      </c>
      <c r="W132" s="10">
        <f t="shared" si="42"/>
        <v>0</v>
      </c>
      <c r="X132" s="10">
        <f t="shared" si="40"/>
        <v>0</v>
      </c>
    </row>
    <row r="133" spans="1:24" s="9" customFormat="1" ht="13.5" customHeight="1" x14ac:dyDescent="0.2">
      <c r="A133" s="64">
        <v>129</v>
      </c>
      <c r="B133" s="206" t="s">
        <v>448</v>
      </c>
      <c r="C133" s="163">
        <v>40294</v>
      </c>
      <c r="D133" s="67">
        <v>300000</v>
      </c>
      <c r="E133" s="235"/>
      <c r="F133" s="67">
        <f t="shared" si="23"/>
        <v>300000</v>
      </c>
      <c r="G133" s="110">
        <v>299000</v>
      </c>
      <c r="H133" s="67">
        <f t="shared" ref="H133:H196" si="43">+F133-G133</f>
        <v>1000</v>
      </c>
      <c r="I133" s="68">
        <v>5</v>
      </c>
      <c r="J133" s="68">
        <v>0.2</v>
      </c>
      <c r="K133" s="68">
        <v>0</v>
      </c>
      <c r="L133" s="110">
        <f t="shared" si="33"/>
        <v>0</v>
      </c>
      <c r="M133" s="110">
        <f t="shared" si="34"/>
        <v>299000</v>
      </c>
      <c r="N133" s="67">
        <f t="shared" si="41"/>
        <v>1000</v>
      </c>
      <c r="O133" s="145" t="s">
        <v>449</v>
      </c>
      <c r="P133" s="230">
        <v>1</v>
      </c>
      <c r="Q133" s="70"/>
      <c r="R133" s="23"/>
      <c r="S133" s="23">
        <f t="shared" si="35"/>
        <v>15000</v>
      </c>
      <c r="T133" s="23">
        <f t="shared" si="36"/>
        <v>-14000</v>
      </c>
      <c r="U133" s="23">
        <f t="shared" si="37"/>
        <v>0</v>
      </c>
      <c r="V133" s="10">
        <f t="shared" si="38"/>
        <v>60000</v>
      </c>
      <c r="W133" s="10">
        <f t="shared" si="42"/>
        <v>0</v>
      </c>
      <c r="X133" s="10">
        <f t="shared" si="40"/>
        <v>0</v>
      </c>
    </row>
    <row r="134" spans="1:24" s="9" customFormat="1" ht="13.5" customHeight="1" x14ac:dyDescent="0.2">
      <c r="A134" s="64">
        <v>130</v>
      </c>
      <c r="B134" s="206" t="s">
        <v>450</v>
      </c>
      <c r="C134" s="163">
        <v>40298</v>
      </c>
      <c r="D134" s="67">
        <v>194860692</v>
      </c>
      <c r="E134" s="235"/>
      <c r="F134" s="67">
        <f t="shared" si="23"/>
        <v>194860692</v>
      </c>
      <c r="G134" s="110">
        <v>194859692</v>
      </c>
      <c r="H134" s="67">
        <f t="shared" si="43"/>
        <v>1000</v>
      </c>
      <c r="I134" s="68">
        <v>5</v>
      </c>
      <c r="J134" s="68">
        <v>0.2</v>
      </c>
      <c r="K134" s="68">
        <v>0</v>
      </c>
      <c r="L134" s="110">
        <f t="shared" si="33"/>
        <v>0</v>
      </c>
      <c r="M134" s="110">
        <f t="shared" si="34"/>
        <v>194859692</v>
      </c>
      <c r="N134" s="67">
        <f t="shared" si="41"/>
        <v>1000</v>
      </c>
      <c r="O134" s="145" t="s">
        <v>451</v>
      </c>
      <c r="P134" s="230">
        <v>1</v>
      </c>
      <c r="Q134" s="70"/>
      <c r="R134" s="23"/>
      <c r="S134" s="23">
        <f t="shared" si="35"/>
        <v>9743034.5999999996</v>
      </c>
      <c r="T134" s="23">
        <f t="shared" si="36"/>
        <v>-9742034.5999999996</v>
      </c>
      <c r="U134" s="23">
        <f t="shared" si="37"/>
        <v>0</v>
      </c>
      <c r="V134" s="10">
        <f t="shared" si="38"/>
        <v>38972138.399999999</v>
      </c>
      <c r="W134" s="10">
        <f t="shared" si="42"/>
        <v>0</v>
      </c>
      <c r="X134" s="10">
        <f t="shared" si="40"/>
        <v>0</v>
      </c>
    </row>
    <row r="135" spans="1:24" s="9" customFormat="1" ht="13.5" customHeight="1" x14ac:dyDescent="0.2">
      <c r="A135" s="64">
        <v>131</v>
      </c>
      <c r="B135" s="206" t="s">
        <v>446</v>
      </c>
      <c r="C135" s="163">
        <v>40308</v>
      </c>
      <c r="D135" s="67">
        <v>30000000</v>
      </c>
      <c r="E135" s="235"/>
      <c r="F135" s="67">
        <f t="shared" si="23"/>
        <v>30000000</v>
      </c>
      <c r="G135" s="110">
        <v>29999000</v>
      </c>
      <c r="H135" s="67">
        <f t="shared" si="43"/>
        <v>1000</v>
      </c>
      <c r="I135" s="68">
        <v>5</v>
      </c>
      <c r="J135" s="68">
        <v>0.2</v>
      </c>
      <c r="K135" s="68">
        <v>0</v>
      </c>
      <c r="L135" s="110">
        <f t="shared" si="33"/>
        <v>0</v>
      </c>
      <c r="M135" s="110">
        <f t="shared" si="34"/>
        <v>29999000</v>
      </c>
      <c r="N135" s="67">
        <f t="shared" si="41"/>
        <v>1000</v>
      </c>
      <c r="O135" s="145" t="s">
        <v>452</v>
      </c>
      <c r="P135" s="230">
        <v>1</v>
      </c>
      <c r="Q135" s="70"/>
      <c r="R135" s="23"/>
      <c r="S135" s="23">
        <f t="shared" si="35"/>
        <v>1500000</v>
      </c>
      <c r="T135" s="23">
        <f t="shared" si="36"/>
        <v>-1499000</v>
      </c>
      <c r="U135" s="23">
        <f t="shared" si="37"/>
        <v>0</v>
      </c>
      <c r="V135" s="10">
        <f t="shared" si="38"/>
        <v>6000000</v>
      </c>
      <c r="W135" s="10">
        <f t="shared" si="42"/>
        <v>0</v>
      </c>
      <c r="X135" s="10">
        <f t="shared" si="40"/>
        <v>0</v>
      </c>
    </row>
    <row r="136" spans="1:24" s="9" customFormat="1" ht="13.5" customHeight="1" x14ac:dyDescent="0.2">
      <c r="A136" s="64">
        <v>132</v>
      </c>
      <c r="B136" s="206" t="s">
        <v>453</v>
      </c>
      <c r="C136" s="163">
        <v>40340</v>
      </c>
      <c r="D136" s="67">
        <v>53500000</v>
      </c>
      <c r="E136" s="235"/>
      <c r="F136" s="67">
        <f t="shared" si="23"/>
        <v>53500000</v>
      </c>
      <c r="G136" s="110">
        <v>53499000</v>
      </c>
      <c r="H136" s="67">
        <f t="shared" si="43"/>
        <v>1000</v>
      </c>
      <c r="I136" s="68">
        <v>5</v>
      </c>
      <c r="J136" s="68">
        <v>0.2</v>
      </c>
      <c r="K136" s="68">
        <v>0</v>
      </c>
      <c r="L136" s="110">
        <f t="shared" si="33"/>
        <v>0</v>
      </c>
      <c r="M136" s="110">
        <f t="shared" si="34"/>
        <v>53499000</v>
      </c>
      <c r="N136" s="67">
        <f t="shared" si="41"/>
        <v>1000</v>
      </c>
      <c r="O136" s="145" t="s">
        <v>454</v>
      </c>
      <c r="P136" s="230">
        <v>1</v>
      </c>
      <c r="Q136" s="70"/>
      <c r="R136" s="23"/>
      <c r="S136" s="23">
        <f t="shared" si="35"/>
        <v>2675000</v>
      </c>
      <c r="T136" s="23">
        <f t="shared" si="36"/>
        <v>-2674000</v>
      </c>
      <c r="U136" s="23">
        <f t="shared" si="37"/>
        <v>0</v>
      </c>
      <c r="V136" s="10">
        <f t="shared" si="38"/>
        <v>10700000</v>
      </c>
      <c r="W136" s="10">
        <f t="shared" si="42"/>
        <v>0</v>
      </c>
      <c r="X136" s="10">
        <f t="shared" si="40"/>
        <v>0</v>
      </c>
    </row>
    <row r="137" spans="1:24" s="9" customFormat="1" ht="13.5" customHeight="1" x14ac:dyDescent="0.2">
      <c r="A137" s="64">
        <v>133</v>
      </c>
      <c r="B137" s="206" t="s">
        <v>455</v>
      </c>
      <c r="C137" s="163">
        <v>40340</v>
      </c>
      <c r="D137" s="67">
        <v>27000000</v>
      </c>
      <c r="E137" s="235"/>
      <c r="F137" s="67">
        <f t="shared" si="23"/>
        <v>27000000</v>
      </c>
      <c r="G137" s="110">
        <v>26999000</v>
      </c>
      <c r="H137" s="67">
        <f t="shared" si="43"/>
        <v>1000</v>
      </c>
      <c r="I137" s="68">
        <v>5</v>
      </c>
      <c r="J137" s="68">
        <v>0.2</v>
      </c>
      <c r="K137" s="68">
        <v>0</v>
      </c>
      <c r="L137" s="110">
        <f t="shared" si="33"/>
        <v>0</v>
      </c>
      <c r="M137" s="110">
        <f t="shared" si="34"/>
        <v>26999000</v>
      </c>
      <c r="N137" s="67">
        <f t="shared" si="41"/>
        <v>1000</v>
      </c>
      <c r="O137" s="145" t="s">
        <v>454</v>
      </c>
      <c r="P137" s="230">
        <v>1</v>
      </c>
      <c r="Q137" s="70"/>
      <c r="R137" s="23"/>
      <c r="S137" s="23">
        <f t="shared" si="35"/>
        <v>1350000</v>
      </c>
      <c r="T137" s="23">
        <f t="shared" si="36"/>
        <v>-1349000</v>
      </c>
      <c r="U137" s="23">
        <f t="shared" si="37"/>
        <v>0</v>
      </c>
      <c r="V137" s="10">
        <f t="shared" si="38"/>
        <v>5400000</v>
      </c>
      <c r="W137" s="10">
        <f t="shared" si="42"/>
        <v>0</v>
      </c>
      <c r="X137" s="10">
        <f t="shared" si="40"/>
        <v>0</v>
      </c>
    </row>
    <row r="138" spans="1:24" s="9" customFormat="1" ht="13.5" customHeight="1" x14ac:dyDescent="0.2">
      <c r="A138" s="64">
        <v>134</v>
      </c>
      <c r="B138" s="206" t="s">
        <v>456</v>
      </c>
      <c r="C138" s="163">
        <v>40340</v>
      </c>
      <c r="D138" s="67">
        <v>30000000</v>
      </c>
      <c r="E138" s="235"/>
      <c r="F138" s="67">
        <f t="shared" si="23"/>
        <v>30000000</v>
      </c>
      <c r="G138" s="110">
        <v>29999000</v>
      </c>
      <c r="H138" s="67">
        <f t="shared" si="43"/>
        <v>1000</v>
      </c>
      <c r="I138" s="68">
        <v>5</v>
      </c>
      <c r="J138" s="68">
        <v>0.2</v>
      </c>
      <c r="K138" s="68">
        <v>0</v>
      </c>
      <c r="L138" s="110">
        <f t="shared" si="33"/>
        <v>0</v>
      </c>
      <c r="M138" s="110">
        <f t="shared" si="34"/>
        <v>29999000</v>
      </c>
      <c r="N138" s="67">
        <f t="shared" si="41"/>
        <v>1000</v>
      </c>
      <c r="O138" s="145" t="s">
        <v>457</v>
      </c>
      <c r="P138" s="230">
        <v>1</v>
      </c>
      <c r="Q138" s="70"/>
      <c r="R138" s="23"/>
      <c r="S138" s="23">
        <f t="shared" si="35"/>
        <v>1500000</v>
      </c>
      <c r="T138" s="23">
        <f t="shared" si="36"/>
        <v>-1499000</v>
      </c>
      <c r="U138" s="23">
        <f t="shared" si="37"/>
        <v>0</v>
      </c>
      <c r="V138" s="10">
        <f t="shared" si="38"/>
        <v>6000000</v>
      </c>
      <c r="W138" s="10">
        <f t="shared" si="42"/>
        <v>0</v>
      </c>
      <c r="X138" s="10">
        <f t="shared" si="40"/>
        <v>0</v>
      </c>
    </row>
    <row r="139" spans="1:24" s="9" customFormat="1" ht="13.5" customHeight="1" x14ac:dyDescent="0.2">
      <c r="A139" s="64">
        <v>135</v>
      </c>
      <c r="B139" s="206" t="s">
        <v>458</v>
      </c>
      <c r="C139" s="163">
        <v>40340</v>
      </c>
      <c r="D139" s="67">
        <v>2500000</v>
      </c>
      <c r="E139" s="235"/>
      <c r="F139" s="67">
        <f t="shared" si="23"/>
        <v>2500000</v>
      </c>
      <c r="G139" s="110">
        <v>2499000</v>
      </c>
      <c r="H139" s="67">
        <f t="shared" si="43"/>
        <v>1000</v>
      </c>
      <c r="I139" s="68">
        <v>5</v>
      </c>
      <c r="J139" s="68">
        <v>0.2</v>
      </c>
      <c r="K139" s="68">
        <v>0</v>
      </c>
      <c r="L139" s="110">
        <f t="shared" si="33"/>
        <v>0</v>
      </c>
      <c r="M139" s="110">
        <f t="shared" si="34"/>
        <v>2499000</v>
      </c>
      <c r="N139" s="67">
        <f t="shared" si="41"/>
        <v>1000</v>
      </c>
      <c r="O139" s="145" t="s">
        <v>459</v>
      </c>
      <c r="P139" s="230">
        <v>1</v>
      </c>
      <c r="Q139" s="70"/>
      <c r="R139" s="23"/>
      <c r="S139" s="23">
        <f t="shared" si="35"/>
        <v>125000</v>
      </c>
      <c r="T139" s="23">
        <f t="shared" si="36"/>
        <v>-124000</v>
      </c>
      <c r="U139" s="23">
        <f t="shared" si="37"/>
        <v>0</v>
      </c>
      <c r="V139" s="10">
        <f t="shared" si="38"/>
        <v>500000</v>
      </c>
      <c r="W139" s="10">
        <f t="shared" si="42"/>
        <v>0</v>
      </c>
      <c r="X139" s="10">
        <f t="shared" si="40"/>
        <v>0</v>
      </c>
    </row>
    <row r="140" spans="1:24" s="9" customFormat="1" ht="13.5" customHeight="1" x14ac:dyDescent="0.2">
      <c r="A140" s="64">
        <v>136</v>
      </c>
      <c r="B140" s="206" t="s">
        <v>460</v>
      </c>
      <c r="C140" s="163">
        <v>40340</v>
      </c>
      <c r="D140" s="67">
        <v>3000000</v>
      </c>
      <c r="E140" s="235"/>
      <c r="F140" s="67">
        <f t="shared" si="23"/>
        <v>3000000</v>
      </c>
      <c r="G140" s="110">
        <v>2999000</v>
      </c>
      <c r="H140" s="67">
        <f t="shared" si="43"/>
        <v>1000</v>
      </c>
      <c r="I140" s="68">
        <v>5</v>
      </c>
      <c r="J140" s="68">
        <v>0.2</v>
      </c>
      <c r="K140" s="68">
        <v>0</v>
      </c>
      <c r="L140" s="110">
        <f t="shared" si="33"/>
        <v>0</v>
      </c>
      <c r="M140" s="110">
        <f t="shared" si="34"/>
        <v>2999000</v>
      </c>
      <c r="N140" s="67">
        <f t="shared" si="41"/>
        <v>1000</v>
      </c>
      <c r="O140" s="145" t="s">
        <v>454</v>
      </c>
      <c r="P140" s="230">
        <v>1</v>
      </c>
      <c r="Q140" s="70"/>
      <c r="R140" s="23"/>
      <c r="S140" s="23">
        <f t="shared" si="35"/>
        <v>150000</v>
      </c>
      <c r="T140" s="23">
        <f t="shared" si="36"/>
        <v>-149000</v>
      </c>
      <c r="U140" s="23">
        <f t="shared" si="37"/>
        <v>0</v>
      </c>
      <c r="V140" s="10">
        <f t="shared" si="38"/>
        <v>600000</v>
      </c>
      <c r="W140" s="10">
        <f t="shared" si="42"/>
        <v>0</v>
      </c>
      <c r="X140" s="10">
        <f t="shared" si="40"/>
        <v>0</v>
      </c>
    </row>
    <row r="141" spans="1:24" s="9" customFormat="1" ht="13.5" customHeight="1" x14ac:dyDescent="0.2">
      <c r="A141" s="64">
        <v>137</v>
      </c>
      <c r="B141" s="206" t="s">
        <v>461</v>
      </c>
      <c r="C141" s="163">
        <v>40340</v>
      </c>
      <c r="D141" s="67">
        <v>13000000</v>
      </c>
      <c r="E141" s="235"/>
      <c r="F141" s="67">
        <f t="shared" si="23"/>
        <v>13000000</v>
      </c>
      <c r="G141" s="110">
        <v>12999000</v>
      </c>
      <c r="H141" s="67">
        <f t="shared" si="43"/>
        <v>1000</v>
      </c>
      <c r="I141" s="68">
        <v>5</v>
      </c>
      <c r="J141" s="68">
        <v>0.2</v>
      </c>
      <c r="K141" s="68">
        <v>0</v>
      </c>
      <c r="L141" s="110">
        <f t="shared" si="33"/>
        <v>0</v>
      </c>
      <c r="M141" s="110">
        <f t="shared" si="34"/>
        <v>12999000</v>
      </c>
      <c r="N141" s="67">
        <f t="shared" si="41"/>
        <v>1000</v>
      </c>
      <c r="O141" s="145" t="s">
        <v>462</v>
      </c>
      <c r="P141" s="230">
        <v>1</v>
      </c>
      <c r="Q141" s="70"/>
      <c r="R141" s="23"/>
      <c r="S141" s="23">
        <f t="shared" si="35"/>
        <v>650000</v>
      </c>
      <c r="T141" s="23">
        <f t="shared" si="36"/>
        <v>-649000</v>
      </c>
      <c r="U141" s="23">
        <f t="shared" si="37"/>
        <v>0</v>
      </c>
      <c r="V141" s="10">
        <f t="shared" si="38"/>
        <v>2600000</v>
      </c>
      <c r="W141" s="10">
        <f t="shared" si="42"/>
        <v>0</v>
      </c>
      <c r="X141" s="10">
        <f t="shared" si="40"/>
        <v>0</v>
      </c>
    </row>
    <row r="142" spans="1:24" s="9" customFormat="1" ht="13.5" customHeight="1" x14ac:dyDescent="0.2">
      <c r="A142" s="64">
        <v>138</v>
      </c>
      <c r="B142" s="206" t="s">
        <v>463</v>
      </c>
      <c r="C142" s="163">
        <v>40344</v>
      </c>
      <c r="D142" s="67">
        <v>58000000</v>
      </c>
      <c r="E142" s="235"/>
      <c r="F142" s="67">
        <f t="shared" si="23"/>
        <v>58000000</v>
      </c>
      <c r="G142" s="110">
        <v>57999000</v>
      </c>
      <c r="H142" s="67">
        <f t="shared" si="43"/>
        <v>1000</v>
      </c>
      <c r="I142" s="68">
        <v>5</v>
      </c>
      <c r="J142" s="68">
        <v>0.2</v>
      </c>
      <c r="K142" s="68">
        <v>0</v>
      </c>
      <c r="L142" s="110">
        <f t="shared" si="33"/>
        <v>0</v>
      </c>
      <c r="M142" s="110">
        <f t="shared" si="34"/>
        <v>57999000</v>
      </c>
      <c r="N142" s="67">
        <f t="shared" si="41"/>
        <v>1000</v>
      </c>
      <c r="O142" s="145" t="s">
        <v>464</v>
      </c>
      <c r="P142" s="230">
        <v>1</v>
      </c>
      <c r="Q142" s="70"/>
      <c r="R142" s="23"/>
      <c r="S142" s="23">
        <f t="shared" si="35"/>
        <v>2900000</v>
      </c>
      <c r="T142" s="23">
        <f t="shared" si="36"/>
        <v>-2899000</v>
      </c>
      <c r="U142" s="23">
        <f t="shared" si="37"/>
        <v>0</v>
      </c>
      <c r="V142" s="10">
        <f t="shared" si="38"/>
        <v>11600000</v>
      </c>
      <c r="W142" s="10">
        <f t="shared" si="42"/>
        <v>0</v>
      </c>
      <c r="X142" s="10">
        <f t="shared" si="40"/>
        <v>0</v>
      </c>
    </row>
    <row r="143" spans="1:24" s="9" customFormat="1" ht="13.5" customHeight="1" x14ac:dyDescent="0.2">
      <c r="A143" s="64">
        <v>139</v>
      </c>
      <c r="B143" s="206" t="s">
        <v>465</v>
      </c>
      <c r="C143" s="163">
        <v>40359</v>
      </c>
      <c r="D143" s="67">
        <v>36500000</v>
      </c>
      <c r="E143" s="235"/>
      <c r="F143" s="67">
        <f t="shared" si="23"/>
        <v>36500000</v>
      </c>
      <c r="G143" s="110">
        <v>36499000</v>
      </c>
      <c r="H143" s="67">
        <f t="shared" si="43"/>
        <v>1000</v>
      </c>
      <c r="I143" s="68">
        <v>5</v>
      </c>
      <c r="J143" s="68">
        <v>0.2</v>
      </c>
      <c r="K143" s="68">
        <v>0</v>
      </c>
      <c r="L143" s="110">
        <f t="shared" si="33"/>
        <v>0</v>
      </c>
      <c r="M143" s="110">
        <f t="shared" si="34"/>
        <v>36499000</v>
      </c>
      <c r="N143" s="67">
        <f t="shared" si="41"/>
        <v>1000</v>
      </c>
      <c r="O143" s="145" t="s">
        <v>466</v>
      </c>
      <c r="P143" s="230">
        <v>1</v>
      </c>
      <c r="Q143" s="70"/>
      <c r="R143" s="23"/>
      <c r="S143" s="23">
        <f t="shared" si="35"/>
        <v>1825000</v>
      </c>
      <c r="T143" s="23">
        <f t="shared" si="36"/>
        <v>-1824000</v>
      </c>
      <c r="U143" s="23">
        <f t="shared" si="37"/>
        <v>0</v>
      </c>
      <c r="V143" s="10">
        <f t="shared" si="38"/>
        <v>7300000</v>
      </c>
      <c r="W143" s="10">
        <f t="shared" si="42"/>
        <v>0</v>
      </c>
      <c r="X143" s="10">
        <f t="shared" si="40"/>
        <v>0</v>
      </c>
    </row>
    <row r="144" spans="1:24" s="9" customFormat="1" ht="13.5" customHeight="1" x14ac:dyDescent="0.2">
      <c r="A144" s="64">
        <v>140</v>
      </c>
      <c r="B144" s="206" t="s">
        <v>467</v>
      </c>
      <c r="C144" s="163">
        <v>40359</v>
      </c>
      <c r="D144" s="67">
        <v>27000000</v>
      </c>
      <c r="E144" s="235"/>
      <c r="F144" s="67">
        <f t="shared" si="23"/>
        <v>27000000</v>
      </c>
      <c r="G144" s="110">
        <v>26999000</v>
      </c>
      <c r="H144" s="67">
        <f t="shared" si="43"/>
        <v>1000</v>
      </c>
      <c r="I144" s="68">
        <v>5</v>
      </c>
      <c r="J144" s="68">
        <v>0.2</v>
      </c>
      <c r="K144" s="68">
        <v>0</v>
      </c>
      <c r="L144" s="110">
        <f t="shared" si="33"/>
        <v>0</v>
      </c>
      <c r="M144" s="110">
        <f t="shared" si="34"/>
        <v>26999000</v>
      </c>
      <c r="N144" s="67">
        <f t="shared" si="41"/>
        <v>1000</v>
      </c>
      <c r="O144" s="145" t="s">
        <v>354</v>
      </c>
      <c r="P144" s="230">
        <v>1</v>
      </c>
      <c r="Q144" s="70"/>
      <c r="R144" s="23"/>
      <c r="S144" s="23">
        <f t="shared" si="35"/>
        <v>1350000</v>
      </c>
      <c r="T144" s="23">
        <f t="shared" si="36"/>
        <v>-1349000</v>
      </c>
      <c r="U144" s="23">
        <f t="shared" si="37"/>
        <v>0</v>
      </c>
      <c r="V144" s="10">
        <f t="shared" si="38"/>
        <v>5400000</v>
      </c>
      <c r="W144" s="10">
        <f t="shared" si="42"/>
        <v>0</v>
      </c>
      <c r="X144" s="10">
        <f t="shared" si="40"/>
        <v>0</v>
      </c>
    </row>
    <row r="145" spans="1:24" s="9" customFormat="1" ht="13.5" customHeight="1" x14ac:dyDescent="0.2">
      <c r="A145" s="64">
        <v>141</v>
      </c>
      <c r="B145" s="240" t="s">
        <v>468</v>
      </c>
      <c r="C145" s="163">
        <v>40361</v>
      </c>
      <c r="D145" s="67">
        <v>165469590</v>
      </c>
      <c r="E145" s="241"/>
      <c r="F145" s="67">
        <f t="shared" si="23"/>
        <v>165469590</v>
      </c>
      <c r="G145" s="110">
        <v>165468590</v>
      </c>
      <c r="H145" s="67">
        <f t="shared" si="43"/>
        <v>1000</v>
      </c>
      <c r="I145" s="68">
        <v>5</v>
      </c>
      <c r="J145" s="68">
        <v>0.2</v>
      </c>
      <c r="K145" s="68">
        <v>0</v>
      </c>
      <c r="L145" s="110">
        <f t="shared" si="33"/>
        <v>0</v>
      </c>
      <c r="M145" s="110">
        <f t="shared" si="34"/>
        <v>165468590</v>
      </c>
      <c r="N145" s="67">
        <f t="shared" si="41"/>
        <v>1000</v>
      </c>
      <c r="O145" s="242" t="s">
        <v>469</v>
      </c>
      <c r="P145" s="243">
        <v>1</v>
      </c>
      <c r="Q145" s="70"/>
      <c r="R145" s="23"/>
      <c r="S145" s="23">
        <f t="shared" si="35"/>
        <v>8273479.5</v>
      </c>
      <c r="T145" s="23">
        <f t="shared" si="36"/>
        <v>-8272479.5</v>
      </c>
      <c r="U145" s="23">
        <f t="shared" si="37"/>
        <v>0</v>
      </c>
      <c r="V145" s="10">
        <f t="shared" si="38"/>
        <v>33093918</v>
      </c>
      <c r="W145" s="10">
        <f t="shared" si="42"/>
        <v>0</v>
      </c>
      <c r="X145" s="10">
        <f t="shared" si="40"/>
        <v>0</v>
      </c>
    </row>
    <row r="146" spans="1:24" s="9" customFormat="1" ht="13.5" customHeight="1" x14ac:dyDescent="0.2">
      <c r="A146" s="64">
        <v>142</v>
      </c>
      <c r="B146" s="240" t="s">
        <v>470</v>
      </c>
      <c r="C146" s="163">
        <v>40385</v>
      </c>
      <c r="D146" s="67">
        <v>28000000</v>
      </c>
      <c r="E146" s="241"/>
      <c r="F146" s="67">
        <f t="shared" si="23"/>
        <v>28000000</v>
      </c>
      <c r="G146" s="110">
        <v>27999000</v>
      </c>
      <c r="H146" s="67">
        <f t="shared" si="43"/>
        <v>1000</v>
      </c>
      <c r="I146" s="68">
        <v>5</v>
      </c>
      <c r="J146" s="68">
        <v>0.2</v>
      </c>
      <c r="K146" s="68">
        <v>0</v>
      </c>
      <c r="L146" s="110">
        <f t="shared" si="33"/>
        <v>0</v>
      </c>
      <c r="M146" s="110">
        <f t="shared" si="34"/>
        <v>27999000</v>
      </c>
      <c r="N146" s="67">
        <f t="shared" si="41"/>
        <v>1000</v>
      </c>
      <c r="O146" s="242" t="s">
        <v>354</v>
      </c>
      <c r="P146" s="243">
        <v>1</v>
      </c>
      <c r="Q146" s="70"/>
      <c r="R146" s="23"/>
      <c r="S146" s="23">
        <f t="shared" si="35"/>
        <v>1400000</v>
      </c>
      <c r="T146" s="23">
        <f t="shared" si="36"/>
        <v>-1399000</v>
      </c>
      <c r="U146" s="23">
        <f t="shared" si="37"/>
        <v>0</v>
      </c>
      <c r="V146" s="10">
        <f t="shared" si="38"/>
        <v>5600000</v>
      </c>
      <c r="W146" s="10">
        <f t="shared" si="42"/>
        <v>0</v>
      </c>
      <c r="X146" s="10">
        <f t="shared" si="40"/>
        <v>0</v>
      </c>
    </row>
    <row r="147" spans="1:24" s="9" customFormat="1" ht="13.5" customHeight="1" x14ac:dyDescent="0.2">
      <c r="A147" s="64">
        <v>143</v>
      </c>
      <c r="B147" s="240" t="s">
        <v>471</v>
      </c>
      <c r="C147" s="163">
        <v>40392</v>
      </c>
      <c r="D147" s="67">
        <v>16800000</v>
      </c>
      <c r="E147" s="241"/>
      <c r="F147" s="67">
        <f t="shared" si="23"/>
        <v>16800000</v>
      </c>
      <c r="G147" s="110">
        <v>16799000</v>
      </c>
      <c r="H147" s="67">
        <f t="shared" si="43"/>
        <v>1000</v>
      </c>
      <c r="I147" s="68">
        <v>5</v>
      </c>
      <c r="J147" s="68">
        <v>0.2</v>
      </c>
      <c r="K147" s="68">
        <v>0</v>
      </c>
      <c r="L147" s="110">
        <f t="shared" si="33"/>
        <v>0</v>
      </c>
      <c r="M147" s="110">
        <f t="shared" si="34"/>
        <v>16799000</v>
      </c>
      <c r="N147" s="67">
        <f t="shared" si="41"/>
        <v>1000</v>
      </c>
      <c r="O147" s="242" t="s">
        <v>354</v>
      </c>
      <c r="P147" s="243">
        <v>1</v>
      </c>
      <c r="Q147" s="70"/>
      <c r="R147" s="23"/>
      <c r="S147" s="23">
        <f t="shared" si="35"/>
        <v>840000</v>
      </c>
      <c r="T147" s="23">
        <f t="shared" si="36"/>
        <v>-839000</v>
      </c>
      <c r="U147" s="23">
        <f t="shared" si="37"/>
        <v>0</v>
      </c>
      <c r="V147" s="10">
        <f t="shared" si="38"/>
        <v>3360000</v>
      </c>
      <c r="W147" s="10">
        <f t="shared" si="42"/>
        <v>0</v>
      </c>
      <c r="X147" s="10">
        <f t="shared" si="40"/>
        <v>0</v>
      </c>
    </row>
    <row r="148" spans="1:24" s="9" customFormat="1" ht="13.5" customHeight="1" x14ac:dyDescent="0.2">
      <c r="A148" s="64">
        <v>144</v>
      </c>
      <c r="B148" s="240" t="s">
        <v>472</v>
      </c>
      <c r="C148" s="163">
        <v>40392</v>
      </c>
      <c r="D148" s="67">
        <v>42270000</v>
      </c>
      <c r="E148" s="241"/>
      <c r="F148" s="67">
        <f t="shared" si="23"/>
        <v>42270000</v>
      </c>
      <c r="G148" s="110">
        <v>42269000</v>
      </c>
      <c r="H148" s="67">
        <f t="shared" si="43"/>
        <v>1000</v>
      </c>
      <c r="I148" s="68">
        <v>5</v>
      </c>
      <c r="J148" s="68">
        <v>0.2</v>
      </c>
      <c r="K148" s="68">
        <v>0</v>
      </c>
      <c r="L148" s="110">
        <f t="shared" si="33"/>
        <v>0</v>
      </c>
      <c r="M148" s="110">
        <f t="shared" si="34"/>
        <v>42269000</v>
      </c>
      <c r="N148" s="67">
        <f t="shared" si="41"/>
        <v>1000</v>
      </c>
      <c r="O148" s="242" t="s">
        <v>473</v>
      </c>
      <c r="P148" s="243">
        <v>1</v>
      </c>
      <c r="Q148" s="70"/>
      <c r="R148" s="23"/>
      <c r="S148" s="23">
        <f t="shared" si="35"/>
        <v>2113500</v>
      </c>
      <c r="T148" s="23">
        <f t="shared" si="36"/>
        <v>-2112500</v>
      </c>
      <c r="U148" s="23">
        <f t="shared" si="37"/>
        <v>0</v>
      </c>
      <c r="V148" s="10">
        <f t="shared" si="38"/>
        <v>8454000</v>
      </c>
      <c r="W148" s="10">
        <f t="shared" si="42"/>
        <v>0</v>
      </c>
      <c r="X148" s="10">
        <f t="shared" si="40"/>
        <v>0</v>
      </c>
    </row>
    <row r="149" spans="1:24" s="9" customFormat="1" ht="13.5" customHeight="1" x14ac:dyDescent="0.2">
      <c r="A149" s="64">
        <v>145</v>
      </c>
      <c r="B149" s="240" t="s">
        <v>474</v>
      </c>
      <c r="C149" s="163">
        <v>40393</v>
      </c>
      <c r="D149" s="67">
        <v>12500000</v>
      </c>
      <c r="E149" s="241"/>
      <c r="F149" s="67">
        <f t="shared" ref="F149:F212" si="44">+D149+E149</f>
        <v>12500000</v>
      </c>
      <c r="G149" s="110">
        <v>12499000</v>
      </c>
      <c r="H149" s="67">
        <f t="shared" si="43"/>
        <v>1000</v>
      </c>
      <c r="I149" s="68">
        <v>5</v>
      </c>
      <c r="J149" s="68">
        <v>0.2</v>
      </c>
      <c r="K149" s="68">
        <v>0</v>
      </c>
      <c r="L149" s="110">
        <f t="shared" si="33"/>
        <v>0</v>
      </c>
      <c r="M149" s="110">
        <f t="shared" si="34"/>
        <v>12499000</v>
      </c>
      <c r="N149" s="67">
        <f t="shared" si="41"/>
        <v>1000</v>
      </c>
      <c r="O149" s="242" t="s">
        <v>354</v>
      </c>
      <c r="P149" s="243">
        <v>1</v>
      </c>
      <c r="Q149" s="70"/>
      <c r="R149" s="23"/>
      <c r="S149" s="23">
        <f t="shared" si="35"/>
        <v>625000</v>
      </c>
      <c r="T149" s="23">
        <f t="shared" si="36"/>
        <v>-624000</v>
      </c>
      <c r="U149" s="23">
        <f t="shared" si="37"/>
        <v>0</v>
      </c>
      <c r="V149" s="10">
        <f t="shared" si="38"/>
        <v>2500000</v>
      </c>
      <c r="W149" s="10">
        <f t="shared" si="42"/>
        <v>0</v>
      </c>
      <c r="X149" s="10">
        <f t="shared" si="40"/>
        <v>0</v>
      </c>
    </row>
    <row r="150" spans="1:24" s="9" customFormat="1" ht="13.5" customHeight="1" x14ac:dyDescent="0.2">
      <c r="A150" s="64">
        <v>146</v>
      </c>
      <c r="B150" s="244" t="s">
        <v>475</v>
      </c>
      <c r="C150" s="148">
        <v>40406</v>
      </c>
      <c r="D150" s="73">
        <v>2800000</v>
      </c>
      <c r="E150" s="245"/>
      <c r="F150" s="73">
        <f t="shared" si="44"/>
        <v>2800000</v>
      </c>
      <c r="G150" s="140">
        <v>2799000</v>
      </c>
      <c r="H150" s="73">
        <f t="shared" si="43"/>
        <v>1000</v>
      </c>
      <c r="I150" s="74">
        <v>5</v>
      </c>
      <c r="J150" s="68">
        <v>0.2</v>
      </c>
      <c r="K150" s="68">
        <v>0</v>
      </c>
      <c r="L150" s="110">
        <f t="shared" si="33"/>
        <v>0</v>
      </c>
      <c r="M150" s="110">
        <f t="shared" si="34"/>
        <v>2799000</v>
      </c>
      <c r="N150" s="67">
        <f t="shared" si="41"/>
        <v>1000</v>
      </c>
      <c r="O150" s="242" t="s">
        <v>476</v>
      </c>
      <c r="P150" s="243">
        <v>1</v>
      </c>
      <c r="Q150" s="70"/>
      <c r="R150" s="23"/>
      <c r="S150" s="23">
        <f t="shared" si="35"/>
        <v>140000</v>
      </c>
      <c r="T150" s="23">
        <f t="shared" si="36"/>
        <v>-139000</v>
      </c>
      <c r="U150" s="23">
        <f t="shared" si="37"/>
        <v>0</v>
      </c>
      <c r="V150" s="10">
        <f t="shared" si="38"/>
        <v>560000</v>
      </c>
      <c r="W150" s="10">
        <f t="shared" si="42"/>
        <v>0</v>
      </c>
      <c r="X150" s="10">
        <f t="shared" si="40"/>
        <v>0</v>
      </c>
    </row>
    <row r="151" spans="1:24" s="9" customFormat="1" ht="13.5" customHeight="1" x14ac:dyDescent="0.2">
      <c r="A151" s="64">
        <v>147</v>
      </c>
      <c r="B151" s="835" t="s">
        <v>477</v>
      </c>
      <c r="C151" s="836">
        <v>40421</v>
      </c>
      <c r="D151" s="837">
        <v>173608600</v>
      </c>
      <c r="E151" s="838"/>
      <c r="F151" s="837">
        <f t="shared" si="44"/>
        <v>173608600</v>
      </c>
      <c r="G151" s="839">
        <v>173607600</v>
      </c>
      <c r="H151" s="837">
        <f t="shared" si="43"/>
        <v>1000</v>
      </c>
      <c r="I151" s="840">
        <v>5</v>
      </c>
      <c r="J151" s="791">
        <v>0.2</v>
      </c>
      <c r="K151" s="791">
        <v>0</v>
      </c>
      <c r="L151" s="792">
        <f t="shared" si="33"/>
        <v>0</v>
      </c>
      <c r="M151" s="839">
        <f t="shared" si="34"/>
        <v>173607600</v>
      </c>
      <c r="N151" s="790">
        <f t="shared" si="41"/>
        <v>1000</v>
      </c>
      <c r="O151" s="841" t="s">
        <v>478</v>
      </c>
      <c r="P151" s="842">
        <v>2</v>
      </c>
      <c r="Q151" s="843"/>
      <c r="R151" s="23"/>
      <c r="S151" s="23">
        <f t="shared" si="35"/>
        <v>8680430</v>
      </c>
      <c r="T151" s="23">
        <f t="shared" si="36"/>
        <v>-8679430</v>
      </c>
      <c r="U151" s="23">
        <f t="shared" si="37"/>
        <v>0</v>
      </c>
      <c r="V151" s="10">
        <f t="shared" si="38"/>
        <v>34721720</v>
      </c>
      <c r="W151" s="10">
        <f t="shared" si="42"/>
        <v>0</v>
      </c>
      <c r="X151" s="10">
        <f t="shared" si="40"/>
        <v>0</v>
      </c>
    </row>
    <row r="152" spans="1:24" s="9" customFormat="1" ht="13.5" customHeight="1" x14ac:dyDescent="0.2">
      <c r="A152" s="64">
        <v>148</v>
      </c>
      <c r="B152" s="240" t="s">
        <v>479</v>
      </c>
      <c r="C152" s="163">
        <v>40434</v>
      </c>
      <c r="D152" s="67">
        <v>85000000</v>
      </c>
      <c r="E152" s="241"/>
      <c r="F152" s="67">
        <f t="shared" si="44"/>
        <v>85000000</v>
      </c>
      <c r="G152" s="110">
        <v>84999000</v>
      </c>
      <c r="H152" s="67">
        <f t="shared" si="43"/>
        <v>1000</v>
      </c>
      <c r="I152" s="68">
        <v>5</v>
      </c>
      <c r="J152" s="68">
        <v>0.2</v>
      </c>
      <c r="K152" s="68">
        <v>0</v>
      </c>
      <c r="L152" s="110">
        <f t="shared" si="33"/>
        <v>0</v>
      </c>
      <c r="M152" s="110">
        <f t="shared" si="34"/>
        <v>84999000</v>
      </c>
      <c r="N152" s="67">
        <f t="shared" si="41"/>
        <v>1000</v>
      </c>
      <c r="O152" s="242" t="s">
        <v>480</v>
      </c>
      <c r="P152" s="243">
        <v>1</v>
      </c>
      <c r="Q152" s="70"/>
      <c r="R152" s="23"/>
      <c r="S152" s="23">
        <f t="shared" si="35"/>
        <v>4250000</v>
      </c>
      <c r="T152" s="23">
        <f t="shared" si="36"/>
        <v>-4249000</v>
      </c>
      <c r="U152" s="23">
        <f t="shared" si="37"/>
        <v>0</v>
      </c>
      <c r="V152" s="10">
        <f t="shared" si="38"/>
        <v>17000000</v>
      </c>
      <c r="W152" s="10">
        <f t="shared" si="42"/>
        <v>0</v>
      </c>
      <c r="X152" s="10">
        <f t="shared" si="40"/>
        <v>0</v>
      </c>
    </row>
    <row r="153" spans="1:24" s="9" customFormat="1" ht="13.5" customHeight="1" x14ac:dyDescent="0.2">
      <c r="A153" s="64">
        <v>149</v>
      </c>
      <c r="B153" s="206" t="s">
        <v>238</v>
      </c>
      <c r="C153" s="163">
        <v>40461</v>
      </c>
      <c r="D153" s="67">
        <v>203474810</v>
      </c>
      <c r="E153" s="241"/>
      <c r="F153" s="67">
        <f t="shared" si="44"/>
        <v>203474810</v>
      </c>
      <c r="G153" s="110">
        <v>203473810</v>
      </c>
      <c r="H153" s="67">
        <f t="shared" si="43"/>
        <v>1000</v>
      </c>
      <c r="I153" s="68">
        <v>5</v>
      </c>
      <c r="J153" s="68">
        <v>0.2</v>
      </c>
      <c r="K153" s="68">
        <v>0</v>
      </c>
      <c r="L153" s="110">
        <f t="shared" si="33"/>
        <v>0</v>
      </c>
      <c r="M153" s="110">
        <f t="shared" si="34"/>
        <v>203473810</v>
      </c>
      <c r="N153" s="67">
        <f t="shared" si="41"/>
        <v>1000</v>
      </c>
      <c r="O153" s="246" t="s">
        <v>469</v>
      </c>
      <c r="P153" s="247">
        <v>1</v>
      </c>
      <c r="Q153" s="70"/>
      <c r="R153" s="23"/>
      <c r="S153" s="23">
        <f t="shared" si="35"/>
        <v>10173740.5</v>
      </c>
      <c r="T153" s="23">
        <f t="shared" si="36"/>
        <v>-10172740.5</v>
      </c>
      <c r="U153" s="23">
        <f t="shared" si="37"/>
        <v>0</v>
      </c>
      <c r="V153" s="10">
        <f t="shared" si="38"/>
        <v>40694962</v>
      </c>
      <c r="W153" s="10">
        <f t="shared" si="42"/>
        <v>0</v>
      </c>
      <c r="X153" s="10">
        <f t="shared" si="40"/>
        <v>0</v>
      </c>
    </row>
    <row r="154" spans="1:24" s="9" customFormat="1" ht="13.5" customHeight="1" x14ac:dyDescent="0.2">
      <c r="A154" s="64">
        <v>150</v>
      </c>
      <c r="B154" s="248" t="s">
        <v>481</v>
      </c>
      <c r="C154" s="163">
        <v>40461</v>
      </c>
      <c r="D154" s="67">
        <v>170520350</v>
      </c>
      <c r="E154" s="241"/>
      <c r="F154" s="67">
        <f t="shared" si="44"/>
        <v>170520350</v>
      </c>
      <c r="G154" s="110">
        <v>170519350</v>
      </c>
      <c r="H154" s="67">
        <f t="shared" si="43"/>
        <v>1000</v>
      </c>
      <c r="I154" s="68">
        <v>5</v>
      </c>
      <c r="J154" s="68">
        <v>0.2</v>
      </c>
      <c r="K154" s="68">
        <v>0</v>
      </c>
      <c r="L154" s="110">
        <f t="shared" si="33"/>
        <v>0</v>
      </c>
      <c r="M154" s="110">
        <f t="shared" si="34"/>
        <v>170519350</v>
      </c>
      <c r="N154" s="67">
        <f t="shared" si="41"/>
        <v>1000</v>
      </c>
      <c r="O154" s="246" t="s">
        <v>381</v>
      </c>
      <c r="P154" s="247">
        <v>2</v>
      </c>
      <c r="Q154" s="70"/>
      <c r="R154" s="23"/>
      <c r="S154" s="23">
        <f t="shared" si="35"/>
        <v>8526017.5</v>
      </c>
      <c r="T154" s="23">
        <f t="shared" si="36"/>
        <v>-8525017.5</v>
      </c>
      <c r="U154" s="23">
        <f t="shared" si="37"/>
        <v>0</v>
      </c>
      <c r="V154" s="10">
        <f t="shared" si="38"/>
        <v>34104070</v>
      </c>
      <c r="W154" s="10">
        <f t="shared" si="42"/>
        <v>0</v>
      </c>
      <c r="X154" s="10">
        <f t="shared" si="40"/>
        <v>0</v>
      </c>
    </row>
    <row r="155" spans="1:24" s="9" customFormat="1" ht="13.5" customHeight="1" x14ac:dyDescent="0.2">
      <c r="A155" s="64">
        <v>151</v>
      </c>
      <c r="B155" s="240" t="s">
        <v>482</v>
      </c>
      <c r="C155" s="163">
        <v>40633</v>
      </c>
      <c r="D155" s="67">
        <v>73300000</v>
      </c>
      <c r="E155" s="249"/>
      <c r="F155" s="67">
        <f t="shared" si="44"/>
        <v>73300000</v>
      </c>
      <c r="G155" s="110">
        <v>73299000</v>
      </c>
      <c r="H155" s="67">
        <f t="shared" si="43"/>
        <v>1000</v>
      </c>
      <c r="I155" s="68">
        <v>5</v>
      </c>
      <c r="J155" s="68">
        <v>0.2</v>
      </c>
      <c r="K155" s="68">
        <v>0</v>
      </c>
      <c r="L155" s="110">
        <f t="shared" si="33"/>
        <v>0</v>
      </c>
      <c r="M155" s="110">
        <f t="shared" si="34"/>
        <v>73299000</v>
      </c>
      <c r="N155" s="67">
        <f t="shared" si="41"/>
        <v>1000</v>
      </c>
      <c r="O155" s="246" t="s">
        <v>483</v>
      </c>
      <c r="P155" s="247">
        <v>1</v>
      </c>
      <c r="Q155" s="250" t="s">
        <v>484</v>
      </c>
      <c r="R155" s="23"/>
      <c r="S155" s="23">
        <f t="shared" si="35"/>
        <v>3665000</v>
      </c>
      <c r="T155" s="23">
        <f t="shared" si="36"/>
        <v>-3664000</v>
      </c>
      <c r="U155" s="23">
        <f t="shared" si="37"/>
        <v>0</v>
      </c>
      <c r="V155" s="10">
        <f t="shared" si="38"/>
        <v>14660000</v>
      </c>
      <c r="W155" s="10">
        <f t="shared" si="42"/>
        <v>0</v>
      </c>
      <c r="X155" s="10">
        <f t="shared" si="40"/>
        <v>0</v>
      </c>
    </row>
    <row r="156" spans="1:24" s="9" customFormat="1" ht="13.5" customHeight="1" x14ac:dyDescent="0.2">
      <c r="A156" s="64">
        <v>152</v>
      </c>
      <c r="B156" s="810" t="s">
        <v>485</v>
      </c>
      <c r="C156" s="811">
        <v>40596</v>
      </c>
      <c r="D156" s="812">
        <v>274634400</v>
      </c>
      <c r="E156" s="813">
        <v>-274634400</v>
      </c>
      <c r="F156" s="812">
        <f t="shared" si="44"/>
        <v>0</v>
      </c>
      <c r="G156" s="814">
        <v>274633400</v>
      </c>
      <c r="H156" s="812"/>
      <c r="I156" s="815">
        <v>5</v>
      </c>
      <c r="J156" s="815">
        <v>0.2</v>
      </c>
      <c r="K156" s="815">
        <v>0</v>
      </c>
      <c r="L156" s="814"/>
      <c r="M156" s="814"/>
      <c r="N156" s="812">
        <f t="shared" si="41"/>
        <v>0</v>
      </c>
      <c r="O156" s="816" t="s">
        <v>357</v>
      </c>
      <c r="P156" s="817">
        <v>1</v>
      </c>
      <c r="Q156" s="818" t="s">
        <v>3088</v>
      </c>
      <c r="R156" s="23"/>
      <c r="S156" s="23">
        <f t="shared" si="35"/>
        <v>13731720</v>
      </c>
      <c r="T156" s="23">
        <f t="shared" si="36"/>
        <v>-13731720</v>
      </c>
      <c r="U156" s="23">
        <f t="shared" si="37"/>
        <v>-1000</v>
      </c>
      <c r="V156" s="10">
        <f t="shared" si="38"/>
        <v>0</v>
      </c>
      <c r="W156" s="10">
        <f t="shared" si="42"/>
        <v>0</v>
      </c>
      <c r="X156" s="10">
        <f t="shared" si="40"/>
        <v>0</v>
      </c>
    </row>
    <row r="157" spans="1:24" s="9" customFormat="1" ht="13.5" customHeight="1" x14ac:dyDescent="0.2">
      <c r="A157" s="64">
        <v>153</v>
      </c>
      <c r="B157" s="240" t="s">
        <v>450</v>
      </c>
      <c r="C157" s="163">
        <v>40724</v>
      </c>
      <c r="D157" s="67">
        <v>182962248</v>
      </c>
      <c r="E157" s="249"/>
      <c r="F157" s="67">
        <f t="shared" si="44"/>
        <v>182962248</v>
      </c>
      <c r="G157" s="185">
        <v>182961248</v>
      </c>
      <c r="H157" s="184">
        <f t="shared" si="43"/>
        <v>1000</v>
      </c>
      <c r="I157" s="186">
        <v>5</v>
      </c>
      <c r="J157" s="186">
        <v>0.2</v>
      </c>
      <c r="K157" s="68">
        <v>0</v>
      </c>
      <c r="L157" s="185">
        <f t="shared" si="33"/>
        <v>0</v>
      </c>
      <c r="M157" s="185">
        <f>+G157+L157</f>
        <v>182961248</v>
      </c>
      <c r="N157" s="184">
        <f t="shared" si="41"/>
        <v>1000</v>
      </c>
      <c r="O157" s="246" t="s">
        <v>357</v>
      </c>
      <c r="P157" s="247">
        <v>1</v>
      </c>
      <c r="Q157" s="250" t="s">
        <v>486</v>
      </c>
      <c r="R157" s="23"/>
      <c r="S157" s="23">
        <f t="shared" si="35"/>
        <v>9148112.4000000004</v>
      </c>
      <c r="T157" s="23">
        <f t="shared" si="36"/>
        <v>-9147112.4000000004</v>
      </c>
      <c r="U157" s="23">
        <f t="shared" si="37"/>
        <v>0</v>
      </c>
      <c r="V157" s="10">
        <f t="shared" si="38"/>
        <v>36592449.600000001</v>
      </c>
      <c r="W157" s="10">
        <f t="shared" si="42"/>
        <v>0</v>
      </c>
      <c r="X157" s="10">
        <f t="shared" si="40"/>
        <v>0</v>
      </c>
    </row>
    <row r="158" spans="1:24" s="9" customFormat="1" ht="14.25" customHeight="1" x14ac:dyDescent="0.2">
      <c r="A158" s="64">
        <v>154</v>
      </c>
      <c r="B158" s="240" t="s">
        <v>487</v>
      </c>
      <c r="C158" s="163">
        <v>40739</v>
      </c>
      <c r="D158" s="67">
        <v>5000000</v>
      </c>
      <c r="E158" s="249"/>
      <c r="F158" s="67">
        <f t="shared" si="44"/>
        <v>5000000</v>
      </c>
      <c r="G158" s="185">
        <v>4999000</v>
      </c>
      <c r="H158" s="184">
        <f t="shared" si="43"/>
        <v>1000</v>
      </c>
      <c r="I158" s="186">
        <v>5</v>
      </c>
      <c r="J158" s="186">
        <v>0.2</v>
      </c>
      <c r="K158" s="68">
        <v>0</v>
      </c>
      <c r="L158" s="110">
        <f t="shared" si="33"/>
        <v>0</v>
      </c>
      <c r="M158" s="110">
        <f t="shared" si="34"/>
        <v>4999000</v>
      </c>
      <c r="N158" s="67">
        <f t="shared" si="41"/>
        <v>1000</v>
      </c>
      <c r="O158" s="246" t="s">
        <v>488</v>
      </c>
      <c r="P158" s="247">
        <v>1</v>
      </c>
      <c r="Q158" s="70"/>
      <c r="R158" s="23"/>
      <c r="S158" s="23">
        <f t="shared" si="35"/>
        <v>250000</v>
      </c>
      <c r="T158" s="23">
        <f t="shared" si="36"/>
        <v>-249000</v>
      </c>
      <c r="U158" s="23">
        <f t="shared" si="37"/>
        <v>0</v>
      </c>
      <c r="V158" s="10">
        <f t="shared" si="38"/>
        <v>1000000</v>
      </c>
      <c r="W158" s="10">
        <f t="shared" si="42"/>
        <v>0</v>
      </c>
      <c r="X158" s="10">
        <f t="shared" si="40"/>
        <v>0</v>
      </c>
    </row>
    <row r="159" spans="1:24" s="9" customFormat="1" ht="13.5" customHeight="1" x14ac:dyDescent="0.2">
      <c r="A159" s="64">
        <v>155</v>
      </c>
      <c r="B159" s="254" t="s">
        <v>489</v>
      </c>
      <c r="C159" s="255">
        <v>40744</v>
      </c>
      <c r="D159" s="256">
        <v>0</v>
      </c>
      <c r="E159" s="257"/>
      <c r="F159" s="256">
        <f t="shared" si="44"/>
        <v>0</v>
      </c>
      <c r="G159" s="258">
        <v>0</v>
      </c>
      <c r="H159" s="256">
        <f t="shared" si="43"/>
        <v>0</v>
      </c>
      <c r="I159" s="259"/>
      <c r="J159" s="259"/>
      <c r="K159" s="791">
        <v>0</v>
      </c>
      <c r="L159" s="258"/>
      <c r="M159" s="258">
        <f t="shared" si="34"/>
        <v>0</v>
      </c>
      <c r="N159" s="256">
        <f t="shared" si="41"/>
        <v>0</v>
      </c>
      <c r="O159" s="260"/>
      <c r="P159" s="261"/>
      <c r="Q159" s="262"/>
      <c r="R159" s="23"/>
      <c r="S159" s="23"/>
      <c r="T159" s="23"/>
      <c r="U159" s="23"/>
      <c r="V159" s="10"/>
      <c r="W159" s="10">
        <f t="shared" si="42"/>
        <v>0</v>
      </c>
      <c r="X159" s="10"/>
    </row>
    <row r="160" spans="1:24" s="9" customFormat="1" ht="13.5" customHeight="1" x14ac:dyDescent="0.2">
      <c r="A160" s="64">
        <v>156</v>
      </c>
      <c r="B160" s="240" t="s">
        <v>490</v>
      </c>
      <c r="C160" s="163">
        <v>40754</v>
      </c>
      <c r="D160" s="67">
        <v>6500000</v>
      </c>
      <c r="E160" s="249"/>
      <c r="F160" s="67">
        <f t="shared" si="44"/>
        <v>6500000</v>
      </c>
      <c r="G160" s="185">
        <v>6499000</v>
      </c>
      <c r="H160" s="184">
        <f t="shared" si="43"/>
        <v>1000</v>
      </c>
      <c r="I160" s="186">
        <v>5</v>
      </c>
      <c r="J160" s="186">
        <v>0.2</v>
      </c>
      <c r="K160" s="68">
        <v>0</v>
      </c>
      <c r="L160" s="110">
        <f t="shared" ref="L160:L177" si="45">ROUND(IF(F160*J160*K160/12&gt;=H160,H160-1000,F160*J160*K160/12),0)</f>
        <v>0</v>
      </c>
      <c r="M160" s="110">
        <f t="shared" si="34"/>
        <v>6499000</v>
      </c>
      <c r="N160" s="67">
        <f t="shared" si="41"/>
        <v>1000</v>
      </c>
      <c r="O160" s="246" t="s">
        <v>491</v>
      </c>
      <c r="P160" s="247">
        <v>1</v>
      </c>
      <c r="Q160" s="250" t="s">
        <v>486</v>
      </c>
      <c r="R160" s="23"/>
      <c r="S160" s="23">
        <f t="shared" ref="S160:S165" si="46">D160*0.05</f>
        <v>325000</v>
      </c>
      <c r="T160" s="23">
        <f t="shared" ref="T160:T239" si="47">N160-S160</f>
        <v>-324000</v>
      </c>
      <c r="U160" s="23">
        <f t="shared" ref="U160:U239" si="48">N160-1000</f>
        <v>0</v>
      </c>
      <c r="V160" s="10">
        <f t="shared" ref="V160:V239" si="49">F160/I160</f>
        <v>1300000</v>
      </c>
      <c r="W160" s="10">
        <f t="shared" si="42"/>
        <v>0</v>
      </c>
      <c r="X160" s="10">
        <f t="shared" ref="X160:X239" si="50">L160-W160</f>
        <v>0</v>
      </c>
    </row>
    <row r="161" spans="1:24" s="9" customFormat="1" ht="13.5" customHeight="1" x14ac:dyDescent="0.2">
      <c r="A161" s="64">
        <v>157</v>
      </c>
      <c r="B161" s="810" t="s">
        <v>485</v>
      </c>
      <c r="C161" s="811">
        <v>40754</v>
      </c>
      <c r="D161" s="812">
        <v>258939600</v>
      </c>
      <c r="E161" s="813">
        <v>-258939600</v>
      </c>
      <c r="F161" s="812">
        <f t="shared" si="44"/>
        <v>0</v>
      </c>
      <c r="G161" s="814">
        <v>258938600</v>
      </c>
      <c r="H161" s="812"/>
      <c r="I161" s="815">
        <v>5</v>
      </c>
      <c r="J161" s="815">
        <v>0.2</v>
      </c>
      <c r="K161" s="815">
        <v>0</v>
      </c>
      <c r="L161" s="814"/>
      <c r="M161" s="814"/>
      <c r="N161" s="812">
        <f t="shared" si="41"/>
        <v>0</v>
      </c>
      <c r="O161" s="816" t="s">
        <v>357</v>
      </c>
      <c r="P161" s="819">
        <v>1</v>
      </c>
      <c r="Q161" s="818" t="s">
        <v>3087</v>
      </c>
      <c r="R161" s="23"/>
      <c r="S161" s="23">
        <f t="shared" si="46"/>
        <v>12946980</v>
      </c>
      <c r="T161" s="23">
        <f t="shared" si="47"/>
        <v>-12946980</v>
      </c>
      <c r="U161" s="23">
        <f t="shared" si="48"/>
        <v>-1000</v>
      </c>
      <c r="V161" s="10">
        <f t="shared" si="49"/>
        <v>0</v>
      </c>
      <c r="W161" s="10">
        <f t="shared" si="42"/>
        <v>0</v>
      </c>
      <c r="X161" s="10">
        <f t="shared" si="50"/>
        <v>0</v>
      </c>
    </row>
    <row r="162" spans="1:24" s="9" customFormat="1" ht="13.5" customHeight="1" x14ac:dyDescent="0.2">
      <c r="A162" s="64">
        <v>158</v>
      </c>
      <c r="B162" s="240" t="s">
        <v>492</v>
      </c>
      <c r="C162" s="163">
        <v>40788</v>
      </c>
      <c r="D162" s="67">
        <v>16000000</v>
      </c>
      <c r="E162" s="249"/>
      <c r="F162" s="67">
        <f t="shared" si="44"/>
        <v>16000000</v>
      </c>
      <c r="G162" s="185">
        <v>15999000</v>
      </c>
      <c r="H162" s="184">
        <f t="shared" si="43"/>
        <v>1000</v>
      </c>
      <c r="I162" s="186">
        <v>5</v>
      </c>
      <c r="J162" s="186">
        <v>0.2</v>
      </c>
      <c r="K162" s="68">
        <v>0</v>
      </c>
      <c r="L162" s="110">
        <f t="shared" si="45"/>
        <v>0</v>
      </c>
      <c r="M162" s="110">
        <f t="shared" si="34"/>
        <v>15999000</v>
      </c>
      <c r="N162" s="67">
        <f t="shared" si="41"/>
        <v>1000</v>
      </c>
      <c r="O162" s="246" t="s">
        <v>493</v>
      </c>
      <c r="P162" s="247">
        <v>1</v>
      </c>
      <c r="Q162" s="70"/>
      <c r="R162" s="23"/>
      <c r="S162" s="23">
        <f t="shared" si="46"/>
        <v>800000</v>
      </c>
      <c r="T162" s="23">
        <f t="shared" si="47"/>
        <v>-799000</v>
      </c>
      <c r="U162" s="23">
        <f t="shared" si="48"/>
        <v>0</v>
      </c>
      <c r="V162" s="10">
        <f t="shared" si="49"/>
        <v>3200000</v>
      </c>
      <c r="W162" s="10">
        <f t="shared" si="42"/>
        <v>0</v>
      </c>
      <c r="X162" s="10">
        <f t="shared" si="50"/>
        <v>0</v>
      </c>
    </row>
    <row r="163" spans="1:24" s="9" customFormat="1" ht="13.5" customHeight="1" x14ac:dyDescent="0.2">
      <c r="A163" s="64">
        <v>159</v>
      </c>
      <c r="B163" s="240" t="s">
        <v>494</v>
      </c>
      <c r="C163" s="163">
        <v>40807</v>
      </c>
      <c r="D163" s="67">
        <v>69036000</v>
      </c>
      <c r="E163" s="249"/>
      <c r="F163" s="67">
        <f t="shared" si="44"/>
        <v>69036000</v>
      </c>
      <c r="G163" s="185">
        <v>69035000</v>
      </c>
      <c r="H163" s="184">
        <f t="shared" si="43"/>
        <v>1000</v>
      </c>
      <c r="I163" s="186">
        <v>5</v>
      </c>
      <c r="J163" s="186">
        <v>0.2</v>
      </c>
      <c r="K163" s="68">
        <v>0</v>
      </c>
      <c r="L163" s="110">
        <f t="shared" si="45"/>
        <v>0</v>
      </c>
      <c r="M163" s="110">
        <f t="shared" si="34"/>
        <v>69035000</v>
      </c>
      <c r="N163" s="67">
        <f t="shared" si="41"/>
        <v>1000</v>
      </c>
      <c r="O163" s="246" t="s">
        <v>495</v>
      </c>
      <c r="P163" s="247">
        <v>1</v>
      </c>
      <c r="Q163" s="70"/>
      <c r="R163" s="23"/>
      <c r="S163" s="23">
        <f t="shared" si="46"/>
        <v>3451800</v>
      </c>
      <c r="T163" s="23">
        <f t="shared" si="47"/>
        <v>-3450800</v>
      </c>
      <c r="U163" s="23">
        <f t="shared" si="48"/>
        <v>0</v>
      </c>
      <c r="V163" s="10">
        <f t="shared" si="49"/>
        <v>13807200</v>
      </c>
      <c r="W163" s="10">
        <f t="shared" si="42"/>
        <v>0</v>
      </c>
      <c r="X163" s="10">
        <f t="shared" si="50"/>
        <v>0</v>
      </c>
    </row>
    <row r="164" spans="1:24" s="9" customFormat="1" ht="13.5" customHeight="1" x14ac:dyDescent="0.2">
      <c r="A164" s="64">
        <v>160</v>
      </c>
      <c r="B164" s="240" t="s">
        <v>496</v>
      </c>
      <c r="C164" s="163">
        <v>40816</v>
      </c>
      <c r="D164" s="67">
        <v>31900000</v>
      </c>
      <c r="E164" s="249"/>
      <c r="F164" s="67">
        <f t="shared" si="44"/>
        <v>31900000</v>
      </c>
      <c r="G164" s="185">
        <v>31899000</v>
      </c>
      <c r="H164" s="184">
        <f t="shared" si="43"/>
        <v>1000</v>
      </c>
      <c r="I164" s="186">
        <v>5</v>
      </c>
      <c r="J164" s="186">
        <v>0.2</v>
      </c>
      <c r="K164" s="68">
        <v>0</v>
      </c>
      <c r="L164" s="110">
        <f t="shared" si="45"/>
        <v>0</v>
      </c>
      <c r="M164" s="110">
        <f t="shared" si="34"/>
        <v>31899000</v>
      </c>
      <c r="N164" s="67">
        <f t="shared" si="41"/>
        <v>1000</v>
      </c>
      <c r="O164" s="246" t="s">
        <v>441</v>
      </c>
      <c r="P164" s="247">
        <v>1</v>
      </c>
      <c r="Q164" s="70"/>
      <c r="R164" s="23"/>
      <c r="S164" s="23">
        <f t="shared" si="46"/>
        <v>1595000</v>
      </c>
      <c r="T164" s="23">
        <f t="shared" si="47"/>
        <v>-1594000</v>
      </c>
      <c r="U164" s="23">
        <f t="shared" si="48"/>
        <v>0</v>
      </c>
      <c r="V164" s="10">
        <f t="shared" si="49"/>
        <v>6380000</v>
      </c>
      <c r="W164" s="10">
        <f t="shared" si="42"/>
        <v>0</v>
      </c>
      <c r="X164" s="10">
        <f t="shared" si="50"/>
        <v>0</v>
      </c>
    </row>
    <row r="165" spans="1:24" s="9" customFormat="1" ht="13.5" customHeight="1" x14ac:dyDescent="0.2">
      <c r="A165" s="64">
        <v>161</v>
      </c>
      <c r="B165" s="263" t="s">
        <v>497</v>
      </c>
      <c r="C165" s="183">
        <v>40841</v>
      </c>
      <c r="D165" s="184">
        <v>102000000</v>
      </c>
      <c r="E165" s="264"/>
      <c r="F165" s="184">
        <f t="shared" si="44"/>
        <v>102000000</v>
      </c>
      <c r="G165" s="185">
        <v>101999000</v>
      </c>
      <c r="H165" s="184">
        <f t="shared" si="43"/>
        <v>1000</v>
      </c>
      <c r="I165" s="186">
        <v>5</v>
      </c>
      <c r="J165" s="186">
        <v>0.2</v>
      </c>
      <c r="K165" s="68">
        <v>0</v>
      </c>
      <c r="L165" s="185">
        <f t="shared" si="45"/>
        <v>0</v>
      </c>
      <c r="M165" s="185">
        <f t="shared" si="34"/>
        <v>101999000</v>
      </c>
      <c r="N165" s="184">
        <f t="shared" si="41"/>
        <v>1000</v>
      </c>
      <c r="O165" s="252" t="s">
        <v>498</v>
      </c>
      <c r="P165" s="265">
        <v>1</v>
      </c>
      <c r="Q165" s="253" t="s">
        <v>486</v>
      </c>
      <c r="R165" s="23"/>
      <c r="S165" s="23">
        <f t="shared" si="46"/>
        <v>5100000</v>
      </c>
      <c r="T165" s="23">
        <f t="shared" si="47"/>
        <v>-5099000</v>
      </c>
      <c r="U165" s="23">
        <f t="shared" si="48"/>
        <v>0</v>
      </c>
      <c r="V165" s="10">
        <f t="shared" si="49"/>
        <v>20400000</v>
      </c>
      <c r="W165" s="10">
        <f t="shared" si="42"/>
        <v>0</v>
      </c>
      <c r="X165" s="10">
        <f t="shared" si="50"/>
        <v>0</v>
      </c>
    </row>
    <row r="166" spans="1:24" s="9" customFormat="1" ht="13.5" customHeight="1" x14ac:dyDescent="0.2">
      <c r="A166" s="64">
        <v>162</v>
      </c>
      <c r="B166" s="240" t="s">
        <v>499</v>
      </c>
      <c r="C166" s="163">
        <v>40917</v>
      </c>
      <c r="D166" s="67">
        <v>38000000</v>
      </c>
      <c r="E166" s="241"/>
      <c r="F166" s="184">
        <f t="shared" si="44"/>
        <v>38000000</v>
      </c>
      <c r="G166" s="110">
        <v>37999000</v>
      </c>
      <c r="H166" s="184">
        <f t="shared" si="43"/>
        <v>1000</v>
      </c>
      <c r="I166" s="186">
        <v>5</v>
      </c>
      <c r="J166" s="186">
        <v>0.2</v>
      </c>
      <c r="K166" s="68">
        <v>0</v>
      </c>
      <c r="L166" s="185">
        <f t="shared" si="45"/>
        <v>0</v>
      </c>
      <c r="M166" s="185">
        <f t="shared" si="34"/>
        <v>37999000</v>
      </c>
      <c r="N166" s="184">
        <f t="shared" si="41"/>
        <v>1000</v>
      </c>
      <c r="O166" s="246" t="s">
        <v>500</v>
      </c>
      <c r="P166" s="247">
        <v>1</v>
      </c>
      <c r="Q166" s="250" t="s">
        <v>501</v>
      </c>
      <c r="R166" s="23"/>
      <c r="S166" s="23">
        <f t="shared" ref="S166:S239" si="51">F166*0.05</f>
        <v>1900000</v>
      </c>
      <c r="T166" s="23">
        <f t="shared" si="47"/>
        <v>-1899000</v>
      </c>
      <c r="U166" s="23">
        <f t="shared" si="48"/>
        <v>0</v>
      </c>
      <c r="V166" s="10">
        <f t="shared" si="49"/>
        <v>7600000</v>
      </c>
      <c r="W166" s="10">
        <f t="shared" si="42"/>
        <v>0</v>
      </c>
      <c r="X166" s="10">
        <f t="shared" si="50"/>
        <v>0</v>
      </c>
    </row>
    <row r="167" spans="1:24" s="9" customFormat="1" ht="13.5" customHeight="1" x14ac:dyDescent="0.2">
      <c r="A167" s="64">
        <v>163</v>
      </c>
      <c r="B167" s="240" t="s">
        <v>502</v>
      </c>
      <c r="C167" s="163">
        <v>40994</v>
      </c>
      <c r="D167" s="67">
        <v>22000000</v>
      </c>
      <c r="E167" s="241"/>
      <c r="F167" s="184">
        <f t="shared" si="44"/>
        <v>22000000</v>
      </c>
      <c r="G167" s="110">
        <v>21999000</v>
      </c>
      <c r="H167" s="184">
        <f t="shared" si="43"/>
        <v>1000</v>
      </c>
      <c r="I167" s="186">
        <v>5</v>
      </c>
      <c r="J167" s="186">
        <v>0.2</v>
      </c>
      <c r="K167" s="68">
        <v>0</v>
      </c>
      <c r="L167" s="185">
        <f t="shared" si="45"/>
        <v>0</v>
      </c>
      <c r="M167" s="185">
        <f t="shared" si="34"/>
        <v>21999000</v>
      </c>
      <c r="N167" s="184">
        <f t="shared" si="41"/>
        <v>1000</v>
      </c>
      <c r="O167" s="246" t="s">
        <v>503</v>
      </c>
      <c r="P167" s="247">
        <v>1</v>
      </c>
      <c r="Q167" s="70"/>
      <c r="R167" s="23"/>
      <c r="S167" s="23">
        <f t="shared" si="51"/>
        <v>1100000</v>
      </c>
      <c r="T167" s="23">
        <f t="shared" si="47"/>
        <v>-1099000</v>
      </c>
      <c r="U167" s="23">
        <f t="shared" si="48"/>
        <v>0</v>
      </c>
      <c r="V167" s="10">
        <f t="shared" si="49"/>
        <v>4400000</v>
      </c>
      <c r="W167" s="10">
        <f t="shared" si="42"/>
        <v>0</v>
      </c>
      <c r="X167" s="10">
        <f t="shared" si="50"/>
        <v>0</v>
      </c>
    </row>
    <row r="168" spans="1:24" s="9" customFormat="1" ht="13.5" customHeight="1" x14ac:dyDescent="0.2">
      <c r="A168" s="64">
        <v>164</v>
      </c>
      <c r="B168" s="240" t="s">
        <v>504</v>
      </c>
      <c r="C168" s="163">
        <v>41029</v>
      </c>
      <c r="D168" s="73">
        <v>98000000</v>
      </c>
      <c r="E168" s="245"/>
      <c r="F168" s="184">
        <f t="shared" si="44"/>
        <v>98000000</v>
      </c>
      <c r="G168" s="110">
        <v>97999000</v>
      </c>
      <c r="H168" s="184">
        <f t="shared" si="43"/>
        <v>1000</v>
      </c>
      <c r="I168" s="186">
        <v>5</v>
      </c>
      <c r="J168" s="186">
        <v>0.2</v>
      </c>
      <c r="K168" s="68">
        <v>0</v>
      </c>
      <c r="L168" s="185">
        <f t="shared" si="45"/>
        <v>0</v>
      </c>
      <c r="M168" s="185">
        <f t="shared" si="34"/>
        <v>97999000</v>
      </c>
      <c r="N168" s="184">
        <f t="shared" si="41"/>
        <v>1000</v>
      </c>
      <c r="O168" s="266" t="s">
        <v>493</v>
      </c>
      <c r="P168" s="267">
        <v>1</v>
      </c>
      <c r="Q168" s="76"/>
      <c r="R168" s="23"/>
      <c r="S168" s="23">
        <f t="shared" si="51"/>
        <v>4900000</v>
      </c>
      <c r="T168" s="23">
        <f t="shared" si="47"/>
        <v>-4899000</v>
      </c>
      <c r="U168" s="23">
        <f t="shared" si="48"/>
        <v>0</v>
      </c>
      <c r="V168" s="10">
        <f t="shared" si="49"/>
        <v>19600000</v>
      </c>
      <c r="W168" s="10">
        <f t="shared" si="42"/>
        <v>0</v>
      </c>
      <c r="X168" s="10">
        <f t="shared" si="50"/>
        <v>0</v>
      </c>
    </row>
    <row r="169" spans="1:24" s="9" customFormat="1" ht="13.5" customHeight="1" x14ac:dyDescent="0.2">
      <c r="A169" s="64">
        <v>165</v>
      </c>
      <c r="B169" s="244" t="s">
        <v>505</v>
      </c>
      <c r="C169" s="163">
        <v>41107</v>
      </c>
      <c r="D169" s="73">
        <v>26000000</v>
      </c>
      <c r="E169" s="245"/>
      <c r="F169" s="184">
        <f t="shared" si="44"/>
        <v>26000000</v>
      </c>
      <c r="G169" s="110">
        <v>25999000</v>
      </c>
      <c r="H169" s="184">
        <f t="shared" si="43"/>
        <v>1000</v>
      </c>
      <c r="I169" s="186">
        <v>5</v>
      </c>
      <c r="J169" s="186">
        <v>0.2</v>
      </c>
      <c r="K169" s="68">
        <v>0</v>
      </c>
      <c r="L169" s="185">
        <f t="shared" si="45"/>
        <v>0</v>
      </c>
      <c r="M169" s="185">
        <f t="shared" si="34"/>
        <v>25999000</v>
      </c>
      <c r="N169" s="184">
        <f t="shared" si="41"/>
        <v>1000</v>
      </c>
      <c r="O169" s="266" t="s">
        <v>506</v>
      </c>
      <c r="P169" s="267">
        <v>1</v>
      </c>
      <c r="Q169" s="76"/>
      <c r="R169" s="23"/>
      <c r="S169" s="23">
        <f t="shared" si="51"/>
        <v>1300000</v>
      </c>
      <c r="T169" s="23">
        <f t="shared" si="47"/>
        <v>-1299000</v>
      </c>
      <c r="U169" s="23">
        <f t="shared" si="48"/>
        <v>0</v>
      </c>
      <c r="V169" s="10">
        <f t="shared" si="49"/>
        <v>5200000</v>
      </c>
      <c r="W169" s="10">
        <f t="shared" si="42"/>
        <v>0</v>
      </c>
      <c r="X169" s="10">
        <f t="shared" si="50"/>
        <v>0</v>
      </c>
    </row>
    <row r="170" spans="1:24" s="9" customFormat="1" ht="13.5" customHeight="1" x14ac:dyDescent="0.2">
      <c r="A170" s="64">
        <v>166</v>
      </c>
      <c r="B170" s="244" t="s">
        <v>507</v>
      </c>
      <c r="C170" s="163">
        <v>41121</v>
      </c>
      <c r="D170" s="73">
        <v>135000000</v>
      </c>
      <c r="E170" s="245"/>
      <c r="F170" s="184">
        <f t="shared" si="44"/>
        <v>135000000</v>
      </c>
      <c r="G170" s="110">
        <v>134999000</v>
      </c>
      <c r="H170" s="184">
        <f t="shared" si="43"/>
        <v>1000</v>
      </c>
      <c r="I170" s="186">
        <v>5</v>
      </c>
      <c r="J170" s="186">
        <v>0.2</v>
      </c>
      <c r="K170" s="68">
        <v>0</v>
      </c>
      <c r="L170" s="185">
        <f t="shared" si="45"/>
        <v>0</v>
      </c>
      <c r="M170" s="185">
        <f t="shared" si="34"/>
        <v>134999000</v>
      </c>
      <c r="N170" s="184">
        <f t="shared" si="41"/>
        <v>1000</v>
      </c>
      <c r="O170" s="266" t="s">
        <v>508</v>
      </c>
      <c r="P170" s="267">
        <v>1</v>
      </c>
      <c r="Q170" s="268" t="s">
        <v>509</v>
      </c>
      <c r="R170" s="23"/>
      <c r="S170" s="23">
        <f t="shared" si="51"/>
        <v>6750000</v>
      </c>
      <c r="T170" s="23">
        <f t="shared" si="47"/>
        <v>-6749000</v>
      </c>
      <c r="U170" s="23">
        <f t="shared" si="48"/>
        <v>0</v>
      </c>
      <c r="V170" s="10">
        <f t="shared" si="49"/>
        <v>27000000</v>
      </c>
      <c r="W170" s="10">
        <f t="shared" si="42"/>
        <v>0</v>
      </c>
      <c r="X170" s="10">
        <f t="shared" si="50"/>
        <v>0</v>
      </c>
    </row>
    <row r="171" spans="1:24" s="9" customFormat="1" ht="13.5" customHeight="1" x14ac:dyDescent="0.2">
      <c r="A171" s="64">
        <v>167</v>
      </c>
      <c r="B171" s="244" t="s">
        <v>510</v>
      </c>
      <c r="C171" s="148">
        <v>41213</v>
      </c>
      <c r="D171" s="73">
        <v>63750000</v>
      </c>
      <c r="E171" s="245"/>
      <c r="F171" s="184">
        <f t="shared" si="44"/>
        <v>63750000</v>
      </c>
      <c r="G171" s="110">
        <v>63749000</v>
      </c>
      <c r="H171" s="184">
        <f t="shared" si="43"/>
        <v>1000</v>
      </c>
      <c r="I171" s="186">
        <v>5</v>
      </c>
      <c r="J171" s="186">
        <v>0.2</v>
      </c>
      <c r="K171" s="68">
        <v>0</v>
      </c>
      <c r="L171" s="185">
        <f t="shared" si="45"/>
        <v>0</v>
      </c>
      <c r="M171" s="185">
        <f t="shared" si="34"/>
        <v>63749000</v>
      </c>
      <c r="N171" s="184">
        <f t="shared" si="41"/>
        <v>1000</v>
      </c>
      <c r="O171" s="266" t="s">
        <v>511</v>
      </c>
      <c r="P171" s="267">
        <v>1</v>
      </c>
      <c r="Q171" s="268"/>
      <c r="R171" s="23"/>
      <c r="S171" s="23">
        <f t="shared" si="51"/>
        <v>3187500</v>
      </c>
      <c r="T171" s="23">
        <f t="shared" si="47"/>
        <v>-3186500</v>
      </c>
      <c r="U171" s="23">
        <f t="shared" si="48"/>
        <v>0</v>
      </c>
      <c r="V171" s="10">
        <f t="shared" si="49"/>
        <v>12750000</v>
      </c>
      <c r="W171" s="10">
        <f t="shared" si="42"/>
        <v>0</v>
      </c>
      <c r="X171" s="10">
        <f t="shared" si="50"/>
        <v>0</v>
      </c>
    </row>
    <row r="172" spans="1:24" s="9" customFormat="1" ht="13.5" customHeight="1" x14ac:dyDescent="0.2">
      <c r="A172" s="64">
        <v>168</v>
      </c>
      <c r="B172" s="244" t="s">
        <v>512</v>
      </c>
      <c r="C172" s="148">
        <v>41213</v>
      </c>
      <c r="D172" s="73">
        <v>63750000</v>
      </c>
      <c r="E172" s="245"/>
      <c r="F172" s="184">
        <f t="shared" si="44"/>
        <v>63750000</v>
      </c>
      <c r="G172" s="110">
        <v>63749000</v>
      </c>
      <c r="H172" s="184">
        <f t="shared" si="43"/>
        <v>1000</v>
      </c>
      <c r="I172" s="186">
        <v>5</v>
      </c>
      <c r="J172" s="186">
        <v>0.2</v>
      </c>
      <c r="K172" s="68">
        <v>0</v>
      </c>
      <c r="L172" s="185">
        <f t="shared" si="45"/>
        <v>0</v>
      </c>
      <c r="M172" s="185">
        <f t="shared" si="34"/>
        <v>63749000</v>
      </c>
      <c r="N172" s="184">
        <f t="shared" si="41"/>
        <v>1000</v>
      </c>
      <c r="O172" s="266" t="s">
        <v>511</v>
      </c>
      <c r="P172" s="267">
        <v>1</v>
      </c>
      <c r="Q172" s="268"/>
      <c r="R172" s="23"/>
      <c r="S172" s="23">
        <f t="shared" si="51"/>
        <v>3187500</v>
      </c>
      <c r="T172" s="23">
        <f t="shared" si="47"/>
        <v>-3186500</v>
      </c>
      <c r="U172" s="23">
        <f t="shared" si="48"/>
        <v>0</v>
      </c>
      <c r="V172" s="10">
        <f t="shared" si="49"/>
        <v>12750000</v>
      </c>
      <c r="W172" s="10">
        <f t="shared" si="42"/>
        <v>0</v>
      </c>
      <c r="X172" s="10">
        <f t="shared" si="50"/>
        <v>0</v>
      </c>
    </row>
    <row r="173" spans="1:24" s="9" customFormat="1" ht="13.5" customHeight="1" x14ac:dyDescent="0.2">
      <c r="A173" s="64">
        <v>169</v>
      </c>
      <c r="B173" s="244" t="s">
        <v>513</v>
      </c>
      <c r="C173" s="148">
        <v>41213</v>
      </c>
      <c r="D173" s="73">
        <v>63750000</v>
      </c>
      <c r="E173" s="245"/>
      <c r="F173" s="184">
        <f t="shared" si="44"/>
        <v>63750000</v>
      </c>
      <c r="G173" s="110">
        <v>63749000</v>
      </c>
      <c r="H173" s="184">
        <f t="shared" si="43"/>
        <v>1000</v>
      </c>
      <c r="I173" s="186">
        <v>5</v>
      </c>
      <c r="J173" s="186">
        <v>0.2</v>
      </c>
      <c r="K173" s="68">
        <v>0</v>
      </c>
      <c r="L173" s="185">
        <f t="shared" si="45"/>
        <v>0</v>
      </c>
      <c r="M173" s="185">
        <f t="shared" si="34"/>
        <v>63749000</v>
      </c>
      <c r="N173" s="184">
        <f t="shared" si="41"/>
        <v>1000</v>
      </c>
      <c r="O173" s="266" t="s">
        <v>511</v>
      </c>
      <c r="P173" s="267">
        <v>1</v>
      </c>
      <c r="Q173" s="268"/>
      <c r="R173" s="23"/>
      <c r="S173" s="23">
        <f t="shared" si="51"/>
        <v>3187500</v>
      </c>
      <c r="T173" s="23">
        <f t="shared" si="47"/>
        <v>-3186500</v>
      </c>
      <c r="U173" s="23">
        <f t="shared" si="48"/>
        <v>0</v>
      </c>
      <c r="V173" s="10">
        <f t="shared" si="49"/>
        <v>12750000</v>
      </c>
      <c r="W173" s="10">
        <f t="shared" si="42"/>
        <v>0</v>
      </c>
      <c r="X173" s="10">
        <f t="shared" si="50"/>
        <v>0</v>
      </c>
    </row>
    <row r="174" spans="1:24" s="9" customFormat="1" ht="13.5" customHeight="1" x14ac:dyDescent="0.2">
      <c r="A174" s="64">
        <v>170</v>
      </c>
      <c r="B174" s="244" t="s">
        <v>514</v>
      </c>
      <c r="C174" s="148">
        <v>41213</v>
      </c>
      <c r="D174" s="73">
        <v>63750000</v>
      </c>
      <c r="E174" s="245"/>
      <c r="F174" s="184">
        <f t="shared" si="44"/>
        <v>63750000</v>
      </c>
      <c r="G174" s="110">
        <v>63749000</v>
      </c>
      <c r="H174" s="184">
        <f t="shared" si="43"/>
        <v>1000</v>
      </c>
      <c r="I174" s="186">
        <v>5</v>
      </c>
      <c r="J174" s="186">
        <v>0.2</v>
      </c>
      <c r="K174" s="68">
        <v>0</v>
      </c>
      <c r="L174" s="185">
        <f t="shared" si="45"/>
        <v>0</v>
      </c>
      <c r="M174" s="185">
        <f t="shared" si="34"/>
        <v>63749000</v>
      </c>
      <c r="N174" s="184">
        <f t="shared" si="41"/>
        <v>1000</v>
      </c>
      <c r="O174" s="266" t="s">
        <v>511</v>
      </c>
      <c r="P174" s="267">
        <v>1</v>
      </c>
      <c r="Q174" s="268"/>
      <c r="R174" s="23"/>
      <c r="S174" s="23">
        <f t="shared" si="51"/>
        <v>3187500</v>
      </c>
      <c r="T174" s="23">
        <f t="shared" si="47"/>
        <v>-3186500</v>
      </c>
      <c r="U174" s="23">
        <f t="shared" si="48"/>
        <v>0</v>
      </c>
      <c r="V174" s="10">
        <f t="shared" si="49"/>
        <v>12750000</v>
      </c>
      <c r="W174" s="10">
        <f t="shared" si="42"/>
        <v>0</v>
      </c>
      <c r="X174" s="10">
        <f t="shared" si="50"/>
        <v>0</v>
      </c>
    </row>
    <row r="175" spans="1:24" s="9" customFormat="1" ht="13.5" customHeight="1" x14ac:dyDescent="0.2">
      <c r="A175" s="64">
        <v>171</v>
      </c>
      <c r="B175" s="244" t="s">
        <v>515</v>
      </c>
      <c r="C175" s="148">
        <v>41249</v>
      </c>
      <c r="D175" s="73">
        <v>74000000</v>
      </c>
      <c r="E175" s="245"/>
      <c r="F175" s="184">
        <f t="shared" si="44"/>
        <v>74000000</v>
      </c>
      <c r="G175" s="110">
        <v>73999000</v>
      </c>
      <c r="H175" s="184">
        <f t="shared" si="43"/>
        <v>1000</v>
      </c>
      <c r="I175" s="186">
        <v>5</v>
      </c>
      <c r="J175" s="186">
        <v>0.2</v>
      </c>
      <c r="K175" s="68">
        <v>0</v>
      </c>
      <c r="L175" s="185">
        <f t="shared" si="45"/>
        <v>0</v>
      </c>
      <c r="M175" s="185">
        <f t="shared" si="34"/>
        <v>73999000</v>
      </c>
      <c r="N175" s="184">
        <f t="shared" si="41"/>
        <v>1000</v>
      </c>
      <c r="O175" s="266" t="s">
        <v>516</v>
      </c>
      <c r="P175" s="267">
        <v>1</v>
      </c>
      <c r="Q175" s="268"/>
      <c r="R175" s="23"/>
      <c r="S175" s="23">
        <f t="shared" si="51"/>
        <v>3700000</v>
      </c>
      <c r="T175" s="23">
        <f t="shared" si="47"/>
        <v>-3699000</v>
      </c>
      <c r="U175" s="23">
        <f t="shared" si="48"/>
        <v>0</v>
      </c>
      <c r="V175" s="10">
        <f t="shared" si="49"/>
        <v>14800000</v>
      </c>
      <c r="W175" s="10">
        <f t="shared" si="42"/>
        <v>0</v>
      </c>
      <c r="X175" s="10">
        <f t="shared" si="50"/>
        <v>0</v>
      </c>
    </row>
    <row r="176" spans="1:24" s="9" customFormat="1" ht="13.5" customHeight="1" x14ac:dyDescent="0.2">
      <c r="A176" s="64">
        <v>172</v>
      </c>
      <c r="B176" s="244" t="s">
        <v>517</v>
      </c>
      <c r="C176" s="148">
        <v>41249</v>
      </c>
      <c r="D176" s="73">
        <v>36000000</v>
      </c>
      <c r="E176" s="245"/>
      <c r="F176" s="184">
        <f t="shared" si="44"/>
        <v>36000000</v>
      </c>
      <c r="G176" s="110">
        <v>35999000</v>
      </c>
      <c r="H176" s="184">
        <f t="shared" si="43"/>
        <v>1000</v>
      </c>
      <c r="I176" s="186">
        <v>5</v>
      </c>
      <c r="J176" s="186">
        <v>0.2</v>
      </c>
      <c r="K176" s="68">
        <v>0</v>
      </c>
      <c r="L176" s="185">
        <f t="shared" si="45"/>
        <v>0</v>
      </c>
      <c r="M176" s="185">
        <f t="shared" si="34"/>
        <v>35999000</v>
      </c>
      <c r="N176" s="184">
        <f t="shared" si="41"/>
        <v>1000</v>
      </c>
      <c r="O176" s="266" t="s">
        <v>518</v>
      </c>
      <c r="P176" s="267">
        <v>1</v>
      </c>
      <c r="Q176" s="268"/>
      <c r="R176" s="23"/>
      <c r="S176" s="23">
        <f t="shared" si="51"/>
        <v>1800000</v>
      </c>
      <c r="T176" s="23">
        <f t="shared" si="47"/>
        <v>-1799000</v>
      </c>
      <c r="U176" s="23">
        <f t="shared" si="48"/>
        <v>0</v>
      </c>
      <c r="V176" s="10">
        <f t="shared" si="49"/>
        <v>7200000</v>
      </c>
      <c r="W176" s="10">
        <f t="shared" si="42"/>
        <v>0</v>
      </c>
      <c r="X176" s="10">
        <f t="shared" si="50"/>
        <v>0</v>
      </c>
    </row>
    <row r="177" spans="1:24" s="9" customFormat="1" ht="13.5" customHeight="1" x14ac:dyDescent="0.2">
      <c r="A177" s="64">
        <v>173</v>
      </c>
      <c r="B177" s="244" t="s">
        <v>519</v>
      </c>
      <c r="C177" s="148">
        <v>41249</v>
      </c>
      <c r="D177" s="73">
        <v>41000000</v>
      </c>
      <c r="E177" s="245"/>
      <c r="F177" s="184">
        <f t="shared" si="44"/>
        <v>41000000</v>
      </c>
      <c r="G177" s="110">
        <v>40999000</v>
      </c>
      <c r="H177" s="184">
        <f t="shared" si="43"/>
        <v>1000</v>
      </c>
      <c r="I177" s="186">
        <v>5</v>
      </c>
      <c r="J177" s="186">
        <v>0.2</v>
      </c>
      <c r="K177" s="68">
        <v>0</v>
      </c>
      <c r="L177" s="185">
        <f t="shared" si="45"/>
        <v>0</v>
      </c>
      <c r="M177" s="185">
        <f t="shared" si="34"/>
        <v>40999000</v>
      </c>
      <c r="N177" s="184">
        <f t="shared" si="41"/>
        <v>1000</v>
      </c>
      <c r="O177" s="266" t="s">
        <v>516</v>
      </c>
      <c r="P177" s="267">
        <v>1</v>
      </c>
      <c r="Q177" s="268"/>
      <c r="R177" s="23"/>
      <c r="S177" s="23">
        <f t="shared" si="51"/>
        <v>2050000</v>
      </c>
      <c r="T177" s="23">
        <f t="shared" si="47"/>
        <v>-2049000</v>
      </c>
      <c r="U177" s="23">
        <f t="shared" si="48"/>
        <v>0</v>
      </c>
      <c r="V177" s="10">
        <f t="shared" si="49"/>
        <v>8200000</v>
      </c>
      <c r="W177" s="10">
        <f>ROUND(IF(H177&lt;=1000,0,V177/12*K177),0)</f>
        <v>0</v>
      </c>
      <c r="X177" s="10">
        <f t="shared" si="50"/>
        <v>0</v>
      </c>
    </row>
    <row r="178" spans="1:24" s="9" customFormat="1" ht="13.5" customHeight="1" x14ac:dyDescent="0.2">
      <c r="A178" s="64">
        <v>174</v>
      </c>
      <c r="B178" s="244" t="s">
        <v>520</v>
      </c>
      <c r="C178" s="148">
        <v>41333</v>
      </c>
      <c r="D178" s="73">
        <v>20000000</v>
      </c>
      <c r="E178" s="245"/>
      <c r="F178" s="184">
        <f t="shared" si="44"/>
        <v>20000000</v>
      </c>
      <c r="G178" s="110">
        <v>19999000</v>
      </c>
      <c r="H178" s="184">
        <f t="shared" si="43"/>
        <v>1000</v>
      </c>
      <c r="I178" s="186">
        <v>5</v>
      </c>
      <c r="J178" s="186">
        <v>0.2</v>
      </c>
      <c r="K178" s="68">
        <v>0</v>
      </c>
      <c r="L178" s="185">
        <f>ROUND(IF(F178*J178*K178/12&gt;=H178,H178-1000,F178*J178*K178/12),0)</f>
        <v>0</v>
      </c>
      <c r="M178" s="185">
        <f t="shared" si="34"/>
        <v>19999000</v>
      </c>
      <c r="N178" s="184">
        <f t="shared" si="41"/>
        <v>1000</v>
      </c>
      <c r="O178" s="266" t="s">
        <v>521</v>
      </c>
      <c r="P178" s="267">
        <v>1</v>
      </c>
      <c r="Q178" s="268"/>
      <c r="R178" s="23"/>
      <c r="S178" s="23">
        <f t="shared" si="51"/>
        <v>1000000</v>
      </c>
      <c r="T178" s="23">
        <f t="shared" si="47"/>
        <v>-999000</v>
      </c>
      <c r="U178" s="23">
        <f t="shared" si="48"/>
        <v>0</v>
      </c>
      <c r="V178" s="10">
        <f t="shared" si="49"/>
        <v>4000000</v>
      </c>
      <c r="W178" s="10">
        <f>ROUND(IF(H178&lt;=1000,0,V178/12*K178),0)-1000</f>
        <v>-1000</v>
      </c>
      <c r="X178" s="10">
        <f t="shared" si="50"/>
        <v>1000</v>
      </c>
    </row>
    <row r="179" spans="1:24" s="9" customFormat="1" ht="13.5" customHeight="1" x14ac:dyDescent="0.2">
      <c r="A179" s="64">
        <v>175</v>
      </c>
      <c r="B179" s="244" t="s">
        <v>522</v>
      </c>
      <c r="C179" s="148">
        <v>41515</v>
      </c>
      <c r="D179" s="73">
        <v>108000000</v>
      </c>
      <c r="E179" s="245"/>
      <c r="F179" s="184">
        <f t="shared" si="44"/>
        <v>108000000</v>
      </c>
      <c r="G179" s="110">
        <v>107999000</v>
      </c>
      <c r="H179" s="184">
        <f t="shared" si="43"/>
        <v>1000</v>
      </c>
      <c r="I179" s="186">
        <v>5</v>
      </c>
      <c r="J179" s="186">
        <v>0.2</v>
      </c>
      <c r="K179" s="68">
        <v>0</v>
      </c>
      <c r="L179" s="185">
        <f t="shared" ref="L179:L216" si="52">ROUND(IF(F179*J179*K179/12&gt;=H179,H179-1000,F179*J179*K179/12),0)</f>
        <v>0</v>
      </c>
      <c r="M179" s="185">
        <f t="shared" si="34"/>
        <v>107999000</v>
      </c>
      <c r="N179" s="184">
        <f t="shared" si="41"/>
        <v>1000</v>
      </c>
      <c r="O179" s="266" t="s">
        <v>493</v>
      </c>
      <c r="P179" s="267">
        <v>1</v>
      </c>
      <c r="Q179" s="268"/>
      <c r="R179" s="23"/>
      <c r="S179" s="23">
        <f t="shared" si="51"/>
        <v>5400000</v>
      </c>
      <c r="T179" s="23">
        <f t="shared" si="47"/>
        <v>-5399000</v>
      </c>
      <c r="U179" s="23">
        <f t="shared" si="48"/>
        <v>0</v>
      </c>
      <c r="V179" s="10">
        <f t="shared" si="49"/>
        <v>21600000</v>
      </c>
      <c r="W179" s="10">
        <f t="shared" ref="W179:W184" si="53">ROUND(IF(H179&lt;=1000,0,V179/12*K179),0)-1000</f>
        <v>-1000</v>
      </c>
      <c r="X179" s="10">
        <f t="shared" si="50"/>
        <v>1000</v>
      </c>
    </row>
    <row r="180" spans="1:24" s="9" customFormat="1" ht="13.5" customHeight="1" x14ac:dyDescent="0.2">
      <c r="A180" s="64">
        <v>176</v>
      </c>
      <c r="B180" s="269" t="s">
        <v>523</v>
      </c>
      <c r="C180" s="270">
        <v>41551</v>
      </c>
      <c r="D180" s="271">
        <v>120000000</v>
      </c>
      <c r="E180" s="245"/>
      <c r="F180" s="184">
        <f t="shared" si="44"/>
        <v>120000000</v>
      </c>
      <c r="G180" s="110">
        <v>119999000</v>
      </c>
      <c r="H180" s="184">
        <f t="shared" si="43"/>
        <v>1000</v>
      </c>
      <c r="I180" s="186">
        <v>5</v>
      </c>
      <c r="J180" s="186">
        <v>0.2</v>
      </c>
      <c r="K180" s="68">
        <v>0</v>
      </c>
      <c r="L180" s="185">
        <f t="shared" si="52"/>
        <v>0</v>
      </c>
      <c r="M180" s="185">
        <f t="shared" si="34"/>
        <v>119999000</v>
      </c>
      <c r="N180" s="184">
        <f t="shared" si="41"/>
        <v>1000</v>
      </c>
      <c r="O180" s="266" t="s">
        <v>511</v>
      </c>
      <c r="P180" s="267">
        <v>1</v>
      </c>
      <c r="Q180" s="268"/>
      <c r="R180" s="23"/>
      <c r="S180" s="23">
        <f t="shared" si="51"/>
        <v>6000000</v>
      </c>
      <c r="T180" s="23">
        <f t="shared" si="47"/>
        <v>-5999000</v>
      </c>
      <c r="U180" s="23">
        <f t="shared" si="48"/>
        <v>0</v>
      </c>
      <c r="V180" s="10">
        <f t="shared" si="49"/>
        <v>24000000</v>
      </c>
      <c r="W180" s="10">
        <f t="shared" si="53"/>
        <v>-1000</v>
      </c>
      <c r="X180" s="10">
        <f t="shared" si="50"/>
        <v>1000</v>
      </c>
    </row>
    <row r="181" spans="1:24" s="9" customFormat="1" ht="13.5" customHeight="1" x14ac:dyDescent="0.2">
      <c r="A181" s="64">
        <v>177</v>
      </c>
      <c r="B181" s="244" t="s">
        <v>524</v>
      </c>
      <c r="C181" s="148">
        <v>41708</v>
      </c>
      <c r="D181" s="245">
        <v>47804817</v>
      </c>
      <c r="E181" s="245"/>
      <c r="F181" s="184">
        <f t="shared" si="44"/>
        <v>47804817</v>
      </c>
      <c r="G181" s="110">
        <v>47803817</v>
      </c>
      <c r="H181" s="184">
        <f t="shared" si="43"/>
        <v>1000</v>
      </c>
      <c r="I181" s="186">
        <v>5</v>
      </c>
      <c r="J181" s="186">
        <v>0.2</v>
      </c>
      <c r="K181" s="68">
        <v>0</v>
      </c>
      <c r="L181" s="185">
        <f>ROUND(IF(F181*J181*K181/12&gt;=H181,H181-1000,F181*J181*K181/12),0)</f>
        <v>0</v>
      </c>
      <c r="M181" s="185">
        <f t="shared" si="34"/>
        <v>47803817</v>
      </c>
      <c r="N181" s="184">
        <f t="shared" si="41"/>
        <v>1000</v>
      </c>
      <c r="O181" s="266" t="s">
        <v>525</v>
      </c>
      <c r="P181" s="267">
        <v>1</v>
      </c>
      <c r="Q181" s="268"/>
      <c r="R181" s="23"/>
      <c r="S181" s="23">
        <f t="shared" si="51"/>
        <v>2390240.85</v>
      </c>
      <c r="T181" s="23">
        <f t="shared" si="47"/>
        <v>-2389240.85</v>
      </c>
      <c r="U181" s="23">
        <f t="shared" si="48"/>
        <v>0</v>
      </c>
      <c r="V181" s="10">
        <f t="shared" si="49"/>
        <v>9560963.4000000004</v>
      </c>
      <c r="W181" s="10">
        <f>ROUND(IF(H181&lt;=1000,0,V181/12*K181),0)-999</f>
        <v>-999</v>
      </c>
      <c r="X181" s="10">
        <f t="shared" si="50"/>
        <v>999</v>
      </c>
    </row>
    <row r="182" spans="1:24" s="9" customFormat="1" ht="13.5" customHeight="1" x14ac:dyDescent="0.2">
      <c r="A182" s="64">
        <v>178</v>
      </c>
      <c r="B182" s="244" t="s">
        <v>526</v>
      </c>
      <c r="C182" s="148">
        <v>41716</v>
      </c>
      <c r="D182" s="245">
        <v>4650000</v>
      </c>
      <c r="E182" s="245"/>
      <c r="F182" s="184">
        <f t="shared" si="44"/>
        <v>4650000</v>
      </c>
      <c r="G182" s="110">
        <v>4649000</v>
      </c>
      <c r="H182" s="184">
        <f t="shared" si="43"/>
        <v>1000</v>
      </c>
      <c r="I182" s="186">
        <v>5</v>
      </c>
      <c r="J182" s="186">
        <v>0.2</v>
      </c>
      <c r="K182" s="68">
        <v>0</v>
      </c>
      <c r="L182" s="185">
        <f t="shared" si="52"/>
        <v>0</v>
      </c>
      <c r="M182" s="185">
        <f t="shared" si="34"/>
        <v>4649000</v>
      </c>
      <c r="N182" s="184">
        <f t="shared" si="41"/>
        <v>1000</v>
      </c>
      <c r="O182" s="266" t="s">
        <v>488</v>
      </c>
      <c r="P182" s="267">
        <v>1</v>
      </c>
      <c r="Q182" s="268"/>
      <c r="R182" s="23"/>
      <c r="S182" s="23">
        <f t="shared" si="51"/>
        <v>232500</v>
      </c>
      <c r="T182" s="23">
        <f t="shared" si="47"/>
        <v>-231500</v>
      </c>
      <c r="U182" s="23">
        <f t="shared" si="48"/>
        <v>0</v>
      </c>
      <c r="V182" s="10">
        <f t="shared" si="49"/>
        <v>930000</v>
      </c>
      <c r="W182" s="10">
        <f t="shared" si="53"/>
        <v>-1000</v>
      </c>
      <c r="X182" s="10">
        <f t="shared" si="50"/>
        <v>1000</v>
      </c>
    </row>
    <row r="183" spans="1:24" s="9" customFormat="1" ht="13.5" customHeight="1" x14ac:dyDescent="0.2">
      <c r="A183" s="272">
        <v>179</v>
      </c>
      <c r="B183" s="244" t="s">
        <v>527</v>
      </c>
      <c r="C183" s="148">
        <v>41757</v>
      </c>
      <c r="D183" s="245">
        <v>5000000</v>
      </c>
      <c r="E183" s="245"/>
      <c r="F183" s="184">
        <f t="shared" si="44"/>
        <v>5000000</v>
      </c>
      <c r="G183" s="110">
        <v>4999000</v>
      </c>
      <c r="H183" s="184">
        <f t="shared" si="43"/>
        <v>1000</v>
      </c>
      <c r="I183" s="186">
        <v>5</v>
      </c>
      <c r="J183" s="186">
        <v>0.2</v>
      </c>
      <c r="K183" s="68">
        <v>0</v>
      </c>
      <c r="L183" s="185">
        <f t="shared" si="52"/>
        <v>0</v>
      </c>
      <c r="M183" s="185">
        <f t="shared" si="34"/>
        <v>4999000</v>
      </c>
      <c r="N183" s="184">
        <f t="shared" si="41"/>
        <v>1000</v>
      </c>
      <c r="O183" s="266" t="s">
        <v>528</v>
      </c>
      <c r="P183" s="267">
        <v>1</v>
      </c>
      <c r="Q183" s="268" t="s">
        <v>529</v>
      </c>
      <c r="R183" s="23"/>
      <c r="S183" s="23">
        <f t="shared" si="51"/>
        <v>250000</v>
      </c>
      <c r="T183" s="23">
        <f t="shared" si="47"/>
        <v>-249000</v>
      </c>
      <c r="U183" s="23">
        <f t="shared" si="48"/>
        <v>0</v>
      </c>
      <c r="V183" s="10">
        <f t="shared" si="49"/>
        <v>1000000</v>
      </c>
      <c r="W183" s="10">
        <f t="shared" si="53"/>
        <v>-1000</v>
      </c>
      <c r="X183" s="10">
        <f t="shared" si="50"/>
        <v>1000</v>
      </c>
    </row>
    <row r="184" spans="1:24" s="9" customFormat="1" ht="13.5" customHeight="1" x14ac:dyDescent="0.2">
      <c r="A184" s="272">
        <v>180</v>
      </c>
      <c r="B184" s="244" t="s">
        <v>530</v>
      </c>
      <c r="C184" s="148">
        <v>41759</v>
      </c>
      <c r="D184" s="245">
        <v>10000000</v>
      </c>
      <c r="E184" s="245"/>
      <c r="F184" s="184">
        <f t="shared" si="44"/>
        <v>10000000</v>
      </c>
      <c r="G184" s="110">
        <v>9999000</v>
      </c>
      <c r="H184" s="184">
        <f t="shared" si="43"/>
        <v>1000</v>
      </c>
      <c r="I184" s="186">
        <v>5</v>
      </c>
      <c r="J184" s="186">
        <v>0.2</v>
      </c>
      <c r="K184" s="68">
        <v>0</v>
      </c>
      <c r="L184" s="185">
        <f t="shared" si="52"/>
        <v>0</v>
      </c>
      <c r="M184" s="185">
        <f t="shared" ref="M184:M216" si="54">+G184+L184</f>
        <v>9999000</v>
      </c>
      <c r="N184" s="184">
        <f t="shared" si="41"/>
        <v>1000</v>
      </c>
      <c r="O184" s="266" t="s">
        <v>531</v>
      </c>
      <c r="P184" s="267">
        <v>1</v>
      </c>
      <c r="Q184" s="268" t="s">
        <v>532</v>
      </c>
      <c r="R184" s="23"/>
      <c r="S184" s="23">
        <f t="shared" si="51"/>
        <v>500000</v>
      </c>
      <c r="T184" s="23">
        <f t="shared" si="47"/>
        <v>-499000</v>
      </c>
      <c r="U184" s="23">
        <f t="shared" si="48"/>
        <v>0</v>
      </c>
      <c r="V184" s="10">
        <f t="shared" si="49"/>
        <v>2000000</v>
      </c>
      <c r="W184" s="10">
        <f t="shared" si="53"/>
        <v>-1000</v>
      </c>
      <c r="X184" s="10">
        <f t="shared" si="50"/>
        <v>1000</v>
      </c>
    </row>
    <row r="185" spans="1:24" s="9" customFormat="1" ht="13.5" customHeight="1" x14ac:dyDescent="0.2">
      <c r="A185" s="272">
        <v>181</v>
      </c>
      <c r="B185" s="244" t="s">
        <v>533</v>
      </c>
      <c r="C185" s="148">
        <v>41760</v>
      </c>
      <c r="D185" s="245">
        <v>20000000</v>
      </c>
      <c r="E185" s="245"/>
      <c r="F185" s="184">
        <f t="shared" si="44"/>
        <v>20000000</v>
      </c>
      <c r="G185" s="110">
        <v>19999000</v>
      </c>
      <c r="H185" s="184">
        <f t="shared" si="43"/>
        <v>1000</v>
      </c>
      <c r="I185" s="186">
        <v>5</v>
      </c>
      <c r="J185" s="186">
        <v>0.2</v>
      </c>
      <c r="K185" s="68">
        <v>0</v>
      </c>
      <c r="L185" s="185">
        <f t="shared" si="52"/>
        <v>0</v>
      </c>
      <c r="M185" s="185">
        <f t="shared" si="54"/>
        <v>19999000</v>
      </c>
      <c r="N185" s="184">
        <f t="shared" si="41"/>
        <v>1000</v>
      </c>
      <c r="O185" s="266" t="s">
        <v>276</v>
      </c>
      <c r="P185" s="267">
        <v>1</v>
      </c>
      <c r="Q185" s="268"/>
      <c r="R185" s="23"/>
      <c r="S185" s="23">
        <f t="shared" si="51"/>
        <v>1000000</v>
      </c>
      <c r="T185" s="23">
        <f t="shared" si="47"/>
        <v>-999000</v>
      </c>
      <c r="U185" s="23">
        <f t="shared" si="48"/>
        <v>0</v>
      </c>
      <c r="V185" s="10">
        <f t="shared" si="49"/>
        <v>4000000</v>
      </c>
      <c r="W185" s="10">
        <f t="shared" ref="W185:W239" si="55">ROUND(IF(H185&lt;=1000,0,V185/12*K185),0)</f>
        <v>0</v>
      </c>
      <c r="X185" s="10">
        <f t="shared" si="50"/>
        <v>0</v>
      </c>
    </row>
    <row r="186" spans="1:24" s="9" customFormat="1" ht="13.5" customHeight="1" x14ac:dyDescent="0.2">
      <c r="A186" s="272">
        <v>182</v>
      </c>
      <c r="B186" s="244" t="s">
        <v>534</v>
      </c>
      <c r="C186" s="148">
        <v>41801</v>
      </c>
      <c r="D186" s="245">
        <v>110000000</v>
      </c>
      <c r="E186" s="245"/>
      <c r="F186" s="184">
        <f t="shared" si="44"/>
        <v>110000000</v>
      </c>
      <c r="G186" s="110">
        <v>109999000</v>
      </c>
      <c r="H186" s="184">
        <f t="shared" si="43"/>
        <v>1000</v>
      </c>
      <c r="I186" s="186">
        <v>5</v>
      </c>
      <c r="J186" s="186">
        <v>0.2</v>
      </c>
      <c r="K186" s="68">
        <v>0</v>
      </c>
      <c r="L186" s="185">
        <f>ROUND(IF(F186*J186*K186/12&gt;=H186,H186-1000,F186*J186*K186/12),0)</f>
        <v>0</v>
      </c>
      <c r="M186" s="185">
        <f t="shared" si="54"/>
        <v>109999000</v>
      </c>
      <c r="N186" s="184">
        <f t="shared" si="41"/>
        <v>1000</v>
      </c>
      <c r="O186" s="266" t="s">
        <v>535</v>
      </c>
      <c r="P186" s="267">
        <v>1</v>
      </c>
      <c r="Q186" s="268"/>
      <c r="R186" s="23"/>
      <c r="S186" s="23">
        <f t="shared" si="51"/>
        <v>5500000</v>
      </c>
      <c r="T186" s="23">
        <f t="shared" si="47"/>
        <v>-5499000</v>
      </c>
      <c r="U186" s="23">
        <f t="shared" si="48"/>
        <v>0</v>
      </c>
      <c r="V186" s="10">
        <f t="shared" si="49"/>
        <v>22000000</v>
      </c>
      <c r="W186" s="10">
        <f t="shared" si="55"/>
        <v>0</v>
      </c>
      <c r="X186" s="10">
        <f t="shared" si="50"/>
        <v>0</v>
      </c>
    </row>
    <row r="187" spans="1:24" s="9" customFormat="1" ht="13.5" customHeight="1" x14ac:dyDescent="0.2">
      <c r="A187" s="272">
        <v>183</v>
      </c>
      <c r="B187" s="244" t="s">
        <v>536</v>
      </c>
      <c r="C187" s="148">
        <v>41873</v>
      </c>
      <c r="D187" s="245">
        <v>30000000</v>
      </c>
      <c r="E187" s="245"/>
      <c r="F187" s="184">
        <f t="shared" si="44"/>
        <v>30000000</v>
      </c>
      <c r="G187" s="110">
        <v>29999000</v>
      </c>
      <c r="H187" s="184">
        <f t="shared" si="43"/>
        <v>1000</v>
      </c>
      <c r="I187" s="186">
        <v>5</v>
      </c>
      <c r="J187" s="186">
        <v>0.2</v>
      </c>
      <c r="K187" s="68">
        <v>0</v>
      </c>
      <c r="L187" s="185">
        <f t="shared" si="52"/>
        <v>0</v>
      </c>
      <c r="M187" s="185">
        <f t="shared" si="54"/>
        <v>29999000</v>
      </c>
      <c r="N187" s="184">
        <f t="shared" si="41"/>
        <v>1000</v>
      </c>
      <c r="O187" s="266" t="s">
        <v>483</v>
      </c>
      <c r="P187" s="267">
        <v>1</v>
      </c>
      <c r="Q187" s="268"/>
      <c r="R187" s="23"/>
      <c r="S187" s="23">
        <f t="shared" si="51"/>
        <v>1500000</v>
      </c>
      <c r="T187" s="23">
        <f t="shared" si="47"/>
        <v>-1499000</v>
      </c>
      <c r="U187" s="23">
        <f t="shared" si="48"/>
        <v>0</v>
      </c>
      <c r="V187" s="10">
        <f t="shared" si="49"/>
        <v>6000000</v>
      </c>
      <c r="W187" s="10">
        <f t="shared" si="55"/>
        <v>0</v>
      </c>
      <c r="X187" s="10">
        <f t="shared" si="50"/>
        <v>0</v>
      </c>
    </row>
    <row r="188" spans="1:24" s="9" customFormat="1" ht="13.5" customHeight="1" x14ac:dyDescent="0.2">
      <c r="A188" s="272">
        <v>184</v>
      </c>
      <c r="B188" s="244" t="s">
        <v>537</v>
      </c>
      <c r="C188" s="148">
        <v>41873</v>
      </c>
      <c r="D188" s="245">
        <v>78000000</v>
      </c>
      <c r="E188" s="245"/>
      <c r="F188" s="184">
        <f t="shared" si="44"/>
        <v>78000000</v>
      </c>
      <c r="G188" s="110">
        <v>77999000</v>
      </c>
      <c r="H188" s="184">
        <f t="shared" si="43"/>
        <v>1000</v>
      </c>
      <c r="I188" s="186">
        <v>5</v>
      </c>
      <c r="J188" s="186">
        <v>0.2</v>
      </c>
      <c r="K188" s="68">
        <v>0</v>
      </c>
      <c r="L188" s="185">
        <f t="shared" si="52"/>
        <v>0</v>
      </c>
      <c r="M188" s="185">
        <f t="shared" si="54"/>
        <v>77999000</v>
      </c>
      <c r="N188" s="184">
        <f t="shared" ref="N188:N216" si="56">+F188-M188</f>
        <v>1000</v>
      </c>
      <c r="O188" s="266" t="s">
        <v>483</v>
      </c>
      <c r="P188" s="267">
        <v>1</v>
      </c>
      <c r="Q188" s="268"/>
      <c r="R188" s="23"/>
      <c r="S188" s="23">
        <f t="shared" si="51"/>
        <v>3900000</v>
      </c>
      <c r="T188" s="23">
        <f t="shared" si="47"/>
        <v>-3899000</v>
      </c>
      <c r="U188" s="23">
        <f t="shared" si="48"/>
        <v>0</v>
      </c>
      <c r="V188" s="10">
        <f t="shared" si="49"/>
        <v>15600000</v>
      </c>
      <c r="W188" s="10">
        <f t="shared" si="55"/>
        <v>0</v>
      </c>
      <c r="X188" s="10">
        <f t="shared" si="50"/>
        <v>0</v>
      </c>
    </row>
    <row r="189" spans="1:24" s="9" customFormat="1" ht="13.5" customHeight="1" x14ac:dyDescent="0.2">
      <c r="A189" s="272">
        <v>185</v>
      </c>
      <c r="B189" s="244" t="s">
        <v>538</v>
      </c>
      <c r="C189" s="148">
        <v>41907</v>
      </c>
      <c r="D189" s="245">
        <v>39000000</v>
      </c>
      <c r="E189" s="245"/>
      <c r="F189" s="184">
        <f t="shared" si="44"/>
        <v>39000000</v>
      </c>
      <c r="G189" s="110">
        <v>38999000</v>
      </c>
      <c r="H189" s="184">
        <f t="shared" si="43"/>
        <v>1000</v>
      </c>
      <c r="I189" s="186">
        <v>5</v>
      </c>
      <c r="J189" s="186">
        <v>0.2</v>
      </c>
      <c r="K189" s="68">
        <v>0</v>
      </c>
      <c r="L189" s="185">
        <f t="shared" si="52"/>
        <v>0</v>
      </c>
      <c r="M189" s="185">
        <f t="shared" si="54"/>
        <v>38999000</v>
      </c>
      <c r="N189" s="184">
        <f t="shared" si="56"/>
        <v>1000</v>
      </c>
      <c r="O189" s="266" t="s">
        <v>539</v>
      </c>
      <c r="P189" s="267">
        <v>1</v>
      </c>
      <c r="Q189" s="268"/>
      <c r="R189" s="23"/>
      <c r="S189" s="23">
        <f t="shared" si="51"/>
        <v>1950000</v>
      </c>
      <c r="T189" s="23">
        <f t="shared" si="47"/>
        <v>-1949000</v>
      </c>
      <c r="U189" s="23">
        <f t="shared" si="48"/>
        <v>0</v>
      </c>
      <c r="V189" s="10">
        <f t="shared" si="49"/>
        <v>7800000</v>
      </c>
      <c r="W189" s="10">
        <f t="shared" si="55"/>
        <v>0</v>
      </c>
      <c r="X189" s="10">
        <f t="shared" si="50"/>
        <v>0</v>
      </c>
    </row>
    <row r="190" spans="1:24" s="9" customFormat="1" ht="13.5" customHeight="1" x14ac:dyDescent="0.2">
      <c r="A190" s="272">
        <v>186</v>
      </c>
      <c r="B190" s="244" t="s">
        <v>540</v>
      </c>
      <c r="C190" s="148">
        <v>41907</v>
      </c>
      <c r="D190" s="245">
        <v>8250000</v>
      </c>
      <c r="E190" s="245"/>
      <c r="F190" s="184">
        <f t="shared" si="44"/>
        <v>8250000</v>
      </c>
      <c r="G190" s="110">
        <v>8249000</v>
      </c>
      <c r="H190" s="184">
        <f t="shared" si="43"/>
        <v>1000</v>
      </c>
      <c r="I190" s="186">
        <v>5</v>
      </c>
      <c r="J190" s="186">
        <v>0.2</v>
      </c>
      <c r="K190" s="68">
        <v>0</v>
      </c>
      <c r="L190" s="185">
        <f t="shared" si="52"/>
        <v>0</v>
      </c>
      <c r="M190" s="185">
        <f t="shared" si="54"/>
        <v>8249000</v>
      </c>
      <c r="N190" s="184">
        <f t="shared" si="56"/>
        <v>1000</v>
      </c>
      <c r="O190" s="266" t="s">
        <v>541</v>
      </c>
      <c r="P190" s="267">
        <v>1</v>
      </c>
      <c r="Q190" s="268"/>
      <c r="R190" s="23"/>
      <c r="S190" s="23">
        <f t="shared" si="51"/>
        <v>412500</v>
      </c>
      <c r="T190" s="23">
        <f t="shared" si="47"/>
        <v>-411500</v>
      </c>
      <c r="U190" s="23">
        <f t="shared" si="48"/>
        <v>0</v>
      </c>
      <c r="V190" s="10">
        <f t="shared" si="49"/>
        <v>1650000</v>
      </c>
      <c r="W190" s="10">
        <f t="shared" si="55"/>
        <v>0</v>
      </c>
      <c r="X190" s="10">
        <f t="shared" si="50"/>
        <v>0</v>
      </c>
    </row>
    <row r="191" spans="1:24" s="9" customFormat="1" ht="13.5" customHeight="1" x14ac:dyDescent="0.2">
      <c r="A191" s="272">
        <v>187</v>
      </c>
      <c r="B191" s="244" t="s">
        <v>542</v>
      </c>
      <c r="C191" s="148">
        <v>42031</v>
      </c>
      <c r="D191" s="245">
        <v>82000000</v>
      </c>
      <c r="E191" s="245"/>
      <c r="F191" s="184">
        <f t="shared" si="44"/>
        <v>82000000</v>
      </c>
      <c r="G191" s="110">
        <v>81999000</v>
      </c>
      <c r="H191" s="184">
        <f t="shared" si="43"/>
        <v>1000</v>
      </c>
      <c r="I191" s="186">
        <v>5</v>
      </c>
      <c r="J191" s="186">
        <v>0.2</v>
      </c>
      <c r="K191" s="68">
        <v>0</v>
      </c>
      <c r="L191" s="185">
        <f t="shared" si="52"/>
        <v>0</v>
      </c>
      <c r="M191" s="185">
        <f t="shared" si="54"/>
        <v>81999000</v>
      </c>
      <c r="N191" s="184">
        <f t="shared" si="56"/>
        <v>1000</v>
      </c>
      <c r="O191" s="266" t="s">
        <v>543</v>
      </c>
      <c r="P191" s="267">
        <v>1</v>
      </c>
      <c r="Q191" s="268"/>
      <c r="R191" s="23"/>
      <c r="S191" s="23">
        <f t="shared" si="51"/>
        <v>4100000</v>
      </c>
      <c r="T191" s="23">
        <f t="shared" si="47"/>
        <v>-4099000</v>
      </c>
      <c r="U191" s="23">
        <f t="shared" si="48"/>
        <v>0</v>
      </c>
      <c r="V191" s="10">
        <f t="shared" si="49"/>
        <v>16400000</v>
      </c>
      <c r="W191" s="10">
        <f t="shared" si="55"/>
        <v>0</v>
      </c>
      <c r="X191" s="10">
        <f t="shared" si="50"/>
        <v>0</v>
      </c>
    </row>
    <row r="192" spans="1:24" s="9" customFormat="1" ht="13.5" customHeight="1" x14ac:dyDescent="0.2">
      <c r="A192" s="272">
        <v>188</v>
      </c>
      <c r="B192" s="244" t="s">
        <v>544</v>
      </c>
      <c r="C192" s="148">
        <v>42139</v>
      </c>
      <c r="D192" s="245">
        <v>20000000</v>
      </c>
      <c r="E192" s="245"/>
      <c r="F192" s="184">
        <f t="shared" si="44"/>
        <v>20000000</v>
      </c>
      <c r="G192" s="110">
        <v>19999000</v>
      </c>
      <c r="H192" s="184">
        <f t="shared" si="43"/>
        <v>1000</v>
      </c>
      <c r="I192" s="186">
        <v>5</v>
      </c>
      <c r="J192" s="186">
        <v>0.2</v>
      </c>
      <c r="K192" s="68">
        <v>0</v>
      </c>
      <c r="L192" s="185">
        <f t="shared" si="52"/>
        <v>0</v>
      </c>
      <c r="M192" s="185">
        <f t="shared" si="54"/>
        <v>19999000</v>
      </c>
      <c r="N192" s="184">
        <f t="shared" si="56"/>
        <v>1000</v>
      </c>
      <c r="O192" s="266" t="s">
        <v>545</v>
      </c>
      <c r="P192" s="267">
        <v>1</v>
      </c>
      <c r="Q192" s="268"/>
      <c r="R192" s="23"/>
      <c r="S192" s="23">
        <f t="shared" si="51"/>
        <v>1000000</v>
      </c>
      <c r="T192" s="23">
        <f t="shared" si="47"/>
        <v>-999000</v>
      </c>
      <c r="U192" s="23">
        <f t="shared" si="48"/>
        <v>0</v>
      </c>
      <c r="V192" s="10">
        <f t="shared" si="49"/>
        <v>4000000</v>
      </c>
      <c r="W192" s="10">
        <f t="shared" si="55"/>
        <v>0</v>
      </c>
      <c r="X192" s="10">
        <f t="shared" si="50"/>
        <v>0</v>
      </c>
    </row>
    <row r="193" spans="1:24" s="9" customFormat="1" ht="13.5" customHeight="1" x14ac:dyDescent="0.2">
      <c r="A193" s="273">
        <v>189</v>
      </c>
      <c r="B193" s="244" t="s">
        <v>546</v>
      </c>
      <c r="C193" s="148">
        <v>42228</v>
      </c>
      <c r="D193" s="245">
        <v>100000000</v>
      </c>
      <c r="E193" s="245"/>
      <c r="F193" s="184">
        <f t="shared" si="44"/>
        <v>100000000</v>
      </c>
      <c r="G193" s="110">
        <v>99999000</v>
      </c>
      <c r="H193" s="184">
        <f t="shared" si="43"/>
        <v>1000</v>
      </c>
      <c r="I193" s="186">
        <v>5</v>
      </c>
      <c r="J193" s="186">
        <v>0.2</v>
      </c>
      <c r="K193" s="68">
        <v>0</v>
      </c>
      <c r="L193" s="185">
        <f>ROUND(IF(F193*J193*K193/12&gt;=H193,H193-1000,F193*J193*K193/12),0)</f>
        <v>0</v>
      </c>
      <c r="M193" s="185">
        <f t="shared" si="54"/>
        <v>99999000</v>
      </c>
      <c r="N193" s="184">
        <f t="shared" si="56"/>
        <v>1000</v>
      </c>
      <c r="O193" s="266" t="s">
        <v>547</v>
      </c>
      <c r="P193" s="267">
        <v>1</v>
      </c>
      <c r="Q193" s="268"/>
      <c r="R193" s="23"/>
      <c r="S193" s="23">
        <f t="shared" si="51"/>
        <v>5000000</v>
      </c>
      <c r="T193" s="23">
        <f t="shared" si="47"/>
        <v>-4999000</v>
      </c>
      <c r="U193" s="23">
        <f t="shared" si="48"/>
        <v>0</v>
      </c>
      <c r="V193" s="10">
        <f t="shared" si="49"/>
        <v>20000000</v>
      </c>
      <c r="W193" s="10">
        <f t="shared" si="55"/>
        <v>0</v>
      </c>
      <c r="X193" s="10">
        <f t="shared" si="50"/>
        <v>0</v>
      </c>
    </row>
    <row r="194" spans="1:24" s="9" customFormat="1" ht="13.5" customHeight="1" x14ac:dyDescent="0.2">
      <c r="A194" s="272">
        <v>190</v>
      </c>
      <c r="B194" s="244" t="s">
        <v>548</v>
      </c>
      <c r="C194" s="148">
        <v>42240</v>
      </c>
      <c r="D194" s="245">
        <v>25000000</v>
      </c>
      <c r="E194" s="245"/>
      <c r="F194" s="184">
        <f t="shared" si="44"/>
        <v>25000000</v>
      </c>
      <c r="G194" s="110">
        <v>24999000</v>
      </c>
      <c r="H194" s="184">
        <f t="shared" si="43"/>
        <v>1000</v>
      </c>
      <c r="I194" s="186">
        <v>5</v>
      </c>
      <c r="J194" s="186">
        <v>0.2</v>
      </c>
      <c r="K194" s="68">
        <v>0</v>
      </c>
      <c r="L194" s="185">
        <f>ROUND(IF(F194*J194*K194/12&gt;=H194,H194-1000,F194*J194*K194/12),0)</f>
        <v>0</v>
      </c>
      <c r="M194" s="185">
        <f t="shared" si="54"/>
        <v>24999000</v>
      </c>
      <c r="N194" s="184">
        <f t="shared" si="56"/>
        <v>1000</v>
      </c>
      <c r="O194" s="266" t="s">
        <v>549</v>
      </c>
      <c r="P194" s="267">
        <v>1</v>
      </c>
      <c r="Q194" s="268"/>
      <c r="R194" s="23"/>
      <c r="S194" s="23">
        <f t="shared" si="51"/>
        <v>1250000</v>
      </c>
      <c r="T194" s="23">
        <f t="shared" si="47"/>
        <v>-1249000</v>
      </c>
      <c r="U194" s="23">
        <f t="shared" si="48"/>
        <v>0</v>
      </c>
      <c r="V194" s="10">
        <f t="shared" si="49"/>
        <v>5000000</v>
      </c>
      <c r="W194" s="10">
        <f t="shared" si="55"/>
        <v>0</v>
      </c>
      <c r="X194" s="10">
        <f t="shared" si="50"/>
        <v>0</v>
      </c>
    </row>
    <row r="195" spans="1:24" s="9" customFormat="1" ht="13.5" customHeight="1" x14ac:dyDescent="0.2">
      <c r="A195" s="273">
        <v>191</v>
      </c>
      <c r="B195" s="244" t="s">
        <v>550</v>
      </c>
      <c r="C195" s="148">
        <v>42240</v>
      </c>
      <c r="D195" s="245">
        <v>4500000</v>
      </c>
      <c r="E195" s="245"/>
      <c r="F195" s="184">
        <f t="shared" si="44"/>
        <v>4500000</v>
      </c>
      <c r="G195" s="110">
        <v>4499000</v>
      </c>
      <c r="H195" s="184">
        <f t="shared" si="43"/>
        <v>1000</v>
      </c>
      <c r="I195" s="186">
        <v>5</v>
      </c>
      <c r="J195" s="186">
        <v>0.2</v>
      </c>
      <c r="K195" s="68">
        <v>0</v>
      </c>
      <c r="L195" s="185">
        <f t="shared" si="52"/>
        <v>0</v>
      </c>
      <c r="M195" s="185">
        <f t="shared" si="54"/>
        <v>4499000</v>
      </c>
      <c r="N195" s="184">
        <f t="shared" si="56"/>
        <v>1000</v>
      </c>
      <c r="O195" s="266" t="s">
        <v>511</v>
      </c>
      <c r="P195" s="267">
        <v>1</v>
      </c>
      <c r="Q195" s="268"/>
      <c r="R195" s="23"/>
      <c r="S195" s="23">
        <f t="shared" si="51"/>
        <v>225000</v>
      </c>
      <c r="T195" s="23">
        <f t="shared" si="47"/>
        <v>-224000</v>
      </c>
      <c r="U195" s="23">
        <f t="shared" si="48"/>
        <v>0</v>
      </c>
      <c r="V195" s="10">
        <f t="shared" si="49"/>
        <v>900000</v>
      </c>
      <c r="W195" s="10">
        <f t="shared" si="55"/>
        <v>0</v>
      </c>
      <c r="X195" s="10">
        <f t="shared" si="50"/>
        <v>0</v>
      </c>
    </row>
    <row r="196" spans="1:24" s="9" customFormat="1" ht="13.5" customHeight="1" x14ac:dyDescent="0.2">
      <c r="A196" s="272">
        <v>192</v>
      </c>
      <c r="B196" s="244" t="s">
        <v>551</v>
      </c>
      <c r="C196" s="148">
        <v>42299</v>
      </c>
      <c r="D196" s="245">
        <v>30000000</v>
      </c>
      <c r="E196" s="245"/>
      <c r="F196" s="184">
        <f t="shared" si="44"/>
        <v>30000000</v>
      </c>
      <c r="G196" s="110">
        <v>29999000</v>
      </c>
      <c r="H196" s="184">
        <f t="shared" si="43"/>
        <v>1000</v>
      </c>
      <c r="I196" s="186">
        <v>5</v>
      </c>
      <c r="J196" s="186">
        <v>0.2</v>
      </c>
      <c r="K196" s="68">
        <v>0</v>
      </c>
      <c r="L196" s="185">
        <f t="shared" si="52"/>
        <v>0</v>
      </c>
      <c r="M196" s="185">
        <f t="shared" si="54"/>
        <v>29999000</v>
      </c>
      <c r="N196" s="184">
        <f t="shared" si="56"/>
        <v>1000</v>
      </c>
      <c r="O196" s="266" t="s">
        <v>552</v>
      </c>
      <c r="P196" s="267">
        <v>1</v>
      </c>
      <c r="Q196" s="268"/>
      <c r="R196" s="23"/>
      <c r="S196" s="23">
        <f t="shared" si="51"/>
        <v>1500000</v>
      </c>
      <c r="T196" s="23">
        <f t="shared" si="47"/>
        <v>-1499000</v>
      </c>
      <c r="U196" s="23">
        <f t="shared" si="48"/>
        <v>0</v>
      </c>
      <c r="V196" s="10">
        <f t="shared" si="49"/>
        <v>6000000</v>
      </c>
      <c r="W196" s="10">
        <f t="shared" si="55"/>
        <v>0</v>
      </c>
      <c r="X196" s="10">
        <f t="shared" si="50"/>
        <v>0</v>
      </c>
    </row>
    <row r="197" spans="1:24" s="9" customFormat="1" ht="13.5" customHeight="1" x14ac:dyDescent="0.2">
      <c r="A197" s="273">
        <v>193</v>
      </c>
      <c r="B197" s="244" t="s">
        <v>553</v>
      </c>
      <c r="C197" s="148">
        <v>42299</v>
      </c>
      <c r="D197" s="245">
        <v>31000000</v>
      </c>
      <c r="E197" s="245"/>
      <c r="F197" s="184">
        <f t="shared" si="44"/>
        <v>31000000</v>
      </c>
      <c r="G197" s="110">
        <v>30999000</v>
      </c>
      <c r="H197" s="184">
        <f t="shared" ref="H197:H218" si="57">+F197-G197</f>
        <v>1000</v>
      </c>
      <c r="I197" s="186">
        <v>5</v>
      </c>
      <c r="J197" s="186">
        <v>0.2</v>
      </c>
      <c r="K197" s="68">
        <v>0</v>
      </c>
      <c r="L197" s="185">
        <f t="shared" si="52"/>
        <v>0</v>
      </c>
      <c r="M197" s="185">
        <f t="shared" si="54"/>
        <v>30999000</v>
      </c>
      <c r="N197" s="184">
        <f t="shared" si="56"/>
        <v>1000</v>
      </c>
      <c r="O197" s="266" t="s">
        <v>554</v>
      </c>
      <c r="P197" s="267">
        <v>1</v>
      </c>
      <c r="Q197" s="268"/>
      <c r="R197" s="23"/>
      <c r="S197" s="23">
        <f t="shared" si="51"/>
        <v>1550000</v>
      </c>
      <c r="T197" s="23">
        <f t="shared" si="47"/>
        <v>-1549000</v>
      </c>
      <c r="U197" s="23">
        <f t="shared" si="48"/>
        <v>0</v>
      </c>
      <c r="V197" s="10">
        <f t="shared" si="49"/>
        <v>6200000</v>
      </c>
      <c r="W197" s="10">
        <f t="shared" si="55"/>
        <v>0</v>
      </c>
      <c r="X197" s="10">
        <f t="shared" si="50"/>
        <v>0</v>
      </c>
    </row>
    <row r="198" spans="1:24" s="9" customFormat="1" ht="13.5" customHeight="1" x14ac:dyDescent="0.2">
      <c r="A198" s="272">
        <v>194</v>
      </c>
      <c r="B198" s="244" t="s">
        <v>555</v>
      </c>
      <c r="C198" s="148">
        <v>42299</v>
      </c>
      <c r="D198" s="245">
        <v>20000000</v>
      </c>
      <c r="E198" s="245"/>
      <c r="F198" s="184">
        <f t="shared" si="44"/>
        <v>20000000</v>
      </c>
      <c r="G198" s="110">
        <v>19999000</v>
      </c>
      <c r="H198" s="184">
        <f t="shared" si="57"/>
        <v>1000</v>
      </c>
      <c r="I198" s="186">
        <v>5</v>
      </c>
      <c r="J198" s="186">
        <v>0.2</v>
      </c>
      <c r="K198" s="68">
        <v>0</v>
      </c>
      <c r="L198" s="185">
        <f t="shared" si="52"/>
        <v>0</v>
      </c>
      <c r="M198" s="185">
        <f t="shared" si="54"/>
        <v>19999000</v>
      </c>
      <c r="N198" s="184">
        <f t="shared" si="56"/>
        <v>1000</v>
      </c>
      <c r="O198" s="266" t="s">
        <v>556</v>
      </c>
      <c r="P198" s="267">
        <v>1</v>
      </c>
      <c r="Q198" s="268"/>
      <c r="R198" s="23"/>
      <c r="S198" s="23">
        <f t="shared" si="51"/>
        <v>1000000</v>
      </c>
      <c r="T198" s="23">
        <f t="shared" si="47"/>
        <v>-999000</v>
      </c>
      <c r="U198" s="23">
        <f t="shared" si="48"/>
        <v>0</v>
      </c>
      <c r="V198" s="10">
        <f t="shared" si="49"/>
        <v>4000000</v>
      </c>
      <c r="W198" s="10">
        <f t="shared" si="55"/>
        <v>0</v>
      </c>
      <c r="X198" s="10">
        <f t="shared" si="50"/>
        <v>0</v>
      </c>
    </row>
    <row r="199" spans="1:24" s="9" customFormat="1" ht="13.5" customHeight="1" x14ac:dyDescent="0.2">
      <c r="A199" s="273">
        <v>195</v>
      </c>
      <c r="B199" s="244" t="s">
        <v>557</v>
      </c>
      <c r="C199" s="148">
        <v>42299</v>
      </c>
      <c r="D199" s="245">
        <v>4000000</v>
      </c>
      <c r="E199" s="245"/>
      <c r="F199" s="184">
        <f t="shared" si="44"/>
        <v>4000000</v>
      </c>
      <c r="G199" s="110">
        <v>3999000</v>
      </c>
      <c r="H199" s="184">
        <f t="shared" si="57"/>
        <v>1000</v>
      </c>
      <c r="I199" s="186">
        <v>5</v>
      </c>
      <c r="J199" s="186">
        <v>0.2</v>
      </c>
      <c r="K199" s="68">
        <v>0</v>
      </c>
      <c r="L199" s="185">
        <f t="shared" si="52"/>
        <v>0</v>
      </c>
      <c r="M199" s="185">
        <f t="shared" si="54"/>
        <v>3999000</v>
      </c>
      <c r="N199" s="184">
        <f t="shared" si="56"/>
        <v>1000</v>
      </c>
      <c r="O199" s="266" t="s">
        <v>556</v>
      </c>
      <c r="P199" s="267">
        <v>1</v>
      </c>
      <c r="Q199" s="268"/>
      <c r="R199" s="23"/>
      <c r="S199" s="23">
        <f t="shared" si="51"/>
        <v>200000</v>
      </c>
      <c r="T199" s="23">
        <f t="shared" si="47"/>
        <v>-199000</v>
      </c>
      <c r="U199" s="23">
        <f t="shared" si="48"/>
        <v>0</v>
      </c>
      <c r="V199" s="10">
        <f t="shared" si="49"/>
        <v>800000</v>
      </c>
      <c r="W199" s="10">
        <f t="shared" si="55"/>
        <v>0</v>
      </c>
      <c r="X199" s="10">
        <f t="shared" si="50"/>
        <v>0</v>
      </c>
    </row>
    <row r="200" spans="1:24" s="9" customFormat="1" ht="13.5" customHeight="1" x14ac:dyDescent="0.2">
      <c r="A200" s="272">
        <v>196</v>
      </c>
      <c r="B200" s="244" t="s">
        <v>558</v>
      </c>
      <c r="C200" s="148">
        <v>42390</v>
      </c>
      <c r="D200" s="245">
        <v>101000000</v>
      </c>
      <c r="E200" s="245"/>
      <c r="F200" s="184">
        <f t="shared" si="44"/>
        <v>101000000</v>
      </c>
      <c r="G200" s="110">
        <v>100999000</v>
      </c>
      <c r="H200" s="184">
        <f t="shared" si="57"/>
        <v>1000</v>
      </c>
      <c r="I200" s="186">
        <v>5</v>
      </c>
      <c r="J200" s="186">
        <v>0.2</v>
      </c>
      <c r="K200" s="68">
        <v>0</v>
      </c>
      <c r="L200" s="185">
        <f t="shared" si="52"/>
        <v>0</v>
      </c>
      <c r="M200" s="185">
        <f t="shared" si="54"/>
        <v>100999000</v>
      </c>
      <c r="N200" s="184">
        <f t="shared" si="56"/>
        <v>1000</v>
      </c>
      <c r="O200" s="266" t="s">
        <v>511</v>
      </c>
      <c r="P200" s="267">
        <v>1</v>
      </c>
      <c r="Q200" s="268"/>
      <c r="R200" s="23"/>
      <c r="S200" s="23">
        <f t="shared" si="51"/>
        <v>5050000</v>
      </c>
      <c r="T200" s="23">
        <f t="shared" si="47"/>
        <v>-5049000</v>
      </c>
      <c r="U200" s="23">
        <f t="shared" si="48"/>
        <v>0</v>
      </c>
      <c r="V200" s="10">
        <f t="shared" si="49"/>
        <v>20200000</v>
      </c>
      <c r="W200" s="10">
        <f t="shared" si="55"/>
        <v>0</v>
      </c>
      <c r="X200" s="10">
        <f t="shared" si="50"/>
        <v>0</v>
      </c>
    </row>
    <row r="201" spans="1:24" s="9" customFormat="1" ht="13.5" customHeight="1" x14ac:dyDescent="0.2">
      <c r="A201" s="273">
        <v>197</v>
      </c>
      <c r="B201" s="244" t="s">
        <v>559</v>
      </c>
      <c r="C201" s="148">
        <v>42425</v>
      </c>
      <c r="D201" s="245">
        <v>37516000</v>
      </c>
      <c r="E201" s="245"/>
      <c r="F201" s="184">
        <f t="shared" si="44"/>
        <v>37516000</v>
      </c>
      <c r="G201" s="110">
        <v>36890733</v>
      </c>
      <c r="H201" s="184">
        <f t="shared" si="57"/>
        <v>625267</v>
      </c>
      <c r="I201" s="186">
        <v>5</v>
      </c>
      <c r="J201" s="186">
        <v>0.2</v>
      </c>
      <c r="K201" s="68">
        <v>2</v>
      </c>
      <c r="L201" s="185">
        <f>ROUND(IF(F201*J201*K201/12&gt;=H201,H201-1000,F201*J201*K201/12),0)</f>
        <v>624267</v>
      </c>
      <c r="M201" s="185">
        <f t="shared" si="54"/>
        <v>37515000</v>
      </c>
      <c r="N201" s="184">
        <f t="shared" si="56"/>
        <v>1000</v>
      </c>
      <c r="O201" s="266" t="s">
        <v>483</v>
      </c>
      <c r="P201" s="267">
        <v>1</v>
      </c>
      <c r="Q201" s="268"/>
      <c r="R201" s="23"/>
      <c r="S201" s="23">
        <f t="shared" si="51"/>
        <v>1875800</v>
      </c>
      <c r="T201" s="23">
        <f t="shared" si="47"/>
        <v>-1874800</v>
      </c>
      <c r="U201" s="23">
        <f t="shared" si="48"/>
        <v>0</v>
      </c>
      <c r="V201" s="10">
        <f t="shared" si="49"/>
        <v>7503200</v>
      </c>
      <c r="W201" s="10">
        <f t="shared" si="55"/>
        <v>1250533</v>
      </c>
      <c r="X201" s="10">
        <f t="shared" si="50"/>
        <v>-626266</v>
      </c>
    </row>
    <row r="202" spans="1:24" s="9" customFormat="1" ht="13.5" customHeight="1" x14ac:dyDescent="0.2">
      <c r="A202" s="272">
        <v>198</v>
      </c>
      <c r="B202" s="244" t="s">
        <v>560</v>
      </c>
      <c r="C202" s="148">
        <v>42454</v>
      </c>
      <c r="D202" s="245">
        <v>4500000</v>
      </c>
      <c r="E202" s="245"/>
      <c r="F202" s="184">
        <f t="shared" si="44"/>
        <v>4500000</v>
      </c>
      <c r="G202" s="110">
        <v>4350000</v>
      </c>
      <c r="H202" s="184">
        <f t="shared" si="57"/>
        <v>150000</v>
      </c>
      <c r="I202" s="186">
        <v>5</v>
      </c>
      <c r="J202" s="186">
        <v>0.2</v>
      </c>
      <c r="K202" s="68">
        <v>3</v>
      </c>
      <c r="L202" s="185">
        <f t="shared" si="52"/>
        <v>149000</v>
      </c>
      <c r="M202" s="185">
        <f t="shared" si="54"/>
        <v>4499000</v>
      </c>
      <c r="N202" s="184">
        <f t="shared" si="56"/>
        <v>1000</v>
      </c>
      <c r="O202" s="266" t="s">
        <v>561</v>
      </c>
      <c r="P202" s="267">
        <v>1</v>
      </c>
      <c r="Q202" s="268"/>
      <c r="R202" s="23"/>
      <c r="S202" s="23">
        <f t="shared" si="51"/>
        <v>225000</v>
      </c>
      <c r="T202" s="23">
        <f t="shared" si="47"/>
        <v>-224000</v>
      </c>
      <c r="U202" s="23">
        <f t="shared" si="48"/>
        <v>0</v>
      </c>
      <c r="V202" s="10">
        <f t="shared" si="49"/>
        <v>900000</v>
      </c>
      <c r="W202" s="10">
        <f t="shared" si="55"/>
        <v>225000</v>
      </c>
      <c r="X202" s="10">
        <f t="shared" si="50"/>
        <v>-76000</v>
      </c>
    </row>
    <row r="203" spans="1:24" s="9" customFormat="1" ht="13.5" customHeight="1" x14ac:dyDescent="0.2">
      <c r="A203" s="272">
        <v>199</v>
      </c>
      <c r="B203" s="244" t="s">
        <v>562</v>
      </c>
      <c r="C203" s="148">
        <v>42611</v>
      </c>
      <c r="D203" s="245">
        <v>44556000</v>
      </c>
      <c r="E203" s="245"/>
      <c r="F203" s="184">
        <f t="shared" si="44"/>
        <v>44556000</v>
      </c>
      <c r="G203" s="110">
        <v>39357800</v>
      </c>
      <c r="H203" s="184">
        <f t="shared" si="57"/>
        <v>5198200</v>
      </c>
      <c r="I203" s="186">
        <v>5</v>
      </c>
      <c r="J203" s="186">
        <v>0.2</v>
      </c>
      <c r="K203" s="68">
        <v>8</v>
      </c>
      <c r="L203" s="185">
        <f t="shared" si="52"/>
        <v>5197200</v>
      </c>
      <c r="M203" s="185">
        <f t="shared" si="54"/>
        <v>44555000</v>
      </c>
      <c r="N203" s="184">
        <f t="shared" si="56"/>
        <v>1000</v>
      </c>
      <c r="O203" s="266" t="s">
        <v>563</v>
      </c>
      <c r="P203" s="267">
        <v>1</v>
      </c>
      <c r="Q203" s="268" t="s">
        <v>564</v>
      </c>
      <c r="R203" s="23"/>
      <c r="S203" s="23">
        <f t="shared" si="51"/>
        <v>2227800</v>
      </c>
      <c r="T203" s="23">
        <f t="shared" si="47"/>
        <v>-2226800</v>
      </c>
      <c r="U203" s="23">
        <f t="shared" si="48"/>
        <v>0</v>
      </c>
      <c r="V203" s="10">
        <f t="shared" si="49"/>
        <v>8911200</v>
      </c>
      <c r="W203" s="10">
        <f t="shared" si="55"/>
        <v>5940800</v>
      </c>
      <c r="X203" s="10">
        <f t="shared" si="50"/>
        <v>-743600</v>
      </c>
    </row>
    <row r="204" spans="1:24" s="9" customFormat="1" ht="13.5" customHeight="1" x14ac:dyDescent="0.2">
      <c r="A204" s="272">
        <v>200</v>
      </c>
      <c r="B204" s="244" t="s">
        <v>565</v>
      </c>
      <c r="C204" s="148">
        <v>42808</v>
      </c>
      <c r="D204" s="245">
        <v>5000000</v>
      </c>
      <c r="E204" s="245"/>
      <c r="F204" s="184">
        <f t="shared" si="44"/>
        <v>5000000</v>
      </c>
      <c r="G204" s="110">
        <v>3833333</v>
      </c>
      <c r="H204" s="184">
        <f t="shared" si="57"/>
        <v>1166667</v>
      </c>
      <c r="I204" s="186">
        <v>5</v>
      </c>
      <c r="J204" s="186">
        <v>0.2</v>
      </c>
      <c r="K204" s="68">
        <v>12</v>
      </c>
      <c r="L204" s="185">
        <f t="shared" si="52"/>
        <v>1000000</v>
      </c>
      <c r="M204" s="185">
        <f t="shared" si="54"/>
        <v>4833333</v>
      </c>
      <c r="N204" s="184">
        <f t="shared" si="56"/>
        <v>166667</v>
      </c>
      <c r="O204" s="266" t="s">
        <v>566</v>
      </c>
      <c r="P204" s="267">
        <v>1</v>
      </c>
      <c r="Q204" s="268"/>
      <c r="R204" s="23"/>
      <c r="S204" s="23">
        <f t="shared" si="51"/>
        <v>250000</v>
      </c>
      <c r="T204" s="23">
        <f t="shared" si="47"/>
        <v>-83333</v>
      </c>
      <c r="U204" s="23">
        <f t="shared" si="48"/>
        <v>165667</v>
      </c>
      <c r="V204" s="10">
        <f t="shared" si="49"/>
        <v>1000000</v>
      </c>
      <c r="W204" s="10">
        <f t="shared" si="55"/>
        <v>1000000</v>
      </c>
      <c r="X204" s="10">
        <f t="shared" si="50"/>
        <v>0</v>
      </c>
    </row>
    <row r="205" spans="1:24" s="9" customFormat="1" ht="13.5" customHeight="1" x14ac:dyDescent="0.2">
      <c r="A205" s="272">
        <v>201</v>
      </c>
      <c r="B205" s="244" t="s">
        <v>567</v>
      </c>
      <c r="C205" s="148">
        <v>42850</v>
      </c>
      <c r="D205" s="245">
        <v>20500000</v>
      </c>
      <c r="E205" s="245"/>
      <c r="F205" s="184">
        <f t="shared" si="44"/>
        <v>20500000</v>
      </c>
      <c r="G205" s="110">
        <v>15375000</v>
      </c>
      <c r="H205" s="184">
        <f t="shared" si="57"/>
        <v>5125000</v>
      </c>
      <c r="I205" s="186">
        <v>5</v>
      </c>
      <c r="J205" s="186">
        <v>0.2</v>
      </c>
      <c r="K205" s="68">
        <v>12</v>
      </c>
      <c r="L205" s="185">
        <f t="shared" si="52"/>
        <v>4100000</v>
      </c>
      <c r="M205" s="185">
        <f t="shared" si="54"/>
        <v>19475000</v>
      </c>
      <c r="N205" s="184">
        <f t="shared" si="56"/>
        <v>1025000</v>
      </c>
      <c r="O205" s="266" t="s">
        <v>568</v>
      </c>
      <c r="P205" s="267">
        <v>1</v>
      </c>
      <c r="Q205" s="268"/>
      <c r="R205" s="23"/>
      <c r="S205" s="23">
        <f t="shared" si="51"/>
        <v>1025000</v>
      </c>
      <c r="T205" s="23">
        <f t="shared" si="47"/>
        <v>0</v>
      </c>
      <c r="U205" s="23">
        <f t="shared" si="48"/>
        <v>1024000</v>
      </c>
      <c r="V205" s="10">
        <f t="shared" si="49"/>
        <v>4100000</v>
      </c>
      <c r="W205" s="10">
        <f t="shared" si="55"/>
        <v>4100000</v>
      </c>
      <c r="X205" s="10">
        <f t="shared" si="50"/>
        <v>0</v>
      </c>
    </row>
    <row r="206" spans="1:24" s="9" customFormat="1" ht="13.5" customHeight="1" x14ac:dyDescent="0.2">
      <c r="A206" s="272">
        <v>202</v>
      </c>
      <c r="B206" s="244" t="s">
        <v>569</v>
      </c>
      <c r="C206" s="148">
        <v>42874</v>
      </c>
      <c r="D206" s="245">
        <v>10000000</v>
      </c>
      <c r="E206" s="245"/>
      <c r="F206" s="184">
        <f t="shared" si="44"/>
        <v>10000000</v>
      </c>
      <c r="G206" s="110">
        <v>7333333</v>
      </c>
      <c r="H206" s="184">
        <f t="shared" si="57"/>
        <v>2666667</v>
      </c>
      <c r="I206" s="186">
        <v>5</v>
      </c>
      <c r="J206" s="186">
        <v>0.2</v>
      </c>
      <c r="K206" s="68">
        <v>12</v>
      </c>
      <c r="L206" s="185">
        <f t="shared" si="52"/>
        <v>2000000</v>
      </c>
      <c r="M206" s="185">
        <f t="shared" si="54"/>
        <v>9333333</v>
      </c>
      <c r="N206" s="184">
        <f t="shared" si="56"/>
        <v>666667</v>
      </c>
      <c r="O206" s="266" t="s">
        <v>500</v>
      </c>
      <c r="P206" s="267">
        <v>1</v>
      </c>
      <c r="Q206" s="268"/>
      <c r="R206" s="23"/>
      <c r="S206" s="23">
        <f t="shared" si="51"/>
        <v>500000</v>
      </c>
      <c r="T206" s="23">
        <f t="shared" si="47"/>
        <v>166667</v>
      </c>
      <c r="U206" s="23">
        <f t="shared" si="48"/>
        <v>665667</v>
      </c>
      <c r="V206" s="10">
        <f t="shared" si="49"/>
        <v>2000000</v>
      </c>
      <c r="W206" s="10">
        <f t="shared" si="55"/>
        <v>2000000</v>
      </c>
      <c r="X206" s="10">
        <f t="shared" si="50"/>
        <v>0</v>
      </c>
    </row>
    <row r="207" spans="1:24" s="9" customFormat="1" ht="13.5" customHeight="1" x14ac:dyDescent="0.2">
      <c r="A207" s="272">
        <v>203</v>
      </c>
      <c r="B207" s="244" t="s">
        <v>570</v>
      </c>
      <c r="C207" s="148">
        <v>42884</v>
      </c>
      <c r="D207" s="245">
        <v>54205000</v>
      </c>
      <c r="E207" s="245"/>
      <c r="F207" s="184">
        <f t="shared" si="44"/>
        <v>54205000</v>
      </c>
      <c r="G207" s="110">
        <v>39750333</v>
      </c>
      <c r="H207" s="184">
        <f t="shared" si="57"/>
        <v>14454667</v>
      </c>
      <c r="I207" s="186">
        <v>5</v>
      </c>
      <c r="J207" s="186">
        <v>0.2</v>
      </c>
      <c r="K207" s="68">
        <v>12</v>
      </c>
      <c r="L207" s="185">
        <f t="shared" si="52"/>
        <v>10841000</v>
      </c>
      <c r="M207" s="185">
        <f t="shared" si="54"/>
        <v>50591333</v>
      </c>
      <c r="N207" s="184">
        <f t="shared" si="56"/>
        <v>3613667</v>
      </c>
      <c r="O207" s="266" t="s">
        <v>571</v>
      </c>
      <c r="P207" s="267">
        <v>1</v>
      </c>
      <c r="Q207" s="268"/>
      <c r="R207" s="23"/>
      <c r="S207" s="23">
        <f t="shared" si="51"/>
        <v>2710250</v>
      </c>
      <c r="T207" s="23">
        <f t="shared" si="47"/>
        <v>903417</v>
      </c>
      <c r="U207" s="23">
        <f t="shared" si="48"/>
        <v>3612667</v>
      </c>
      <c r="V207" s="10">
        <f t="shared" si="49"/>
        <v>10841000</v>
      </c>
      <c r="W207" s="10">
        <f t="shared" si="55"/>
        <v>10841000</v>
      </c>
      <c r="X207" s="10">
        <f t="shared" si="50"/>
        <v>0</v>
      </c>
    </row>
    <row r="208" spans="1:24" s="9" customFormat="1" ht="13.5" customHeight="1" x14ac:dyDescent="0.2">
      <c r="A208" s="272">
        <v>204</v>
      </c>
      <c r="B208" s="244" t="s">
        <v>572</v>
      </c>
      <c r="C208" s="148">
        <v>42906</v>
      </c>
      <c r="D208" s="245">
        <v>119800000</v>
      </c>
      <c r="E208" s="245"/>
      <c r="F208" s="184">
        <f t="shared" si="44"/>
        <v>119800000</v>
      </c>
      <c r="G208" s="110">
        <v>85856667</v>
      </c>
      <c r="H208" s="184">
        <f t="shared" si="57"/>
        <v>33943333</v>
      </c>
      <c r="I208" s="186">
        <v>5</v>
      </c>
      <c r="J208" s="186">
        <v>0.2</v>
      </c>
      <c r="K208" s="68">
        <v>12</v>
      </c>
      <c r="L208" s="185">
        <f t="shared" si="52"/>
        <v>23960000</v>
      </c>
      <c r="M208" s="185">
        <f t="shared" si="54"/>
        <v>109816667</v>
      </c>
      <c r="N208" s="184">
        <f t="shared" si="56"/>
        <v>9983333</v>
      </c>
      <c r="O208" s="266" t="s">
        <v>511</v>
      </c>
      <c r="P208" s="267">
        <v>1</v>
      </c>
      <c r="Q208" s="268"/>
      <c r="R208" s="23"/>
      <c r="S208" s="23">
        <f t="shared" si="51"/>
        <v>5990000</v>
      </c>
      <c r="T208" s="23">
        <f t="shared" si="47"/>
        <v>3993333</v>
      </c>
      <c r="U208" s="23">
        <f t="shared" si="48"/>
        <v>9982333</v>
      </c>
      <c r="V208" s="10">
        <f t="shared" si="49"/>
        <v>23960000</v>
      </c>
      <c r="W208" s="10">
        <f t="shared" si="55"/>
        <v>23960000</v>
      </c>
      <c r="X208" s="10">
        <f t="shared" si="50"/>
        <v>0</v>
      </c>
    </row>
    <row r="209" spans="1:24" s="9" customFormat="1" ht="13.5" customHeight="1" x14ac:dyDescent="0.2">
      <c r="A209" s="272">
        <v>205</v>
      </c>
      <c r="B209" s="244" t="s">
        <v>573</v>
      </c>
      <c r="C209" s="148">
        <v>42927</v>
      </c>
      <c r="D209" s="245">
        <v>23300000</v>
      </c>
      <c r="E209" s="245"/>
      <c r="F209" s="184">
        <f t="shared" si="44"/>
        <v>23300000</v>
      </c>
      <c r="G209" s="110">
        <v>16310000</v>
      </c>
      <c r="H209" s="184">
        <f t="shared" si="57"/>
        <v>6990000</v>
      </c>
      <c r="I209" s="186">
        <v>5</v>
      </c>
      <c r="J209" s="186">
        <v>0.2</v>
      </c>
      <c r="K209" s="68">
        <v>12</v>
      </c>
      <c r="L209" s="185">
        <f t="shared" si="52"/>
        <v>4660000</v>
      </c>
      <c r="M209" s="185">
        <f t="shared" si="54"/>
        <v>20970000</v>
      </c>
      <c r="N209" s="184">
        <f t="shared" si="56"/>
        <v>2330000</v>
      </c>
      <c r="O209" s="266" t="s">
        <v>574</v>
      </c>
      <c r="P209" s="267">
        <v>1</v>
      </c>
      <c r="Q209" s="268"/>
      <c r="R209" s="23"/>
      <c r="S209" s="23">
        <f t="shared" si="51"/>
        <v>1165000</v>
      </c>
      <c r="T209" s="23">
        <f t="shared" si="47"/>
        <v>1165000</v>
      </c>
      <c r="U209" s="23">
        <f t="shared" si="48"/>
        <v>2329000</v>
      </c>
      <c r="V209" s="10">
        <f t="shared" si="49"/>
        <v>4660000</v>
      </c>
      <c r="W209" s="10">
        <f t="shared" si="55"/>
        <v>4660000</v>
      </c>
      <c r="X209" s="10">
        <f t="shared" si="50"/>
        <v>0</v>
      </c>
    </row>
    <row r="210" spans="1:24" s="9" customFormat="1" ht="13.5" customHeight="1" x14ac:dyDescent="0.2">
      <c r="A210" s="272">
        <v>206</v>
      </c>
      <c r="B210" s="244" t="s">
        <v>203</v>
      </c>
      <c r="C210" s="148">
        <v>43395</v>
      </c>
      <c r="D210" s="245">
        <v>81669600</v>
      </c>
      <c r="E210" s="245"/>
      <c r="F210" s="184">
        <f t="shared" si="44"/>
        <v>81669600</v>
      </c>
      <c r="G210" s="110">
        <v>36751320</v>
      </c>
      <c r="H210" s="184">
        <f t="shared" si="57"/>
        <v>44918280</v>
      </c>
      <c r="I210" s="186">
        <v>5</v>
      </c>
      <c r="J210" s="186">
        <v>0.2</v>
      </c>
      <c r="K210" s="68">
        <v>12</v>
      </c>
      <c r="L210" s="185">
        <f t="shared" si="52"/>
        <v>16333920</v>
      </c>
      <c r="M210" s="185">
        <f t="shared" si="54"/>
        <v>53085240</v>
      </c>
      <c r="N210" s="184">
        <f t="shared" si="56"/>
        <v>28584360</v>
      </c>
      <c r="O210" s="266" t="s">
        <v>575</v>
      </c>
      <c r="P210" s="267">
        <v>1</v>
      </c>
      <c r="Q210" s="268" t="s">
        <v>576</v>
      </c>
      <c r="R210" s="23"/>
      <c r="S210" s="23">
        <f t="shared" si="51"/>
        <v>4083480</v>
      </c>
      <c r="T210" s="23">
        <f t="shared" si="47"/>
        <v>24500880</v>
      </c>
      <c r="U210" s="23">
        <f t="shared" si="48"/>
        <v>28583360</v>
      </c>
      <c r="V210" s="10">
        <f t="shared" si="49"/>
        <v>16333920</v>
      </c>
      <c r="W210" s="10">
        <f t="shared" si="55"/>
        <v>16333920</v>
      </c>
      <c r="X210" s="10">
        <f t="shared" si="50"/>
        <v>0</v>
      </c>
    </row>
    <row r="211" spans="1:24" s="9" customFormat="1" ht="13.5" customHeight="1" x14ac:dyDescent="0.2">
      <c r="A211" s="272">
        <v>207</v>
      </c>
      <c r="B211" s="244" t="s">
        <v>577</v>
      </c>
      <c r="C211" s="148">
        <v>43396</v>
      </c>
      <c r="D211" s="245">
        <v>27000000</v>
      </c>
      <c r="E211" s="245"/>
      <c r="F211" s="184">
        <f t="shared" si="44"/>
        <v>27000000</v>
      </c>
      <c r="G211" s="110">
        <v>12150000</v>
      </c>
      <c r="H211" s="184">
        <f t="shared" si="57"/>
        <v>14850000</v>
      </c>
      <c r="I211" s="186">
        <v>5</v>
      </c>
      <c r="J211" s="186">
        <v>0.2</v>
      </c>
      <c r="K211" s="68">
        <v>12</v>
      </c>
      <c r="L211" s="185">
        <f t="shared" si="52"/>
        <v>5400000</v>
      </c>
      <c r="M211" s="185">
        <f t="shared" si="54"/>
        <v>17550000</v>
      </c>
      <c r="N211" s="184">
        <f t="shared" si="56"/>
        <v>9450000</v>
      </c>
      <c r="O211" s="266" t="s">
        <v>578</v>
      </c>
      <c r="P211" s="267">
        <v>1</v>
      </c>
      <c r="Q211" s="268" t="s">
        <v>576</v>
      </c>
      <c r="R211" s="23"/>
      <c r="S211" s="23">
        <f t="shared" si="51"/>
        <v>1350000</v>
      </c>
      <c r="T211" s="23">
        <f t="shared" si="47"/>
        <v>8100000</v>
      </c>
      <c r="U211" s="23">
        <f t="shared" si="48"/>
        <v>9449000</v>
      </c>
      <c r="V211" s="10">
        <f t="shared" si="49"/>
        <v>5400000</v>
      </c>
      <c r="W211" s="10">
        <f t="shared" si="55"/>
        <v>5400000</v>
      </c>
      <c r="X211" s="10">
        <f t="shared" si="50"/>
        <v>0</v>
      </c>
    </row>
    <row r="212" spans="1:24" s="9" customFormat="1" ht="13.5" customHeight="1" x14ac:dyDescent="0.2">
      <c r="A212" s="272">
        <v>208</v>
      </c>
      <c r="B212" s="244" t="s">
        <v>579</v>
      </c>
      <c r="C212" s="148">
        <v>43426</v>
      </c>
      <c r="D212" s="245">
        <v>160644600</v>
      </c>
      <c r="E212" s="245"/>
      <c r="F212" s="184">
        <f t="shared" si="44"/>
        <v>160644600</v>
      </c>
      <c r="G212" s="110">
        <v>69612660</v>
      </c>
      <c r="H212" s="184">
        <f t="shared" si="57"/>
        <v>91031940</v>
      </c>
      <c r="I212" s="186">
        <v>5</v>
      </c>
      <c r="J212" s="186">
        <v>0.2</v>
      </c>
      <c r="K212" s="68">
        <v>12</v>
      </c>
      <c r="L212" s="185">
        <f t="shared" si="52"/>
        <v>32128920</v>
      </c>
      <c r="M212" s="185">
        <f t="shared" si="54"/>
        <v>101741580</v>
      </c>
      <c r="N212" s="184">
        <f t="shared" si="56"/>
        <v>58903020</v>
      </c>
      <c r="O212" s="266" t="s">
        <v>575</v>
      </c>
      <c r="P212" s="267">
        <v>1</v>
      </c>
      <c r="Q212" s="268" t="s">
        <v>576</v>
      </c>
      <c r="R212" s="23"/>
      <c r="S212" s="23">
        <f t="shared" si="51"/>
        <v>8032230</v>
      </c>
      <c r="T212" s="23">
        <f t="shared" si="47"/>
        <v>50870790</v>
      </c>
      <c r="U212" s="23">
        <f t="shared" si="48"/>
        <v>58902020</v>
      </c>
      <c r="V212" s="10">
        <f t="shared" si="49"/>
        <v>32128920</v>
      </c>
      <c r="W212" s="10">
        <f t="shared" si="55"/>
        <v>32128920</v>
      </c>
      <c r="X212" s="10">
        <f t="shared" si="50"/>
        <v>0</v>
      </c>
    </row>
    <row r="213" spans="1:24" s="9" customFormat="1" ht="13.5" customHeight="1" x14ac:dyDescent="0.2">
      <c r="A213" s="272">
        <v>209</v>
      </c>
      <c r="B213" s="244" t="s">
        <v>579</v>
      </c>
      <c r="C213" s="148">
        <v>43426</v>
      </c>
      <c r="D213" s="245">
        <v>160644600</v>
      </c>
      <c r="E213" s="245"/>
      <c r="F213" s="184">
        <f t="shared" ref="F213:F220" si="58">+D213+E213</f>
        <v>160644600</v>
      </c>
      <c r="G213" s="110">
        <v>69612660</v>
      </c>
      <c r="H213" s="184">
        <f t="shared" si="57"/>
        <v>91031940</v>
      </c>
      <c r="I213" s="186">
        <v>5</v>
      </c>
      <c r="J213" s="186">
        <v>0.2</v>
      </c>
      <c r="K213" s="68">
        <v>12</v>
      </c>
      <c r="L213" s="185">
        <f t="shared" si="52"/>
        <v>32128920</v>
      </c>
      <c r="M213" s="185">
        <f t="shared" si="54"/>
        <v>101741580</v>
      </c>
      <c r="N213" s="184">
        <f t="shared" si="56"/>
        <v>58903020</v>
      </c>
      <c r="O213" s="266" t="s">
        <v>575</v>
      </c>
      <c r="P213" s="267">
        <v>1</v>
      </c>
      <c r="Q213" s="268" t="s">
        <v>576</v>
      </c>
      <c r="R213" s="23"/>
      <c r="S213" s="23">
        <f t="shared" si="51"/>
        <v>8032230</v>
      </c>
      <c r="T213" s="23">
        <f t="shared" si="47"/>
        <v>50870790</v>
      </c>
      <c r="U213" s="23">
        <f t="shared" si="48"/>
        <v>58902020</v>
      </c>
      <c r="V213" s="10">
        <f t="shared" si="49"/>
        <v>32128920</v>
      </c>
      <c r="W213" s="10">
        <f t="shared" si="55"/>
        <v>32128920</v>
      </c>
      <c r="X213" s="10">
        <f t="shared" si="50"/>
        <v>0</v>
      </c>
    </row>
    <row r="214" spans="1:24" s="9" customFormat="1" ht="13.5" customHeight="1" x14ac:dyDescent="0.2">
      <c r="A214" s="272">
        <v>210</v>
      </c>
      <c r="B214" s="244" t="s">
        <v>580</v>
      </c>
      <c r="C214" s="148">
        <v>43429</v>
      </c>
      <c r="D214" s="245">
        <v>70000000</v>
      </c>
      <c r="E214" s="245"/>
      <c r="F214" s="184">
        <f t="shared" si="58"/>
        <v>70000000</v>
      </c>
      <c r="G214" s="110">
        <v>30333333</v>
      </c>
      <c r="H214" s="184">
        <f t="shared" si="57"/>
        <v>39666667</v>
      </c>
      <c r="I214" s="186">
        <v>5</v>
      </c>
      <c r="J214" s="186">
        <v>0.2</v>
      </c>
      <c r="K214" s="68">
        <v>12</v>
      </c>
      <c r="L214" s="185">
        <f t="shared" si="52"/>
        <v>14000000</v>
      </c>
      <c r="M214" s="185">
        <f t="shared" si="54"/>
        <v>44333333</v>
      </c>
      <c r="N214" s="184">
        <f t="shared" si="56"/>
        <v>25666667</v>
      </c>
      <c r="O214" s="266" t="s">
        <v>581</v>
      </c>
      <c r="P214" s="267">
        <v>1</v>
      </c>
      <c r="Q214" s="268" t="s">
        <v>582</v>
      </c>
      <c r="R214" s="23"/>
      <c r="S214" s="23">
        <f t="shared" si="51"/>
        <v>3500000</v>
      </c>
      <c r="T214" s="23">
        <f t="shared" si="47"/>
        <v>22166667</v>
      </c>
      <c r="U214" s="23">
        <f t="shared" si="48"/>
        <v>25665667</v>
      </c>
      <c r="V214" s="10">
        <f t="shared" si="49"/>
        <v>14000000</v>
      </c>
      <c r="W214" s="10">
        <f t="shared" si="55"/>
        <v>14000000</v>
      </c>
      <c r="X214" s="10">
        <f t="shared" si="50"/>
        <v>0</v>
      </c>
    </row>
    <row r="215" spans="1:24" s="9" customFormat="1" ht="13.5" customHeight="1" x14ac:dyDescent="0.2">
      <c r="A215" s="272">
        <v>211</v>
      </c>
      <c r="B215" s="244" t="s">
        <v>583</v>
      </c>
      <c r="C215" s="148">
        <v>43430</v>
      </c>
      <c r="D215" s="245">
        <v>48000000</v>
      </c>
      <c r="E215" s="245"/>
      <c r="F215" s="184">
        <f t="shared" si="58"/>
        <v>48000000</v>
      </c>
      <c r="G215" s="110">
        <v>20800000</v>
      </c>
      <c r="H215" s="184">
        <f t="shared" si="57"/>
        <v>27200000</v>
      </c>
      <c r="I215" s="186">
        <v>5</v>
      </c>
      <c r="J215" s="186">
        <v>0.2</v>
      </c>
      <c r="K215" s="68">
        <v>12</v>
      </c>
      <c r="L215" s="185">
        <f t="shared" si="52"/>
        <v>9600000</v>
      </c>
      <c r="M215" s="185">
        <f t="shared" si="54"/>
        <v>30400000</v>
      </c>
      <c r="N215" s="184">
        <f t="shared" si="56"/>
        <v>17600000</v>
      </c>
      <c r="O215" s="266" t="s">
        <v>584</v>
      </c>
      <c r="P215" s="267">
        <v>1</v>
      </c>
      <c r="Q215" s="268" t="s">
        <v>576</v>
      </c>
      <c r="R215" s="23"/>
      <c r="S215" s="23">
        <f t="shared" si="51"/>
        <v>2400000</v>
      </c>
      <c r="T215" s="23">
        <f t="shared" si="47"/>
        <v>15200000</v>
      </c>
      <c r="U215" s="23">
        <f t="shared" si="48"/>
        <v>17599000</v>
      </c>
      <c r="V215" s="10">
        <f t="shared" si="49"/>
        <v>9600000</v>
      </c>
      <c r="W215" s="10">
        <f t="shared" si="55"/>
        <v>9600000</v>
      </c>
      <c r="X215" s="10">
        <f t="shared" si="50"/>
        <v>0</v>
      </c>
    </row>
    <row r="216" spans="1:24" s="9" customFormat="1" ht="13.5" customHeight="1" x14ac:dyDescent="0.2">
      <c r="A216" s="272">
        <v>212</v>
      </c>
      <c r="B216" s="244" t="s">
        <v>356</v>
      </c>
      <c r="C216" s="148">
        <v>43444</v>
      </c>
      <c r="D216" s="245">
        <v>32000000</v>
      </c>
      <c r="E216" s="245"/>
      <c r="F216" s="184">
        <f t="shared" si="58"/>
        <v>32000000</v>
      </c>
      <c r="G216" s="110">
        <v>13333333</v>
      </c>
      <c r="H216" s="184">
        <f t="shared" si="57"/>
        <v>18666667</v>
      </c>
      <c r="I216" s="186">
        <v>5</v>
      </c>
      <c r="J216" s="186">
        <v>0.2</v>
      </c>
      <c r="K216" s="68">
        <v>12</v>
      </c>
      <c r="L216" s="185">
        <f t="shared" si="52"/>
        <v>6400000</v>
      </c>
      <c r="M216" s="185">
        <f t="shared" si="54"/>
        <v>19733333</v>
      </c>
      <c r="N216" s="184">
        <f t="shared" si="56"/>
        <v>12266667</v>
      </c>
      <c r="O216" s="266" t="s">
        <v>578</v>
      </c>
      <c r="P216" s="267">
        <v>1</v>
      </c>
      <c r="Q216" s="268" t="s">
        <v>576</v>
      </c>
      <c r="R216" s="23"/>
      <c r="S216" s="23">
        <f t="shared" si="51"/>
        <v>1600000</v>
      </c>
      <c r="T216" s="23">
        <f t="shared" si="47"/>
        <v>10666667</v>
      </c>
      <c r="U216" s="23">
        <f t="shared" si="48"/>
        <v>12265667</v>
      </c>
      <c r="V216" s="10">
        <f t="shared" si="49"/>
        <v>6400000</v>
      </c>
      <c r="W216" s="10">
        <f t="shared" si="55"/>
        <v>6400000</v>
      </c>
      <c r="X216" s="10">
        <f t="shared" si="50"/>
        <v>0</v>
      </c>
    </row>
    <row r="217" spans="1:24" s="9" customFormat="1" ht="13.5" customHeight="1" x14ac:dyDescent="0.2">
      <c r="A217" s="272">
        <v>213</v>
      </c>
      <c r="B217" s="244" t="s">
        <v>585</v>
      </c>
      <c r="C217" s="148">
        <v>43460</v>
      </c>
      <c r="D217" s="245">
        <v>107000000</v>
      </c>
      <c r="E217" s="245"/>
      <c r="F217" s="184">
        <f t="shared" si="58"/>
        <v>107000000</v>
      </c>
      <c r="G217" s="110">
        <v>44583333</v>
      </c>
      <c r="H217" s="184">
        <f t="shared" si="57"/>
        <v>62416667</v>
      </c>
      <c r="I217" s="186">
        <v>5</v>
      </c>
      <c r="J217" s="186">
        <v>0.2</v>
      </c>
      <c r="K217" s="68">
        <v>12</v>
      </c>
      <c r="L217" s="185">
        <f t="shared" ref="L217:L224" si="59">ROUND(IF(F217*J217*K217/12&gt;=H217,H217-1000,F217*J217*K217/12),0)</f>
        <v>21400000</v>
      </c>
      <c r="M217" s="185">
        <f t="shared" ref="M217:M224" si="60">+G217+L217</f>
        <v>65983333</v>
      </c>
      <c r="N217" s="184">
        <f t="shared" ref="N217:N224" si="61">+F217-M217</f>
        <v>41016667</v>
      </c>
      <c r="O217" s="266" t="s">
        <v>586</v>
      </c>
      <c r="P217" s="267">
        <v>1</v>
      </c>
      <c r="Q217" s="268" t="s">
        <v>587</v>
      </c>
      <c r="R217" s="23"/>
      <c r="S217" s="23">
        <f t="shared" si="51"/>
        <v>5350000</v>
      </c>
      <c r="T217" s="23">
        <f t="shared" si="47"/>
        <v>35666667</v>
      </c>
      <c r="U217" s="23">
        <f t="shared" si="48"/>
        <v>41015667</v>
      </c>
      <c r="V217" s="10">
        <f t="shared" si="49"/>
        <v>21400000</v>
      </c>
      <c r="W217" s="10">
        <f t="shared" si="55"/>
        <v>21400000</v>
      </c>
      <c r="X217" s="10">
        <f t="shared" si="50"/>
        <v>0</v>
      </c>
    </row>
    <row r="218" spans="1:24" s="9" customFormat="1" ht="13.5" customHeight="1" x14ac:dyDescent="0.2">
      <c r="A218" s="273">
        <v>214</v>
      </c>
      <c r="B218" s="244" t="s">
        <v>2870</v>
      </c>
      <c r="C218" s="148">
        <v>43515</v>
      </c>
      <c r="D218" s="245">
        <v>93000000</v>
      </c>
      <c r="E218" s="245"/>
      <c r="F218" s="184">
        <f t="shared" si="58"/>
        <v>93000000</v>
      </c>
      <c r="G218" s="110">
        <v>35650000</v>
      </c>
      <c r="H218" s="184">
        <f t="shared" si="57"/>
        <v>57350000</v>
      </c>
      <c r="I218" s="186">
        <v>5</v>
      </c>
      <c r="J218" s="186">
        <v>0.2</v>
      </c>
      <c r="K218" s="68">
        <v>12</v>
      </c>
      <c r="L218" s="185">
        <f t="shared" si="59"/>
        <v>18600000</v>
      </c>
      <c r="M218" s="185">
        <f t="shared" si="60"/>
        <v>54250000</v>
      </c>
      <c r="N218" s="184">
        <f t="shared" si="61"/>
        <v>38750000</v>
      </c>
      <c r="O218" s="266" t="s">
        <v>2872</v>
      </c>
      <c r="P218" s="267">
        <v>1</v>
      </c>
      <c r="Q218" s="268"/>
      <c r="R218" s="23"/>
      <c r="S218" s="23">
        <f t="shared" si="51"/>
        <v>4650000</v>
      </c>
      <c r="T218" s="23"/>
      <c r="U218" s="23"/>
      <c r="V218" s="10"/>
      <c r="W218" s="10"/>
      <c r="X218" s="10"/>
    </row>
    <row r="219" spans="1:24" s="9" customFormat="1" ht="13.5" customHeight="1" x14ac:dyDescent="0.2">
      <c r="A219" s="273">
        <v>215</v>
      </c>
      <c r="B219" s="244" t="s">
        <v>2871</v>
      </c>
      <c r="C219" s="148">
        <v>43524</v>
      </c>
      <c r="D219" s="245">
        <v>71500000</v>
      </c>
      <c r="E219" s="245"/>
      <c r="F219" s="184">
        <f t="shared" si="58"/>
        <v>71500000</v>
      </c>
      <c r="G219" s="110">
        <v>27408333</v>
      </c>
      <c r="H219" s="184">
        <f t="shared" ref="H219:H226" si="62">+F219-G219</f>
        <v>44091667</v>
      </c>
      <c r="I219" s="186">
        <v>5</v>
      </c>
      <c r="J219" s="186">
        <v>0.2</v>
      </c>
      <c r="K219" s="68">
        <v>12</v>
      </c>
      <c r="L219" s="185">
        <f t="shared" si="59"/>
        <v>14300000</v>
      </c>
      <c r="M219" s="185">
        <f t="shared" si="60"/>
        <v>41708333</v>
      </c>
      <c r="N219" s="184">
        <f t="shared" si="61"/>
        <v>29791667</v>
      </c>
      <c r="O219" s="266" t="s">
        <v>2873</v>
      </c>
      <c r="P219" s="267">
        <v>1</v>
      </c>
      <c r="Q219" s="268"/>
      <c r="R219" s="23"/>
      <c r="S219" s="23">
        <f t="shared" si="51"/>
        <v>3575000</v>
      </c>
      <c r="T219" s="23"/>
      <c r="U219" s="23"/>
      <c r="V219" s="10"/>
      <c r="W219" s="10"/>
      <c r="X219" s="10"/>
    </row>
    <row r="220" spans="1:24" s="9" customFormat="1" ht="13.5" customHeight="1" x14ac:dyDescent="0.2">
      <c r="A220" s="273">
        <v>216</v>
      </c>
      <c r="B220" s="244" t="s">
        <v>2890</v>
      </c>
      <c r="C220" s="148">
        <v>43633</v>
      </c>
      <c r="D220" s="245">
        <v>106000000</v>
      </c>
      <c r="E220" s="245"/>
      <c r="F220" s="184">
        <f t="shared" si="58"/>
        <v>106000000</v>
      </c>
      <c r="G220" s="110">
        <v>33566667</v>
      </c>
      <c r="H220" s="184">
        <f t="shared" si="62"/>
        <v>72433333</v>
      </c>
      <c r="I220" s="186">
        <v>5</v>
      </c>
      <c r="J220" s="186">
        <v>0.2</v>
      </c>
      <c r="K220" s="68">
        <v>12</v>
      </c>
      <c r="L220" s="185">
        <f t="shared" si="59"/>
        <v>21200000</v>
      </c>
      <c r="M220" s="185">
        <f t="shared" si="60"/>
        <v>54766667</v>
      </c>
      <c r="N220" s="184">
        <f t="shared" si="61"/>
        <v>51233333</v>
      </c>
      <c r="O220" s="266" t="s">
        <v>2872</v>
      </c>
      <c r="P220" s="267">
        <v>1</v>
      </c>
      <c r="Q220" s="268"/>
      <c r="R220" s="23"/>
      <c r="S220" s="23"/>
      <c r="T220" s="23"/>
      <c r="U220" s="23"/>
      <c r="V220" s="10"/>
      <c r="W220" s="10"/>
      <c r="X220" s="10"/>
    </row>
    <row r="221" spans="1:24" s="9" customFormat="1" ht="13.5" customHeight="1" x14ac:dyDescent="0.2">
      <c r="A221" s="273">
        <v>217</v>
      </c>
      <c r="B221" s="244" t="s">
        <v>2943</v>
      </c>
      <c r="C221" s="148">
        <v>43763</v>
      </c>
      <c r="D221" s="245">
        <v>33500000</v>
      </c>
      <c r="E221" s="245"/>
      <c r="F221" s="184">
        <f t="shared" ref="F221:F226" si="63">+D221+E221</f>
        <v>33500000</v>
      </c>
      <c r="G221" s="110">
        <v>8375000</v>
      </c>
      <c r="H221" s="184">
        <f t="shared" si="62"/>
        <v>25125000</v>
      </c>
      <c r="I221" s="186">
        <v>5</v>
      </c>
      <c r="J221" s="186">
        <v>0.2</v>
      </c>
      <c r="K221" s="68">
        <v>12</v>
      </c>
      <c r="L221" s="185">
        <f>ROUND(IF(F221*J221*K221/12&gt;=H221,H221-1000,F221*J221*K221/12),0)</f>
        <v>6700000</v>
      </c>
      <c r="M221" s="185">
        <f t="shared" si="60"/>
        <v>15075000</v>
      </c>
      <c r="N221" s="184">
        <f t="shared" si="61"/>
        <v>18425000</v>
      </c>
      <c r="O221" s="266" t="s">
        <v>2947</v>
      </c>
      <c r="P221" s="267">
        <v>1</v>
      </c>
      <c r="Q221" s="268" t="s">
        <v>2381</v>
      </c>
      <c r="R221" s="23"/>
      <c r="S221" s="23"/>
      <c r="T221" s="23"/>
      <c r="U221" s="23"/>
      <c r="V221" s="10"/>
      <c r="W221" s="10"/>
      <c r="X221" s="10"/>
    </row>
    <row r="222" spans="1:24" s="9" customFormat="1" ht="13.5" customHeight="1" x14ac:dyDescent="0.2">
      <c r="A222" s="273">
        <v>218</v>
      </c>
      <c r="B222" s="244" t="s">
        <v>2944</v>
      </c>
      <c r="C222" s="148">
        <v>43794</v>
      </c>
      <c r="D222" s="245">
        <v>42000000</v>
      </c>
      <c r="E222" s="245"/>
      <c r="F222" s="184">
        <f t="shared" si="63"/>
        <v>42000000</v>
      </c>
      <c r="G222" s="110">
        <v>9800000</v>
      </c>
      <c r="H222" s="184">
        <f t="shared" si="62"/>
        <v>32200000</v>
      </c>
      <c r="I222" s="186">
        <v>5</v>
      </c>
      <c r="J222" s="186">
        <v>0.2</v>
      </c>
      <c r="K222" s="68">
        <v>12</v>
      </c>
      <c r="L222" s="185">
        <f t="shared" si="59"/>
        <v>8400000</v>
      </c>
      <c r="M222" s="185">
        <f t="shared" si="60"/>
        <v>18200000</v>
      </c>
      <c r="N222" s="184">
        <f t="shared" si="61"/>
        <v>23800000</v>
      </c>
      <c r="O222" s="266" t="s">
        <v>2948</v>
      </c>
      <c r="P222" s="267">
        <v>1</v>
      </c>
      <c r="Q222" s="268"/>
      <c r="R222" s="23"/>
      <c r="S222" s="23"/>
      <c r="T222" s="23"/>
      <c r="U222" s="23"/>
      <c r="V222" s="10"/>
      <c r="W222" s="10"/>
      <c r="X222" s="10"/>
    </row>
    <row r="223" spans="1:24" s="9" customFormat="1" ht="13.5" customHeight="1" x14ac:dyDescent="0.2">
      <c r="A223" s="273">
        <v>219</v>
      </c>
      <c r="B223" s="244" t="s">
        <v>2945</v>
      </c>
      <c r="C223" s="148">
        <v>43816</v>
      </c>
      <c r="D223" s="245">
        <v>9100000</v>
      </c>
      <c r="E223" s="245"/>
      <c r="F223" s="184">
        <f t="shared" si="63"/>
        <v>9100000</v>
      </c>
      <c r="G223" s="110">
        <v>1971667</v>
      </c>
      <c r="H223" s="184">
        <f t="shared" si="62"/>
        <v>7128333</v>
      </c>
      <c r="I223" s="186">
        <v>5</v>
      </c>
      <c r="J223" s="186">
        <v>0.2</v>
      </c>
      <c r="K223" s="68">
        <v>12</v>
      </c>
      <c r="L223" s="185">
        <f t="shared" si="59"/>
        <v>1820000</v>
      </c>
      <c r="M223" s="185">
        <f t="shared" si="60"/>
        <v>3791667</v>
      </c>
      <c r="N223" s="184">
        <f t="shared" si="61"/>
        <v>5308333</v>
      </c>
      <c r="O223" s="266" t="s">
        <v>2949</v>
      </c>
      <c r="P223" s="267">
        <v>1</v>
      </c>
      <c r="Q223" s="268"/>
      <c r="R223" s="23"/>
      <c r="S223" s="23"/>
      <c r="T223" s="23"/>
      <c r="U223" s="23"/>
      <c r="V223" s="10"/>
      <c r="W223" s="10"/>
      <c r="X223" s="10"/>
    </row>
    <row r="224" spans="1:24" s="9" customFormat="1" ht="13.5" customHeight="1" x14ac:dyDescent="0.2">
      <c r="A224" s="273">
        <v>220</v>
      </c>
      <c r="B224" s="244" t="s">
        <v>2946</v>
      </c>
      <c r="C224" s="148">
        <v>43822</v>
      </c>
      <c r="D224" s="245">
        <v>57000000</v>
      </c>
      <c r="E224" s="245"/>
      <c r="F224" s="184">
        <f t="shared" si="63"/>
        <v>57000000</v>
      </c>
      <c r="G224" s="110">
        <v>12350000</v>
      </c>
      <c r="H224" s="184">
        <f t="shared" si="62"/>
        <v>44650000</v>
      </c>
      <c r="I224" s="186">
        <v>5</v>
      </c>
      <c r="J224" s="186">
        <v>0.2</v>
      </c>
      <c r="K224" s="68">
        <v>12</v>
      </c>
      <c r="L224" s="185">
        <f t="shared" si="59"/>
        <v>11400000</v>
      </c>
      <c r="M224" s="185">
        <f t="shared" si="60"/>
        <v>23750000</v>
      </c>
      <c r="N224" s="184">
        <f t="shared" si="61"/>
        <v>33250000</v>
      </c>
      <c r="O224" s="266" t="s">
        <v>2947</v>
      </c>
      <c r="P224" s="267">
        <v>1</v>
      </c>
      <c r="Q224" s="268" t="s">
        <v>2950</v>
      </c>
      <c r="R224" s="23"/>
      <c r="S224" s="23"/>
      <c r="T224" s="23"/>
      <c r="U224" s="23"/>
      <c r="V224" s="10"/>
      <c r="W224" s="10"/>
      <c r="X224" s="10"/>
    </row>
    <row r="225" spans="1:24" s="9" customFormat="1" ht="13.5" customHeight="1" x14ac:dyDescent="0.2">
      <c r="A225" s="273">
        <v>221</v>
      </c>
      <c r="B225" s="244" t="s">
        <v>2961</v>
      </c>
      <c r="C225" s="148">
        <v>43858</v>
      </c>
      <c r="D225" s="245">
        <v>16500000</v>
      </c>
      <c r="E225" s="245"/>
      <c r="F225" s="184">
        <f t="shared" si="63"/>
        <v>16500000</v>
      </c>
      <c r="G225" s="110">
        <v>3300000</v>
      </c>
      <c r="H225" s="184">
        <f t="shared" si="62"/>
        <v>13200000</v>
      </c>
      <c r="I225" s="186">
        <v>5</v>
      </c>
      <c r="J225" s="186">
        <v>0.2</v>
      </c>
      <c r="K225" s="68">
        <v>12</v>
      </c>
      <c r="L225" s="185">
        <f t="shared" ref="L225:L234" si="64">ROUND(IF(F225*J225*K225/12&gt;=H225,H225-1000,F225*J225*K225/12),0)</f>
        <v>3300000</v>
      </c>
      <c r="M225" s="185">
        <f t="shared" ref="M225:M234" si="65">+G225+L225</f>
        <v>6600000</v>
      </c>
      <c r="N225" s="184">
        <f t="shared" ref="N225:N234" si="66">+F225-M225</f>
        <v>9900000</v>
      </c>
      <c r="O225" s="266" t="s">
        <v>2962</v>
      </c>
      <c r="P225" s="267">
        <v>1</v>
      </c>
      <c r="Q225" s="268"/>
      <c r="R225" s="23"/>
      <c r="S225" s="23"/>
      <c r="T225" s="23"/>
      <c r="U225" s="23"/>
      <c r="V225" s="10"/>
      <c r="W225" s="10"/>
      <c r="X225" s="10"/>
    </row>
    <row r="226" spans="1:24" s="9" customFormat="1" ht="13.5" customHeight="1" x14ac:dyDescent="0.2">
      <c r="A226" s="273">
        <v>222</v>
      </c>
      <c r="B226" s="244" t="s">
        <v>2976</v>
      </c>
      <c r="C226" s="148">
        <v>43979</v>
      </c>
      <c r="D226" s="245">
        <v>101500000</v>
      </c>
      <c r="E226" s="245"/>
      <c r="F226" s="184">
        <f t="shared" si="63"/>
        <v>101500000</v>
      </c>
      <c r="G226" s="110">
        <v>13533333</v>
      </c>
      <c r="H226" s="184">
        <f t="shared" si="62"/>
        <v>87966667</v>
      </c>
      <c r="I226" s="186">
        <v>5</v>
      </c>
      <c r="J226" s="186">
        <v>0.2</v>
      </c>
      <c r="K226" s="68">
        <v>12</v>
      </c>
      <c r="L226" s="185">
        <f t="shared" si="64"/>
        <v>20300000</v>
      </c>
      <c r="M226" s="185">
        <f t="shared" si="65"/>
        <v>33833333</v>
      </c>
      <c r="N226" s="184">
        <f t="shared" si="66"/>
        <v>67666667</v>
      </c>
      <c r="O226" s="266" t="s">
        <v>2975</v>
      </c>
      <c r="P226" s="267">
        <v>1</v>
      </c>
      <c r="Q226" s="268"/>
      <c r="R226" s="23"/>
      <c r="S226" s="23"/>
      <c r="T226" s="23"/>
      <c r="U226" s="23"/>
      <c r="V226" s="10"/>
      <c r="W226" s="10"/>
      <c r="X226" s="10"/>
    </row>
    <row r="227" spans="1:24" s="9" customFormat="1" ht="13.5" customHeight="1" x14ac:dyDescent="0.2">
      <c r="A227" s="273">
        <v>223</v>
      </c>
      <c r="B227" s="244" t="s">
        <v>3000</v>
      </c>
      <c r="C227" s="148">
        <v>44057</v>
      </c>
      <c r="D227" s="245">
        <v>28000000</v>
      </c>
      <c r="E227" s="245"/>
      <c r="F227" s="184">
        <f>+D227+E227</f>
        <v>28000000</v>
      </c>
      <c r="G227" s="110">
        <v>2333333</v>
      </c>
      <c r="H227" s="184">
        <f>+F227-G227</f>
        <v>25666667</v>
      </c>
      <c r="I227" s="186">
        <v>5</v>
      </c>
      <c r="J227" s="186">
        <v>0.2</v>
      </c>
      <c r="K227" s="68">
        <v>12</v>
      </c>
      <c r="L227" s="185">
        <f t="shared" si="64"/>
        <v>5600000</v>
      </c>
      <c r="M227" s="185">
        <f t="shared" si="65"/>
        <v>7933333</v>
      </c>
      <c r="N227" s="184">
        <f t="shared" si="66"/>
        <v>20066667</v>
      </c>
      <c r="O227" s="266" t="s">
        <v>3002</v>
      </c>
      <c r="P227" s="267">
        <v>1</v>
      </c>
      <c r="Q227" s="268"/>
      <c r="R227" s="23"/>
      <c r="S227" s="23"/>
      <c r="T227" s="23"/>
      <c r="U227" s="23"/>
      <c r="V227" s="10"/>
      <c r="W227" s="10"/>
      <c r="X227" s="10"/>
    </row>
    <row r="228" spans="1:24" s="9" customFormat="1" ht="13.5" customHeight="1" x14ac:dyDescent="0.2">
      <c r="A228" s="273">
        <v>224</v>
      </c>
      <c r="B228" s="244" t="s">
        <v>3001</v>
      </c>
      <c r="C228" s="148">
        <v>44091</v>
      </c>
      <c r="D228" s="245">
        <v>107000000</v>
      </c>
      <c r="E228" s="245"/>
      <c r="F228" s="184">
        <f>+D228+E228</f>
        <v>107000000</v>
      </c>
      <c r="G228" s="110">
        <v>7133333</v>
      </c>
      <c r="H228" s="184">
        <f>+F228-G228</f>
        <v>99866667</v>
      </c>
      <c r="I228" s="186">
        <v>5</v>
      </c>
      <c r="J228" s="186">
        <v>0.2</v>
      </c>
      <c r="K228" s="68">
        <v>12</v>
      </c>
      <c r="L228" s="185">
        <f t="shared" si="64"/>
        <v>21400000</v>
      </c>
      <c r="M228" s="185">
        <f t="shared" si="65"/>
        <v>28533333</v>
      </c>
      <c r="N228" s="184">
        <f t="shared" si="66"/>
        <v>78466667</v>
      </c>
      <c r="O228" s="266" t="s">
        <v>3003</v>
      </c>
      <c r="P228" s="267">
        <v>1</v>
      </c>
      <c r="Q228" s="268"/>
      <c r="R228" s="23"/>
      <c r="S228" s="23"/>
      <c r="T228" s="23"/>
      <c r="U228" s="23"/>
      <c r="V228" s="10"/>
      <c r="W228" s="10"/>
      <c r="X228" s="10"/>
    </row>
    <row r="229" spans="1:24" s="9" customFormat="1" ht="13.5" customHeight="1" x14ac:dyDescent="0.2">
      <c r="A229" s="273">
        <v>225</v>
      </c>
      <c r="B229" s="244" t="s">
        <v>3024</v>
      </c>
      <c r="C229" s="148">
        <v>44271</v>
      </c>
      <c r="D229" s="245"/>
      <c r="E229" s="245">
        <v>3800000</v>
      </c>
      <c r="F229" s="184">
        <f>+D229+E229</f>
        <v>3800000</v>
      </c>
      <c r="G229" s="110"/>
      <c r="H229" s="184">
        <f>+F229-G229</f>
        <v>3800000</v>
      </c>
      <c r="I229" s="186">
        <v>5</v>
      </c>
      <c r="J229" s="186">
        <v>0.2</v>
      </c>
      <c r="K229" s="68">
        <v>10</v>
      </c>
      <c r="L229" s="185">
        <f t="shared" si="64"/>
        <v>633333</v>
      </c>
      <c r="M229" s="185">
        <f t="shared" si="65"/>
        <v>633333</v>
      </c>
      <c r="N229" s="184">
        <f t="shared" si="66"/>
        <v>3166667</v>
      </c>
      <c r="O229" s="809" t="s">
        <v>3023</v>
      </c>
      <c r="P229" s="267">
        <v>1</v>
      </c>
      <c r="Q229" s="268"/>
      <c r="R229" s="23"/>
      <c r="S229" s="23"/>
      <c r="T229" s="23"/>
      <c r="U229" s="23"/>
      <c r="V229" s="10"/>
      <c r="W229" s="10"/>
      <c r="X229" s="10"/>
    </row>
    <row r="230" spans="1:24" s="9" customFormat="1" ht="13.5" customHeight="1" x14ac:dyDescent="0.2">
      <c r="A230" s="273">
        <v>226</v>
      </c>
      <c r="B230" s="244" t="s">
        <v>3043</v>
      </c>
      <c r="C230" s="148">
        <v>44312</v>
      </c>
      <c r="D230" s="245"/>
      <c r="E230" s="245">
        <v>68000000</v>
      </c>
      <c r="F230" s="184">
        <f t="shared" ref="F230:F234" si="67">+D230+E230</f>
        <v>68000000</v>
      </c>
      <c r="G230" s="110"/>
      <c r="H230" s="184">
        <f t="shared" ref="H230:H234" si="68">+F230-G230</f>
        <v>68000000</v>
      </c>
      <c r="I230" s="186">
        <v>5</v>
      </c>
      <c r="J230" s="186">
        <v>0.2</v>
      </c>
      <c r="K230" s="68">
        <v>9</v>
      </c>
      <c r="L230" s="185">
        <f t="shared" si="64"/>
        <v>10200000</v>
      </c>
      <c r="M230" s="185">
        <f t="shared" si="65"/>
        <v>10200000</v>
      </c>
      <c r="N230" s="184">
        <f t="shared" si="66"/>
        <v>57800000</v>
      </c>
      <c r="O230" s="809" t="s">
        <v>3045</v>
      </c>
      <c r="P230" s="267">
        <v>1</v>
      </c>
      <c r="Q230" s="268"/>
      <c r="R230" s="23"/>
      <c r="S230" s="23"/>
      <c r="T230" s="23"/>
      <c r="U230" s="23"/>
      <c r="V230" s="10"/>
      <c r="W230" s="10"/>
      <c r="X230" s="10"/>
    </row>
    <row r="231" spans="1:24" s="9" customFormat="1" ht="13.5" customHeight="1" x14ac:dyDescent="0.2">
      <c r="A231" s="273">
        <v>227</v>
      </c>
      <c r="B231" s="244" t="s">
        <v>3044</v>
      </c>
      <c r="C231" s="148">
        <v>44316</v>
      </c>
      <c r="D231" s="245"/>
      <c r="E231" s="245">
        <v>54000000</v>
      </c>
      <c r="F231" s="184">
        <f t="shared" si="67"/>
        <v>54000000</v>
      </c>
      <c r="G231" s="110"/>
      <c r="H231" s="184">
        <f t="shared" si="68"/>
        <v>54000000</v>
      </c>
      <c r="I231" s="186">
        <v>5</v>
      </c>
      <c r="J231" s="186">
        <v>0.2</v>
      </c>
      <c r="K231" s="68">
        <v>9</v>
      </c>
      <c r="L231" s="185">
        <f t="shared" si="64"/>
        <v>8100000</v>
      </c>
      <c r="M231" s="185">
        <f t="shared" si="65"/>
        <v>8100000</v>
      </c>
      <c r="N231" s="184">
        <f t="shared" si="66"/>
        <v>45900000</v>
      </c>
      <c r="O231" s="809" t="s">
        <v>3046</v>
      </c>
      <c r="P231" s="267">
        <v>1</v>
      </c>
      <c r="Q231" s="268"/>
      <c r="R231" s="23"/>
      <c r="S231" s="23"/>
      <c r="T231" s="23"/>
      <c r="U231" s="23"/>
      <c r="V231" s="10"/>
      <c r="W231" s="10"/>
      <c r="X231" s="10"/>
    </row>
    <row r="232" spans="1:24" s="9" customFormat="1" ht="13.5" customHeight="1" x14ac:dyDescent="0.2">
      <c r="A232" s="273">
        <v>228</v>
      </c>
      <c r="B232" s="244" t="s">
        <v>3061</v>
      </c>
      <c r="C232" s="148">
        <v>44405</v>
      </c>
      <c r="D232" s="245"/>
      <c r="E232" s="245">
        <v>70000000</v>
      </c>
      <c r="F232" s="184">
        <f t="shared" si="67"/>
        <v>70000000</v>
      </c>
      <c r="G232" s="110"/>
      <c r="H232" s="184">
        <f t="shared" si="68"/>
        <v>70000000</v>
      </c>
      <c r="I232" s="186">
        <v>5</v>
      </c>
      <c r="J232" s="186">
        <v>0.2</v>
      </c>
      <c r="K232" s="68">
        <v>6</v>
      </c>
      <c r="L232" s="185">
        <f t="shared" si="64"/>
        <v>7000000</v>
      </c>
      <c r="M232" s="185">
        <f t="shared" si="65"/>
        <v>7000000</v>
      </c>
      <c r="N232" s="184">
        <f t="shared" si="66"/>
        <v>63000000</v>
      </c>
      <c r="O232" s="809" t="s">
        <v>586</v>
      </c>
      <c r="P232" s="267">
        <v>1</v>
      </c>
      <c r="Q232" s="268" t="s">
        <v>3064</v>
      </c>
      <c r="R232" s="23"/>
      <c r="S232" s="23"/>
      <c r="T232" s="23"/>
      <c r="U232" s="23"/>
      <c r="V232" s="10"/>
      <c r="W232" s="10"/>
      <c r="X232" s="10"/>
    </row>
    <row r="233" spans="1:24" s="9" customFormat="1" ht="13.5" customHeight="1" x14ac:dyDescent="0.2">
      <c r="A233" s="273">
        <v>229</v>
      </c>
      <c r="B233" s="244" t="s">
        <v>709</v>
      </c>
      <c r="C233" s="148">
        <v>44405</v>
      </c>
      <c r="D233" s="245"/>
      <c r="E233" s="245">
        <v>24000000</v>
      </c>
      <c r="F233" s="184">
        <f t="shared" si="67"/>
        <v>24000000</v>
      </c>
      <c r="G233" s="110"/>
      <c r="H233" s="184">
        <f t="shared" si="68"/>
        <v>24000000</v>
      </c>
      <c r="I233" s="186">
        <v>5</v>
      </c>
      <c r="J233" s="186">
        <v>0.2</v>
      </c>
      <c r="K233" s="68">
        <v>6</v>
      </c>
      <c r="L233" s="185">
        <f t="shared" si="64"/>
        <v>2400000</v>
      </c>
      <c r="M233" s="185">
        <f t="shared" si="65"/>
        <v>2400000</v>
      </c>
      <c r="N233" s="184">
        <f t="shared" si="66"/>
        <v>21600000</v>
      </c>
      <c r="O233" s="809" t="s">
        <v>586</v>
      </c>
      <c r="P233" s="267">
        <v>1</v>
      </c>
      <c r="Q233" s="268" t="s">
        <v>3064</v>
      </c>
      <c r="R233" s="23"/>
      <c r="S233" s="23"/>
      <c r="T233" s="23"/>
      <c r="U233" s="23"/>
      <c r="V233" s="10"/>
      <c r="W233" s="10"/>
      <c r="X233" s="10"/>
    </row>
    <row r="234" spans="1:24" s="9" customFormat="1" ht="13.5" customHeight="1" x14ac:dyDescent="0.2">
      <c r="A234" s="273">
        <v>230</v>
      </c>
      <c r="B234" s="244" t="s">
        <v>3062</v>
      </c>
      <c r="C234" s="148">
        <v>44431</v>
      </c>
      <c r="D234" s="245"/>
      <c r="E234" s="245">
        <v>25700000</v>
      </c>
      <c r="F234" s="184">
        <f t="shared" si="67"/>
        <v>25700000</v>
      </c>
      <c r="G234" s="110"/>
      <c r="H234" s="184">
        <f t="shared" si="68"/>
        <v>25700000</v>
      </c>
      <c r="I234" s="186">
        <v>5</v>
      </c>
      <c r="J234" s="186">
        <v>0.2</v>
      </c>
      <c r="K234" s="68">
        <v>5</v>
      </c>
      <c r="L234" s="185">
        <f t="shared" si="64"/>
        <v>2141667</v>
      </c>
      <c r="M234" s="185">
        <f t="shared" si="65"/>
        <v>2141667</v>
      </c>
      <c r="N234" s="184">
        <f t="shared" si="66"/>
        <v>23558333</v>
      </c>
      <c r="O234" s="809" t="s">
        <v>3063</v>
      </c>
      <c r="P234" s="267">
        <v>1</v>
      </c>
      <c r="Q234" s="268"/>
      <c r="R234" s="23"/>
      <c r="S234" s="23"/>
      <c r="T234" s="23"/>
      <c r="U234" s="23"/>
      <c r="V234" s="10"/>
      <c r="W234" s="10"/>
      <c r="X234" s="10"/>
    </row>
    <row r="235" spans="1:24" s="9" customFormat="1" ht="13.5" customHeight="1" x14ac:dyDescent="0.2">
      <c r="A235" s="273">
        <v>231</v>
      </c>
      <c r="B235" s="244" t="s">
        <v>356</v>
      </c>
      <c r="C235" s="148">
        <v>44494</v>
      </c>
      <c r="D235" s="245"/>
      <c r="E235" s="245">
        <v>49800000</v>
      </c>
      <c r="F235" s="184">
        <f t="shared" ref="F235:F238" si="69">+D235+E235</f>
        <v>49800000</v>
      </c>
      <c r="G235" s="110"/>
      <c r="H235" s="184">
        <f t="shared" ref="H235:H238" si="70">+F235-G235</f>
        <v>49800000</v>
      </c>
      <c r="I235" s="186">
        <v>5</v>
      </c>
      <c r="J235" s="186">
        <v>0.2</v>
      </c>
      <c r="K235" s="68">
        <v>3</v>
      </c>
      <c r="L235" s="185">
        <f t="shared" ref="L235:L238" si="71">ROUND(IF(F235*J235*K235/12&gt;=H235,H235-1000,F235*J235*K235/12),0)</f>
        <v>2490000</v>
      </c>
      <c r="M235" s="185">
        <f t="shared" ref="M235:M238" si="72">+G235+L235</f>
        <v>2490000</v>
      </c>
      <c r="N235" s="184">
        <f t="shared" ref="N235:N238" si="73">+F235-M235</f>
        <v>47310000</v>
      </c>
      <c r="O235" s="809" t="s">
        <v>3063</v>
      </c>
      <c r="P235" s="267">
        <v>1</v>
      </c>
      <c r="Q235" s="268"/>
      <c r="R235" s="23"/>
      <c r="S235" s="23"/>
      <c r="T235" s="23"/>
      <c r="U235" s="23"/>
      <c r="V235" s="10"/>
      <c r="W235" s="10"/>
      <c r="X235" s="10"/>
    </row>
    <row r="236" spans="1:24" s="9" customFormat="1" ht="13.5" customHeight="1" x14ac:dyDescent="0.2">
      <c r="A236" s="273">
        <v>232</v>
      </c>
      <c r="B236" s="244" t="s">
        <v>3103</v>
      </c>
      <c r="C236" s="148">
        <v>44494</v>
      </c>
      <c r="D236" s="245"/>
      <c r="E236" s="245">
        <v>36000000</v>
      </c>
      <c r="F236" s="184">
        <f t="shared" si="69"/>
        <v>36000000</v>
      </c>
      <c r="G236" s="110"/>
      <c r="H236" s="184">
        <f t="shared" si="70"/>
        <v>36000000</v>
      </c>
      <c r="I236" s="186">
        <v>5</v>
      </c>
      <c r="J236" s="186">
        <v>0.2</v>
      </c>
      <c r="K236" s="68">
        <v>3</v>
      </c>
      <c r="L236" s="185">
        <f t="shared" si="71"/>
        <v>1800000</v>
      </c>
      <c r="M236" s="185">
        <f t="shared" si="72"/>
        <v>1800000</v>
      </c>
      <c r="N236" s="184">
        <f t="shared" si="73"/>
        <v>34200000</v>
      </c>
      <c r="O236" s="809" t="s">
        <v>3063</v>
      </c>
      <c r="P236" s="267">
        <v>1</v>
      </c>
      <c r="Q236" s="268"/>
      <c r="R236" s="23"/>
      <c r="S236" s="23"/>
      <c r="T236" s="23"/>
      <c r="U236" s="23"/>
      <c r="V236" s="10"/>
      <c r="W236" s="10"/>
      <c r="X236" s="10"/>
    </row>
    <row r="237" spans="1:24" s="9" customFormat="1" ht="13.5" customHeight="1" x14ac:dyDescent="0.2">
      <c r="A237" s="273">
        <v>233</v>
      </c>
      <c r="B237" s="244" t="s">
        <v>3104</v>
      </c>
      <c r="C237" s="148">
        <v>44544</v>
      </c>
      <c r="D237" s="245"/>
      <c r="E237" s="245">
        <v>35000000</v>
      </c>
      <c r="F237" s="184">
        <f t="shared" si="69"/>
        <v>35000000</v>
      </c>
      <c r="G237" s="110"/>
      <c r="H237" s="184">
        <f t="shared" si="70"/>
        <v>35000000</v>
      </c>
      <c r="I237" s="186">
        <v>5</v>
      </c>
      <c r="J237" s="186">
        <v>0.2</v>
      </c>
      <c r="K237" s="68">
        <v>1</v>
      </c>
      <c r="L237" s="185">
        <f t="shared" si="71"/>
        <v>583333</v>
      </c>
      <c r="M237" s="185">
        <f t="shared" si="72"/>
        <v>583333</v>
      </c>
      <c r="N237" s="184">
        <f t="shared" si="73"/>
        <v>34416667</v>
      </c>
      <c r="O237" s="809" t="s">
        <v>1660</v>
      </c>
      <c r="P237" s="267">
        <v>1</v>
      </c>
      <c r="Q237" s="268"/>
      <c r="R237" s="23"/>
      <c r="S237" s="23"/>
      <c r="T237" s="23"/>
      <c r="U237" s="23"/>
      <c r="V237" s="10"/>
      <c r="W237" s="10"/>
      <c r="X237" s="10"/>
    </row>
    <row r="238" spans="1:24" s="9" customFormat="1" ht="13.5" customHeight="1" x14ac:dyDescent="0.2">
      <c r="A238" s="273">
        <v>234</v>
      </c>
      <c r="B238" s="244" t="s">
        <v>3105</v>
      </c>
      <c r="C238" s="148">
        <v>44544</v>
      </c>
      <c r="D238" s="245"/>
      <c r="E238" s="245">
        <v>80000000</v>
      </c>
      <c r="F238" s="184">
        <f t="shared" si="69"/>
        <v>80000000</v>
      </c>
      <c r="G238" s="110"/>
      <c r="H238" s="184">
        <f t="shared" si="70"/>
        <v>80000000</v>
      </c>
      <c r="I238" s="186">
        <v>5</v>
      </c>
      <c r="J238" s="186">
        <v>0.2</v>
      </c>
      <c r="K238" s="68">
        <v>1</v>
      </c>
      <c r="L238" s="185">
        <f t="shared" si="71"/>
        <v>1333333</v>
      </c>
      <c r="M238" s="185">
        <f t="shared" si="72"/>
        <v>1333333</v>
      </c>
      <c r="N238" s="184">
        <f t="shared" si="73"/>
        <v>78666667</v>
      </c>
      <c r="O238" s="809" t="s">
        <v>1660</v>
      </c>
      <c r="P238" s="267">
        <v>1</v>
      </c>
      <c r="Q238" s="268"/>
      <c r="R238" s="23"/>
      <c r="S238" s="23"/>
      <c r="T238" s="23"/>
      <c r="U238" s="23"/>
      <c r="V238" s="10"/>
      <c r="W238" s="10"/>
      <c r="X238" s="10"/>
    </row>
    <row r="239" spans="1:24" s="9" customFormat="1" ht="13.5" customHeight="1" thickBot="1" x14ac:dyDescent="0.25">
      <c r="A239" s="127"/>
      <c r="B239" s="274"/>
      <c r="C239" s="129"/>
      <c r="D239" s="130"/>
      <c r="E239" s="275"/>
      <c r="F239" s="184"/>
      <c r="G239" s="110"/>
      <c r="H239" s="67"/>
      <c r="I239" s="68"/>
      <c r="J239" s="68"/>
      <c r="K239" s="68"/>
      <c r="L239" s="110"/>
      <c r="M239" s="110"/>
      <c r="N239" s="67"/>
      <c r="O239" s="276"/>
      <c r="P239" s="277"/>
      <c r="Q239" s="131"/>
      <c r="R239" s="23"/>
      <c r="S239" s="23">
        <f t="shared" si="51"/>
        <v>0</v>
      </c>
      <c r="T239" s="23">
        <f t="shared" si="47"/>
        <v>0</v>
      </c>
      <c r="U239" s="23">
        <f t="shared" si="48"/>
        <v>-1000</v>
      </c>
      <c r="V239" s="10" t="e">
        <f t="shared" si="49"/>
        <v>#DIV/0!</v>
      </c>
      <c r="W239" s="10">
        <f t="shared" si="55"/>
        <v>0</v>
      </c>
      <c r="X239" s="10">
        <f t="shared" si="50"/>
        <v>0</v>
      </c>
    </row>
    <row r="240" spans="1:24" s="9" customFormat="1" ht="13.5" customHeight="1" thickTop="1" thickBot="1" x14ac:dyDescent="0.25">
      <c r="A240" s="95"/>
      <c r="B240" s="278" t="s">
        <v>118</v>
      </c>
      <c r="C240" s="97"/>
      <c r="D240" s="98">
        <f>ROUND(SUM(D5:D239),0)</f>
        <v>7847175669</v>
      </c>
      <c r="E240" s="98">
        <f>ROUND(SUM(E5:E239),0)</f>
        <v>-87274000</v>
      </c>
      <c r="F240" s="98">
        <f>ROUND(SUM(F5:F239),0)</f>
        <v>7759901669</v>
      </c>
      <c r="G240" s="141">
        <f>ROUND(SUM(G5:G239),0)</f>
        <v>6877214373</v>
      </c>
      <c r="H240" s="98">
        <f>ROUND(SUM(H5:H239),0)</f>
        <v>1416259296</v>
      </c>
      <c r="I240" s="98"/>
      <c r="J240" s="98"/>
      <c r="K240" s="98"/>
      <c r="L240" s="123">
        <f>ROUND(SUM(L5:L239),0)</f>
        <v>359624893</v>
      </c>
      <c r="M240" s="98">
        <f>ROUND(SUM(M5:M239),0)</f>
        <v>6703267266</v>
      </c>
      <c r="N240" s="98">
        <f>ROUND(SUM(N5:N239),0)</f>
        <v>1056634403</v>
      </c>
      <c r="O240" s="100"/>
      <c r="P240" s="100"/>
      <c r="Q240" s="101"/>
      <c r="R240" s="23"/>
      <c r="S240" s="23"/>
      <c r="T240" s="23"/>
      <c r="U240" s="23"/>
      <c r="V240" s="10"/>
      <c r="W240" s="279">
        <f>SUM(W5:W239)</f>
        <v>191362094</v>
      </c>
    </row>
  </sheetData>
  <autoFilter ref="A4:Y240"/>
  <mergeCells count="2">
    <mergeCell ref="B1:Q1"/>
    <mergeCell ref="S3:T3"/>
  </mergeCells>
  <phoneticPr fontId="4" type="noConversion"/>
  <printOptions horizontalCentered="1"/>
  <pageMargins left="0.39370078740157483" right="0.23622047244094491" top="0.43307086614173229" bottom="0.39370078740157483" header="0.35433070866141736" footer="0.31496062992125984"/>
  <pageSetup paperSize="9" scale="54" orientation="landscape" r:id="rId1"/>
  <headerFooter alignWithMargins="0"/>
  <rowBreaks count="3" manualBreakCount="3">
    <brk id="56" max="16" man="1"/>
    <brk id="111" max="16" man="1"/>
    <brk id="171" max="16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78"/>
  <sheetViews>
    <sheetView zoomScaleNormal="100" workbookViewId="0">
      <pane xSplit="3" ySplit="4" topLeftCell="D355" activePane="bottomRight" state="frozenSplit"/>
      <selection activeCell="H18" sqref="H18"/>
      <selection pane="topRight" activeCell="H18" sqref="H18"/>
      <selection pane="bottomLeft" activeCell="H18" sqref="H18"/>
      <selection pane="bottomRight" activeCell="H18" sqref="H18"/>
    </sheetView>
  </sheetViews>
  <sheetFormatPr defaultRowHeight="16.5" x14ac:dyDescent="0.3"/>
  <cols>
    <col min="1" max="1" width="6.140625" style="48" customWidth="1"/>
    <col min="2" max="2" width="29.28515625" style="459" customWidth="1"/>
    <col min="3" max="3" width="12.5703125" style="44" customWidth="1"/>
    <col min="4" max="5" width="15.140625" style="44" customWidth="1"/>
    <col min="6" max="6" width="14.7109375" style="44" customWidth="1"/>
    <col min="7" max="7" width="15.140625" style="142" customWidth="1"/>
    <col min="8" max="8" width="15.140625" style="44" customWidth="1"/>
    <col min="9" max="9" width="5.42578125" style="44" customWidth="1"/>
    <col min="10" max="10" width="7.42578125" style="44" customWidth="1"/>
    <col min="11" max="11" width="5.140625" style="44" customWidth="1"/>
    <col min="12" max="12" width="15.140625" style="142" customWidth="1"/>
    <col min="13" max="13" width="16.85546875" style="142" customWidth="1"/>
    <col min="14" max="14" width="14.85546875" style="44" customWidth="1"/>
    <col min="15" max="15" width="15.7109375" style="45" customWidth="1"/>
    <col min="16" max="16" width="6.5703125" style="45" customWidth="1"/>
    <col min="17" max="17" width="13.42578125" style="44" customWidth="1"/>
    <col min="18" max="19" width="11.42578125" style="44" hidden="1" customWidth="1"/>
    <col min="20" max="21" width="13" style="44" hidden="1" customWidth="1"/>
    <col min="22" max="22" width="13.85546875" style="142" hidden="1" customWidth="1"/>
    <col min="23" max="23" width="14.5703125" style="142" hidden="1" customWidth="1"/>
    <col min="24" max="25" width="11.42578125" style="44" hidden="1" customWidth="1"/>
    <col min="26" max="26" width="11.42578125" style="44" customWidth="1"/>
    <col min="27" max="16384" width="9.140625" style="44"/>
  </cols>
  <sheetData>
    <row r="1" spans="1:24" ht="31.5" x14ac:dyDescent="0.55000000000000004">
      <c r="B1" s="847" t="s">
        <v>3096</v>
      </c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</row>
    <row r="3" spans="1:24" s="9" customFormat="1" ht="13.5" customHeight="1" thickBot="1" x14ac:dyDescent="0.25">
      <c r="A3" s="9" t="s">
        <v>588</v>
      </c>
      <c r="B3" s="280"/>
      <c r="G3" s="10"/>
      <c r="L3" s="10"/>
      <c r="M3" s="10"/>
      <c r="O3" s="45"/>
      <c r="P3" s="45"/>
      <c r="Q3" s="49" t="s">
        <v>82</v>
      </c>
      <c r="S3" s="848"/>
      <c r="T3" s="848"/>
      <c r="V3" s="10"/>
      <c r="W3" s="10"/>
    </row>
    <row r="4" spans="1:24" s="9" customFormat="1" ht="13.5" customHeight="1" thickBot="1" x14ac:dyDescent="0.25">
      <c r="A4" s="50" t="s">
        <v>44</v>
      </c>
      <c r="B4" s="51" t="s">
        <v>589</v>
      </c>
      <c r="C4" s="52" t="s">
        <v>590</v>
      </c>
      <c r="D4" s="53" t="s">
        <v>591</v>
      </c>
      <c r="E4" s="53" t="s">
        <v>86</v>
      </c>
      <c r="F4" s="53" t="s">
        <v>592</v>
      </c>
      <c r="G4" s="135" t="s">
        <v>593</v>
      </c>
      <c r="H4" s="53" t="s">
        <v>594</v>
      </c>
      <c r="I4" s="53" t="s">
        <v>51</v>
      </c>
      <c r="J4" s="53" t="s">
        <v>595</v>
      </c>
      <c r="K4" s="53" t="s">
        <v>596</v>
      </c>
      <c r="L4" s="135" t="s">
        <v>597</v>
      </c>
      <c r="M4" s="135" t="s">
        <v>128</v>
      </c>
      <c r="N4" s="53" t="s">
        <v>145</v>
      </c>
      <c r="O4" s="54" t="s">
        <v>598</v>
      </c>
      <c r="P4" s="54" t="s">
        <v>599</v>
      </c>
      <c r="Q4" s="55" t="s">
        <v>59</v>
      </c>
      <c r="R4" s="9" t="s">
        <v>600</v>
      </c>
      <c r="S4" s="45" t="s">
        <v>199</v>
      </c>
      <c r="T4" s="45" t="s">
        <v>601</v>
      </c>
      <c r="U4" s="9" t="s">
        <v>602</v>
      </c>
      <c r="V4" s="10" t="s">
        <v>603</v>
      </c>
      <c r="W4" s="10" t="s">
        <v>604</v>
      </c>
      <c r="X4" s="9" t="s">
        <v>605</v>
      </c>
    </row>
    <row r="5" spans="1:24" s="9" customFormat="1" ht="13.5" customHeight="1" thickTop="1" x14ac:dyDescent="0.2">
      <c r="A5" s="281" t="s">
        <v>60</v>
      </c>
      <c r="B5" s="282" t="s">
        <v>606</v>
      </c>
      <c r="C5" s="283">
        <v>36566</v>
      </c>
      <c r="D5" s="284">
        <v>0</v>
      </c>
      <c r="E5" s="284"/>
      <c r="F5" s="284">
        <f>D5+E5</f>
        <v>0</v>
      </c>
      <c r="G5" s="285">
        <v>0</v>
      </c>
      <c r="H5" s="284"/>
      <c r="I5" s="286">
        <v>5</v>
      </c>
      <c r="J5" s="286"/>
      <c r="K5" s="286">
        <v>0</v>
      </c>
      <c r="L5" s="287"/>
      <c r="M5" s="285">
        <f t="shared" ref="M5:M60" si="0">+G5+L5</f>
        <v>0</v>
      </c>
      <c r="N5" s="284">
        <f t="shared" ref="N5:N60" si="1">+F5-M5</f>
        <v>0</v>
      </c>
      <c r="O5" s="288"/>
      <c r="P5" s="288"/>
      <c r="Q5" s="289"/>
      <c r="R5" s="290"/>
      <c r="S5" s="290">
        <f t="shared" ref="S5:S68" si="2">D5*0.05</f>
        <v>0</v>
      </c>
      <c r="T5" s="290">
        <f t="shared" ref="T5:T68" si="3">N5-S5</f>
        <v>0</v>
      </c>
      <c r="U5" s="290"/>
      <c r="V5" s="291">
        <f t="shared" ref="V5:V68" si="4">F5/I5</f>
        <v>0</v>
      </c>
      <c r="W5" s="10">
        <f t="shared" ref="W5:W68" si="5">ROUND(IF(H5&lt;=1000,0,V5/12*3),0)</f>
        <v>0</v>
      </c>
      <c r="X5" s="10">
        <f t="shared" ref="X5:X68" si="6">L5-W5</f>
        <v>0</v>
      </c>
    </row>
    <row r="6" spans="1:24" s="9" customFormat="1" ht="13.5" customHeight="1" x14ac:dyDescent="0.2">
      <c r="A6" s="64">
        <f t="shared" ref="A6:A69" si="7">+A5+1</f>
        <v>2</v>
      </c>
      <c r="B6" s="77" t="s">
        <v>607</v>
      </c>
      <c r="C6" s="163">
        <v>36578</v>
      </c>
      <c r="D6" s="67">
        <v>62401094</v>
      </c>
      <c r="E6" s="67"/>
      <c r="F6" s="67">
        <f t="shared" ref="F6:F60" si="8">+D6+E6</f>
        <v>62401094</v>
      </c>
      <c r="G6" s="110">
        <v>62400094</v>
      </c>
      <c r="H6" s="67">
        <f t="shared" ref="H6:H55" si="9">+F6-G6</f>
        <v>1000</v>
      </c>
      <c r="I6" s="68">
        <v>5</v>
      </c>
      <c r="J6" s="68">
        <v>0.2</v>
      </c>
      <c r="K6" s="68">
        <v>0</v>
      </c>
      <c r="L6" s="110"/>
      <c r="M6" s="110">
        <f t="shared" si="0"/>
        <v>62400094</v>
      </c>
      <c r="N6" s="67">
        <f t="shared" si="1"/>
        <v>1000</v>
      </c>
      <c r="O6" s="111"/>
      <c r="P6" s="111"/>
      <c r="Q6" s="70"/>
      <c r="R6" s="23"/>
      <c r="S6" s="23">
        <f t="shared" si="2"/>
        <v>3120054.7</v>
      </c>
      <c r="T6" s="23">
        <f t="shared" si="3"/>
        <v>-3119054.7</v>
      </c>
      <c r="U6" s="23">
        <f>N6-1000</f>
        <v>0</v>
      </c>
      <c r="V6" s="10">
        <f t="shared" si="4"/>
        <v>12480218.800000001</v>
      </c>
      <c r="W6" s="10">
        <f t="shared" si="5"/>
        <v>0</v>
      </c>
      <c r="X6" s="10">
        <f t="shared" si="6"/>
        <v>0</v>
      </c>
    </row>
    <row r="7" spans="1:24" s="9" customFormat="1" ht="13.5" customHeight="1" x14ac:dyDescent="0.2">
      <c r="A7" s="64">
        <f t="shared" si="7"/>
        <v>3</v>
      </c>
      <c r="B7" s="77" t="s">
        <v>608</v>
      </c>
      <c r="C7" s="163">
        <v>36578</v>
      </c>
      <c r="D7" s="67">
        <v>12000000</v>
      </c>
      <c r="E7" s="67"/>
      <c r="F7" s="67">
        <f t="shared" si="8"/>
        <v>12000000</v>
      </c>
      <c r="G7" s="110">
        <v>11999000</v>
      </c>
      <c r="H7" s="67">
        <f t="shared" si="9"/>
        <v>1000</v>
      </c>
      <c r="I7" s="68">
        <v>5</v>
      </c>
      <c r="J7" s="68">
        <v>0.2</v>
      </c>
      <c r="K7" s="68">
        <v>0</v>
      </c>
      <c r="L7" s="110"/>
      <c r="M7" s="110">
        <f t="shared" si="0"/>
        <v>11999000</v>
      </c>
      <c r="N7" s="67">
        <f t="shared" si="1"/>
        <v>1000</v>
      </c>
      <c r="O7" s="111"/>
      <c r="P7" s="111"/>
      <c r="Q7" s="70" t="s">
        <v>609</v>
      </c>
      <c r="R7" s="23"/>
      <c r="S7" s="23">
        <f t="shared" si="2"/>
        <v>600000</v>
      </c>
      <c r="T7" s="23">
        <f t="shared" si="3"/>
        <v>-599000</v>
      </c>
      <c r="U7" s="23">
        <f>N7-1000</f>
        <v>0</v>
      </c>
      <c r="V7" s="10">
        <f t="shared" si="4"/>
        <v>2400000</v>
      </c>
      <c r="W7" s="10">
        <f t="shared" si="5"/>
        <v>0</v>
      </c>
      <c r="X7" s="10">
        <f t="shared" si="6"/>
        <v>0</v>
      </c>
    </row>
    <row r="8" spans="1:24" s="9" customFormat="1" ht="13.5" customHeight="1" x14ac:dyDescent="0.2">
      <c r="A8" s="292">
        <f t="shared" si="7"/>
        <v>4</v>
      </c>
      <c r="B8" s="293" t="s">
        <v>610</v>
      </c>
      <c r="C8" s="294">
        <v>36584</v>
      </c>
      <c r="D8" s="295">
        <v>0</v>
      </c>
      <c r="E8" s="295"/>
      <c r="F8" s="295">
        <f t="shared" si="8"/>
        <v>0</v>
      </c>
      <c r="G8" s="287">
        <v>0</v>
      </c>
      <c r="H8" s="295">
        <f t="shared" si="9"/>
        <v>0</v>
      </c>
      <c r="I8" s="296">
        <v>5</v>
      </c>
      <c r="J8" s="296">
        <v>0.2</v>
      </c>
      <c r="K8" s="296">
        <v>0</v>
      </c>
      <c r="L8" s="287"/>
      <c r="M8" s="287">
        <f t="shared" si="0"/>
        <v>0</v>
      </c>
      <c r="N8" s="295">
        <f t="shared" si="1"/>
        <v>0</v>
      </c>
      <c r="O8" s="297"/>
      <c r="P8" s="297"/>
      <c r="Q8" s="298"/>
      <c r="R8" s="290"/>
      <c r="S8" s="290">
        <f t="shared" si="2"/>
        <v>0</v>
      </c>
      <c r="T8" s="290">
        <f t="shared" si="3"/>
        <v>0</v>
      </c>
      <c r="U8" s="290"/>
      <c r="V8" s="291">
        <f t="shared" si="4"/>
        <v>0</v>
      </c>
      <c r="W8" s="10">
        <f t="shared" si="5"/>
        <v>0</v>
      </c>
      <c r="X8" s="10">
        <f t="shared" si="6"/>
        <v>0</v>
      </c>
    </row>
    <row r="9" spans="1:24" s="9" customFormat="1" ht="13.5" customHeight="1" x14ac:dyDescent="0.2">
      <c r="A9" s="64">
        <f t="shared" si="7"/>
        <v>5</v>
      </c>
      <c r="B9" s="77" t="s">
        <v>611</v>
      </c>
      <c r="C9" s="163">
        <v>36585</v>
      </c>
      <c r="D9" s="67">
        <v>1600000</v>
      </c>
      <c r="E9" s="67"/>
      <c r="F9" s="67">
        <f t="shared" si="8"/>
        <v>1600000</v>
      </c>
      <c r="G9" s="110">
        <v>1599000</v>
      </c>
      <c r="H9" s="67">
        <f t="shared" si="9"/>
        <v>1000</v>
      </c>
      <c r="I9" s="68">
        <v>5</v>
      </c>
      <c r="J9" s="68">
        <v>0.2</v>
      </c>
      <c r="K9" s="68">
        <v>0</v>
      </c>
      <c r="L9" s="110"/>
      <c r="M9" s="110">
        <f t="shared" si="0"/>
        <v>1599000</v>
      </c>
      <c r="N9" s="67">
        <f t="shared" si="1"/>
        <v>1000</v>
      </c>
      <c r="O9" s="111"/>
      <c r="P9" s="111"/>
      <c r="Q9" s="70"/>
      <c r="R9" s="23"/>
      <c r="S9" s="23">
        <f t="shared" si="2"/>
        <v>80000</v>
      </c>
      <c r="T9" s="23">
        <f t="shared" si="3"/>
        <v>-79000</v>
      </c>
      <c r="U9" s="23">
        <f>N9-1000</f>
        <v>0</v>
      </c>
      <c r="V9" s="10">
        <f t="shared" si="4"/>
        <v>320000</v>
      </c>
      <c r="W9" s="10">
        <f t="shared" si="5"/>
        <v>0</v>
      </c>
      <c r="X9" s="10">
        <f t="shared" si="6"/>
        <v>0</v>
      </c>
    </row>
    <row r="10" spans="1:24" s="9" customFormat="1" ht="13.5" customHeight="1" x14ac:dyDescent="0.2">
      <c r="A10" s="64">
        <f t="shared" si="7"/>
        <v>6</v>
      </c>
      <c r="B10" s="77" t="s">
        <v>612</v>
      </c>
      <c r="C10" s="163">
        <v>36587</v>
      </c>
      <c r="D10" s="67">
        <v>2500000</v>
      </c>
      <c r="E10" s="67"/>
      <c r="F10" s="67">
        <f t="shared" si="8"/>
        <v>2500000</v>
      </c>
      <c r="G10" s="110">
        <v>2499000</v>
      </c>
      <c r="H10" s="67">
        <f t="shared" si="9"/>
        <v>1000</v>
      </c>
      <c r="I10" s="68">
        <v>5</v>
      </c>
      <c r="J10" s="68">
        <v>0.2</v>
      </c>
      <c r="K10" s="68">
        <v>0</v>
      </c>
      <c r="L10" s="110"/>
      <c r="M10" s="110">
        <f t="shared" si="0"/>
        <v>2499000</v>
      </c>
      <c r="N10" s="67">
        <f t="shared" si="1"/>
        <v>1000</v>
      </c>
      <c r="O10" s="111"/>
      <c r="P10" s="111"/>
      <c r="Q10" s="70"/>
      <c r="R10" s="23"/>
      <c r="S10" s="23">
        <f t="shared" si="2"/>
        <v>125000</v>
      </c>
      <c r="T10" s="23">
        <f t="shared" si="3"/>
        <v>-124000</v>
      </c>
      <c r="U10" s="23">
        <f>N10-1000</f>
        <v>0</v>
      </c>
      <c r="V10" s="10">
        <f t="shared" si="4"/>
        <v>500000</v>
      </c>
      <c r="W10" s="10">
        <f t="shared" si="5"/>
        <v>0</v>
      </c>
      <c r="X10" s="10">
        <f t="shared" si="6"/>
        <v>0</v>
      </c>
    </row>
    <row r="11" spans="1:24" s="9" customFormat="1" ht="13.5" customHeight="1" x14ac:dyDescent="0.2">
      <c r="A11" s="64">
        <f t="shared" si="7"/>
        <v>7</v>
      </c>
      <c r="B11" s="77" t="s">
        <v>613</v>
      </c>
      <c r="C11" s="163">
        <v>36588</v>
      </c>
      <c r="D11" s="67">
        <v>27000000</v>
      </c>
      <c r="E11" s="67"/>
      <c r="F11" s="67">
        <f t="shared" si="8"/>
        <v>27000000</v>
      </c>
      <c r="G11" s="110">
        <v>26999000</v>
      </c>
      <c r="H11" s="67">
        <f t="shared" si="9"/>
        <v>1000</v>
      </c>
      <c r="I11" s="68">
        <v>5</v>
      </c>
      <c r="J11" s="68">
        <v>0.2</v>
      </c>
      <c r="K11" s="68">
        <v>0</v>
      </c>
      <c r="L11" s="110"/>
      <c r="M11" s="110">
        <f t="shared" si="0"/>
        <v>26999000</v>
      </c>
      <c r="N11" s="67">
        <f t="shared" si="1"/>
        <v>1000</v>
      </c>
      <c r="O11" s="111"/>
      <c r="P11" s="111"/>
      <c r="Q11" s="70"/>
      <c r="R11" s="23"/>
      <c r="S11" s="23">
        <f t="shared" si="2"/>
        <v>1350000</v>
      </c>
      <c r="T11" s="23">
        <f t="shared" si="3"/>
        <v>-1349000</v>
      </c>
      <c r="U11" s="23">
        <f>N11-1000</f>
        <v>0</v>
      </c>
      <c r="V11" s="10">
        <f t="shared" si="4"/>
        <v>5400000</v>
      </c>
      <c r="W11" s="10">
        <f t="shared" si="5"/>
        <v>0</v>
      </c>
      <c r="X11" s="10">
        <f t="shared" si="6"/>
        <v>0</v>
      </c>
    </row>
    <row r="12" spans="1:24" s="9" customFormat="1" ht="13.5" customHeight="1" x14ac:dyDescent="0.2">
      <c r="A12" s="64">
        <f t="shared" si="7"/>
        <v>8</v>
      </c>
      <c r="B12" s="77" t="s">
        <v>614</v>
      </c>
      <c r="C12" s="163">
        <v>36588</v>
      </c>
      <c r="D12" s="67">
        <v>6500000</v>
      </c>
      <c r="E12" s="67"/>
      <c r="F12" s="67">
        <f t="shared" si="8"/>
        <v>6500000</v>
      </c>
      <c r="G12" s="110">
        <v>6499000</v>
      </c>
      <c r="H12" s="67">
        <f t="shared" si="9"/>
        <v>1000</v>
      </c>
      <c r="I12" s="68">
        <v>5</v>
      </c>
      <c r="J12" s="68">
        <v>0.2</v>
      </c>
      <c r="K12" s="68">
        <v>0</v>
      </c>
      <c r="L12" s="110"/>
      <c r="M12" s="110">
        <f t="shared" si="0"/>
        <v>6499000</v>
      </c>
      <c r="N12" s="67">
        <f t="shared" si="1"/>
        <v>1000</v>
      </c>
      <c r="O12" s="111"/>
      <c r="P12" s="111"/>
      <c r="Q12" s="70"/>
      <c r="R12" s="23"/>
      <c r="S12" s="23">
        <f t="shared" si="2"/>
        <v>325000</v>
      </c>
      <c r="T12" s="23">
        <f t="shared" si="3"/>
        <v>-324000</v>
      </c>
      <c r="U12" s="23">
        <f>N12-1000</f>
        <v>0</v>
      </c>
      <c r="V12" s="10">
        <f t="shared" si="4"/>
        <v>1300000</v>
      </c>
      <c r="W12" s="10">
        <f t="shared" si="5"/>
        <v>0</v>
      </c>
      <c r="X12" s="10">
        <f t="shared" si="6"/>
        <v>0</v>
      </c>
    </row>
    <row r="13" spans="1:24" s="9" customFormat="1" ht="13.5" customHeight="1" x14ac:dyDescent="0.2">
      <c r="A13" s="292">
        <f t="shared" si="7"/>
        <v>9</v>
      </c>
      <c r="B13" s="293" t="s">
        <v>615</v>
      </c>
      <c r="C13" s="294">
        <v>36591</v>
      </c>
      <c r="D13" s="295">
        <v>0</v>
      </c>
      <c r="E13" s="295"/>
      <c r="F13" s="295">
        <f t="shared" si="8"/>
        <v>0</v>
      </c>
      <c r="G13" s="287">
        <v>0</v>
      </c>
      <c r="H13" s="295">
        <f t="shared" si="9"/>
        <v>0</v>
      </c>
      <c r="I13" s="296">
        <v>5</v>
      </c>
      <c r="J13" s="296">
        <v>0.2</v>
      </c>
      <c r="K13" s="296">
        <v>0</v>
      </c>
      <c r="L13" s="287"/>
      <c r="M13" s="287">
        <f t="shared" si="0"/>
        <v>0</v>
      </c>
      <c r="N13" s="295">
        <f t="shared" si="1"/>
        <v>0</v>
      </c>
      <c r="O13" s="297"/>
      <c r="P13" s="297"/>
      <c r="Q13" s="298"/>
      <c r="R13" s="290"/>
      <c r="S13" s="290">
        <f t="shared" si="2"/>
        <v>0</v>
      </c>
      <c r="T13" s="290">
        <f t="shared" si="3"/>
        <v>0</v>
      </c>
      <c r="U13" s="290"/>
      <c r="V13" s="291">
        <f t="shared" si="4"/>
        <v>0</v>
      </c>
      <c r="W13" s="10">
        <f t="shared" si="5"/>
        <v>0</v>
      </c>
      <c r="X13" s="10">
        <f t="shared" si="6"/>
        <v>0</v>
      </c>
    </row>
    <row r="14" spans="1:24" s="9" customFormat="1" ht="13.5" customHeight="1" x14ac:dyDescent="0.2">
      <c r="A14" s="64">
        <f t="shared" si="7"/>
        <v>10</v>
      </c>
      <c r="B14" s="77" t="s">
        <v>616</v>
      </c>
      <c r="C14" s="163">
        <v>36600</v>
      </c>
      <c r="D14" s="67">
        <v>28000000</v>
      </c>
      <c r="E14" s="67"/>
      <c r="F14" s="67">
        <f t="shared" si="8"/>
        <v>28000000</v>
      </c>
      <c r="G14" s="110">
        <v>27999000</v>
      </c>
      <c r="H14" s="67">
        <f t="shared" si="9"/>
        <v>1000</v>
      </c>
      <c r="I14" s="68">
        <v>5</v>
      </c>
      <c r="J14" s="68">
        <v>0.2</v>
      </c>
      <c r="K14" s="68">
        <v>0</v>
      </c>
      <c r="L14" s="110"/>
      <c r="M14" s="110">
        <f t="shared" si="0"/>
        <v>27999000</v>
      </c>
      <c r="N14" s="67">
        <f t="shared" si="1"/>
        <v>1000</v>
      </c>
      <c r="O14" s="111"/>
      <c r="P14" s="111"/>
      <c r="Q14" s="70"/>
      <c r="R14" s="23"/>
      <c r="S14" s="23">
        <f t="shared" si="2"/>
        <v>1400000</v>
      </c>
      <c r="T14" s="23">
        <f t="shared" si="3"/>
        <v>-1399000</v>
      </c>
      <c r="U14" s="23">
        <f>N14-1000</f>
        <v>0</v>
      </c>
      <c r="V14" s="10">
        <f t="shared" si="4"/>
        <v>5600000</v>
      </c>
      <c r="W14" s="10">
        <f t="shared" si="5"/>
        <v>0</v>
      </c>
      <c r="X14" s="10">
        <f t="shared" si="6"/>
        <v>0</v>
      </c>
    </row>
    <row r="15" spans="1:24" s="9" customFormat="1" ht="13.5" customHeight="1" x14ac:dyDescent="0.2">
      <c r="A15" s="292">
        <f t="shared" si="7"/>
        <v>11</v>
      </c>
      <c r="B15" s="293" t="s">
        <v>617</v>
      </c>
      <c r="C15" s="294">
        <v>36606</v>
      </c>
      <c r="D15" s="295">
        <v>0</v>
      </c>
      <c r="E15" s="295"/>
      <c r="F15" s="295">
        <f t="shared" si="8"/>
        <v>0</v>
      </c>
      <c r="G15" s="287">
        <v>0</v>
      </c>
      <c r="H15" s="295">
        <f t="shared" si="9"/>
        <v>0</v>
      </c>
      <c r="I15" s="296">
        <v>5</v>
      </c>
      <c r="J15" s="296">
        <v>0.2</v>
      </c>
      <c r="K15" s="296">
        <v>0</v>
      </c>
      <c r="L15" s="287"/>
      <c r="M15" s="287">
        <f t="shared" si="0"/>
        <v>0</v>
      </c>
      <c r="N15" s="295">
        <f t="shared" si="1"/>
        <v>0</v>
      </c>
      <c r="O15" s="297"/>
      <c r="P15" s="297"/>
      <c r="Q15" s="298"/>
      <c r="R15" s="290"/>
      <c r="S15" s="290">
        <f t="shared" si="2"/>
        <v>0</v>
      </c>
      <c r="T15" s="290">
        <f t="shared" si="3"/>
        <v>0</v>
      </c>
      <c r="U15" s="290"/>
      <c r="V15" s="291">
        <f t="shared" si="4"/>
        <v>0</v>
      </c>
      <c r="W15" s="10">
        <f t="shared" si="5"/>
        <v>0</v>
      </c>
      <c r="X15" s="10">
        <f t="shared" si="6"/>
        <v>0</v>
      </c>
    </row>
    <row r="16" spans="1:24" s="9" customFormat="1" ht="13.5" customHeight="1" x14ac:dyDescent="0.2">
      <c r="A16" s="292">
        <f t="shared" si="7"/>
        <v>12</v>
      </c>
      <c r="B16" s="293" t="s">
        <v>618</v>
      </c>
      <c r="C16" s="294">
        <v>36607</v>
      </c>
      <c r="D16" s="295">
        <v>0</v>
      </c>
      <c r="E16" s="295"/>
      <c r="F16" s="295">
        <f t="shared" si="8"/>
        <v>0</v>
      </c>
      <c r="G16" s="287">
        <v>0</v>
      </c>
      <c r="H16" s="295">
        <f t="shared" si="9"/>
        <v>0</v>
      </c>
      <c r="I16" s="296">
        <v>5</v>
      </c>
      <c r="J16" s="296">
        <v>0.2</v>
      </c>
      <c r="K16" s="296">
        <v>0</v>
      </c>
      <c r="L16" s="287"/>
      <c r="M16" s="287">
        <f t="shared" si="0"/>
        <v>0</v>
      </c>
      <c r="N16" s="295">
        <f t="shared" si="1"/>
        <v>0</v>
      </c>
      <c r="O16" s="297" t="s">
        <v>619</v>
      </c>
      <c r="P16" s="297"/>
      <c r="Q16" s="299" t="s">
        <v>620</v>
      </c>
      <c r="R16" s="290">
        <f>+N16*J16</f>
        <v>0</v>
      </c>
      <c r="S16" s="290">
        <f t="shared" si="2"/>
        <v>0</v>
      </c>
      <c r="T16" s="290">
        <f t="shared" si="3"/>
        <v>0</v>
      </c>
      <c r="U16" s="290"/>
      <c r="V16" s="291">
        <f t="shared" si="4"/>
        <v>0</v>
      </c>
      <c r="W16" s="10">
        <f t="shared" si="5"/>
        <v>0</v>
      </c>
      <c r="X16" s="10">
        <f t="shared" si="6"/>
        <v>0</v>
      </c>
    </row>
    <row r="17" spans="1:24" s="9" customFormat="1" ht="13.5" customHeight="1" x14ac:dyDescent="0.2">
      <c r="A17" s="292">
        <f t="shared" si="7"/>
        <v>13</v>
      </c>
      <c r="B17" s="293" t="s">
        <v>621</v>
      </c>
      <c r="C17" s="294">
        <v>36607</v>
      </c>
      <c r="D17" s="295">
        <v>0</v>
      </c>
      <c r="E17" s="295"/>
      <c r="F17" s="295">
        <f t="shared" si="8"/>
        <v>0</v>
      </c>
      <c r="G17" s="287">
        <v>0</v>
      </c>
      <c r="H17" s="295">
        <f t="shared" si="9"/>
        <v>0</v>
      </c>
      <c r="I17" s="296">
        <v>5</v>
      </c>
      <c r="J17" s="296">
        <v>0.2</v>
      </c>
      <c r="K17" s="296">
        <v>0</v>
      </c>
      <c r="L17" s="287"/>
      <c r="M17" s="287">
        <f t="shared" si="0"/>
        <v>0</v>
      </c>
      <c r="N17" s="295">
        <f t="shared" si="1"/>
        <v>0</v>
      </c>
      <c r="O17" s="297"/>
      <c r="P17" s="297"/>
      <c r="Q17" s="298"/>
      <c r="R17" s="290"/>
      <c r="S17" s="290">
        <f t="shared" si="2"/>
        <v>0</v>
      </c>
      <c r="T17" s="290">
        <f t="shared" si="3"/>
        <v>0</v>
      </c>
      <c r="U17" s="290"/>
      <c r="V17" s="291">
        <f t="shared" si="4"/>
        <v>0</v>
      </c>
      <c r="W17" s="10">
        <f t="shared" si="5"/>
        <v>0</v>
      </c>
      <c r="X17" s="10">
        <f t="shared" si="6"/>
        <v>0</v>
      </c>
    </row>
    <row r="18" spans="1:24" s="9" customFormat="1" ht="13.5" customHeight="1" x14ac:dyDescent="0.2">
      <c r="A18" s="292">
        <f t="shared" si="7"/>
        <v>14</v>
      </c>
      <c r="B18" s="293" t="s">
        <v>621</v>
      </c>
      <c r="C18" s="294">
        <v>36609</v>
      </c>
      <c r="D18" s="295">
        <v>0</v>
      </c>
      <c r="E18" s="295"/>
      <c r="F18" s="295">
        <f t="shared" si="8"/>
        <v>0</v>
      </c>
      <c r="G18" s="287">
        <v>0</v>
      </c>
      <c r="H18" s="295">
        <f t="shared" si="9"/>
        <v>0</v>
      </c>
      <c r="I18" s="296">
        <v>5</v>
      </c>
      <c r="J18" s="296">
        <v>0.2</v>
      </c>
      <c r="K18" s="296">
        <v>0</v>
      </c>
      <c r="L18" s="287"/>
      <c r="M18" s="287">
        <f t="shared" si="0"/>
        <v>0</v>
      </c>
      <c r="N18" s="295">
        <f t="shared" si="1"/>
        <v>0</v>
      </c>
      <c r="O18" s="297"/>
      <c r="P18" s="297"/>
      <c r="Q18" s="298"/>
      <c r="R18" s="290"/>
      <c r="S18" s="290">
        <f t="shared" si="2"/>
        <v>0</v>
      </c>
      <c r="T18" s="290">
        <f t="shared" si="3"/>
        <v>0</v>
      </c>
      <c r="U18" s="290"/>
      <c r="V18" s="291">
        <f t="shared" si="4"/>
        <v>0</v>
      </c>
      <c r="W18" s="10">
        <f t="shared" si="5"/>
        <v>0</v>
      </c>
      <c r="X18" s="10">
        <f t="shared" si="6"/>
        <v>0</v>
      </c>
    </row>
    <row r="19" spans="1:24" s="9" customFormat="1" ht="13.5" customHeight="1" x14ac:dyDescent="0.2">
      <c r="A19" s="64">
        <f t="shared" si="7"/>
        <v>15</v>
      </c>
      <c r="B19" s="77" t="s">
        <v>622</v>
      </c>
      <c r="C19" s="163">
        <v>36610</v>
      </c>
      <c r="D19" s="67">
        <v>46795450</v>
      </c>
      <c r="E19" s="67"/>
      <c r="F19" s="67">
        <f t="shared" si="8"/>
        <v>46795450</v>
      </c>
      <c r="G19" s="110">
        <v>46794450</v>
      </c>
      <c r="H19" s="67">
        <f t="shared" si="9"/>
        <v>1000</v>
      </c>
      <c r="I19" s="68">
        <v>5</v>
      </c>
      <c r="J19" s="68">
        <v>0.2</v>
      </c>
      <c r="K19" s="68">
        <v>0</v>
      </c>
      <c r="L19" s="110"/>
      <c r="M19" s="110">
        <f t="shared" si="0"/>
        <v>46794450</v>
      </c>
      <c r="N19" s="67">
        <f t="shared" si="1"/>
        <v>1000</v>
      </c>
      <c r="O19" s="111"/>
      <c r="P19" s="111"/>
      <c r="Q19" s="70"/>
      <c r="R19" s="23"/>
      <c r="S19" s="23">
        <f t="shared" si="2"/>
        <v>2339772.5</v>
      </c>
      <c r="T19" s="23">
        <f t="shared" si="3"/>
        <v>-2338772.5</v>
      </c>
      <c r="U19" s="23">
        <f>N19-1000</f>
        <v>0</v>
      </c>
      <c r="V19" s="10">
        <f t="shared" si="4"/>
        <v>9359090</v>
      </c>
      <c r="W19" s="10">
        <f t="shared" si="5"/>
        <v>0</v>
      </c>
      <c r="X19" s="10">
        <f t="shared" si="6"/>
        <v>0</v>
      </c>
    </row>
    <row r="20" spans="1:24" s="9" customFormat="1" ht="13.5" customHeight="1" x14ac:dyDescent="0.2">
      <c r="A20" s="292">
        <f t="shared" si="7"/>
        <v>16</v>
      </c>
      <c r="B20" s="293" t="s">
        <v>623</v>
      </c>
      <c r="C20" s="294">
        <v>36615</v>
      </c>
      <c r="D20" s="295">
        <v>0</v>
      </c>
      <c r="E20" s="295"/>
      <c r="F20" s="295">
        <f t="shared" si="8"/>
        <v>0</v>
      </c>
      <c r="G20" s="287">
        <v>0</v>
      </c>
      <c r="H20" s="295">
        <f t="shared" si="9"/>
        <v>0</v>
      </c>
      <c r="I20" s="296">
        <v>5</v>
      </c>
      <c r="J20" s="296">
        <v>0.2</v>
      </c>
      <c r="K20" s="296">
        <v>0</v>
      </c>
      <c r="L20" s="287"/>
      <c r="M20" s="287">
        <f t="shared" si="0"/>
        <v>0</v>
      </c>
      <c r="N20" s="295">
        <f t="shared" si="1"/>
        <v>0</v>
      </c>
      <c r="O20" s="297"/>
      <c r="P20" s="297"/>
      <c r="Q20" s="298"/>
      <c r="R20" s="290"/>
      <c r="S20" s="290">
        <f t="shared" si="2"/>
        <v>0</v>
      </c>
      <c r="T20" s="290">
        <f t="shared" si="3"/>
        <v>0</v>
      </c>
      <c r="U20" s="290"/>
      <c r="V20" s="291">
        <f t="shared" si="4"/>
        <v>0</v>
      </c>
      <c r="W20" s="10">
        <f t="shared" si="5"/>
        <v>0</v>
      </c>
      <c r="X20" s="10">
        <f t="shared" si="6"/>
        <v>0</v>
      </c>
    </row>
    <row r="21" spans="1:24" s="9" customFormat="1" ht="13.5" customHeight="1" x14ac:dyDescent="0.2">
      <c r="A21" s="292">
        <f t="shared" si="7"/>
        <v>17</v>
      </c>
      <c r="B21" s="293" t="s">
        <v>624</v>
      </c>
      <c r="C21" s="294">
        <v>36616</v>
      </c>
      <c r="D21" s="295">
        <v>0</v>
      </c>
      <c r="E21" s="295"/>
      <c r="F21" s="295">
        <f t="shared" si="8"/>
        <v>0</v>
      </c>
      <c r="G21" s="287">
        <v>0</v>
      </c>
      <c r="H21" s="295">
        <f t="shared" si="9"/>
        <v>0</v>
      </c>
      <c r="I21" s="296">
        <v>5</v>
      </c>
      <c r="J21" s="296">
        <v>0.2</v>
      </c>
      <c r="K21" s="296">
        <v>0</v>
      </c>
      <c r="L21" s="287"/>
      <c r="M21" s="287">
        <f t="shared" si="0"/>
        <v>0</v>
      </c>
      <c r="N21" s="295">
        <f t="shared" si="1"/>
        <v>0</v>
      </c>
      <c r="O21" s="297"/>
      <c r="P21" s="297"/>
      <c r="Q21" s="298"/>
      <c r="R21" s="290"/>
      <c r="S21" s="290">
        <f t="shared" si="2"/>
        <v>0</v>
      </c>
      <c r="T21" s="290">
        <f t="shared" si="3"/>
        <v>0</v>
      </c>
      <c r="U21" s="290"/>
      <c r="V21" s="291">
        <f t="shared" si="4"/>
        <v>0</v>
      </c>
      <c r="W21" s="10">
        <f t="shared" si="5"/>
        <v>0</v>
      </c>
      <c r="X21" s="10">
        <f t="shared" si="6"/>
        <v>0</v>
      </c>
    </row>
    <row r="22" spans="1:24" s="9" customFormat="1" ht="13.5" customHeight="1" x14ac:dyDescent="0.2">
      <c r="A22" s="64">
        <f t="shared" si="7"/>
        <v>18</v>
      </c>
      <c r="B22" s="77" t="s">
        <v>625</v>
      </c>
      <c r="C22" s="163">
        <v>36616</v>
      </c>
      <c r="D22" s="67">
        <v>30000000</v>
      </c>
      <c r="E22" s="67"/>
      <c r="F22" s="67">
        <f t="shared" si="8"/>
        <v>30000000</v>
      </c>
      <c r="G22" s="110">
        <v>29999000</v>
      </c>
      <c r="H22" s="67">
        <f t="shared" si="9"/>
        <v>1000</v>
      </c>
      <c r="I22" s="68">
        <v>5</v>
      </c>
      <c r="J22" s="68">
        <v>0.2</v>
      </c>
      <c r="K22" s="68">
        <v>0</v>
      </c>
      <c r="L22" s="110"/>
      <c r="M22" s="110">
        <f t="shared" si="0"/>
        <v>29999000</v>
      </c>
      <c r="N22" s="67">
        <f t="shared" si="1"/>
        <v>1000</v>
      </c>
      <c r="O22" s="111"/>
      <c r="P22" s="111"/>
      <c r="Q22" s="70"/>
      <c r="R22" s="23"/>
      <c r="S22" s="23">
        <f t="shared" si="2"/>
        <v>1500000</v>
      </c>
      <c r="T22" s="23">
        <f t="shared" si="3"/>
        <v>-1499000</v>
      </c>
      <c r="U22" s="23">
        <f>N22-1000</f>
        <v>0</v>
      </c>
      <c r="V22" s="10">
        <f t="shared" si="4"/>
        <v>6000000</v>
      </c>
      <c r="W22" s="10">
        <f t="shared" si="5"/>
        <v>0</v>
      </c>
      <c r="X22" s="10">
        <f t="shared" si="6"/>
        <v>0</v>
      </c>
    </row>
    <row r="23" spans="1:24" s="9" customFormat="1" ht="13.5" customHeight="1" x14ac:dyDescent="0.2">
      <c r="A23" s="64">
        <f t="shared" si="7"/>
        <v>19</v>
      </c>
      <c r="B23" s="77" t="s">
        <v>626</v>
      </c>
      <c r="C23" s="163">
        <v>36616</v>
      </c>
      <c r="D23" s="67">
        <v>16000000</v>
      </c>
      <c r="E23" s="67"/>
      <c r="F23" s="67">
        <f t="shared" si="8"/>
        <v>16000000</v>
      </c>
      <c r="G23" s="110">
        <v>15999000</v>
      </c>
      <c r="H23" s="67">
        <f t="shared" si="9"/>
        <v>1000</v>
      </c>
      <c r="I23" s="68">
        <v>5</v>
      </c>
      <c r="J23" s="68">
        <v>0.2</v>
      </c>
      <c r="K23" s="68">
        <v>0</v>
      </c>
      <c r="L23" s="110"/>
      <c r="M23" s="110">
        <f t="shared" si="0"/>
        <v>15999000</v>
      </c>
      <c r="N23" s="67">
        <f t="shared" si="1"/>
        <v>1000</v>
      </c>
      <c r="O23" s="111"/>
      <c r="P23" s="111"/>
      <c r="Q23" s="70"/>
      <c r="R23" s="23"/>
      <c r="S23" s="23">
        <f t="shared" si="2"/>
        <v>800000</v>
      </c>
      <c r="T23" s="23">
        <f t="shared" si="3"/>
        <v>-799000</v>
      </c>
      <c r="U23" s="23">
        <f>N23-1000</f>
        <v>0</v>
      </c>
      <c r="V23" s="10">
        <f t="shared" si="4"/>
        <v>3200000</v>
      </c>
      <c r="W23" s="10">
        <f t="shared" si="5"/>
        <v>0</v>
      </c>
      <c r="X23" s="10">
        <f t="shared" si="6"/>
        <v>0</v>
      </c>
    </row>
    <row r="24" spans="1:24" s="9" customFormat="1" ht="13.5" customHeight="1" x14ac:dyDescent="0.2">
      <c r="A24" s="292">
        <f t="shared" si="7"/>
        <v>20</v>
      </c>
      <c r="B24" s="293" t="s">
        <v>627</v>
      </c>
      <c r="C24" s="294">
        <v>36616</v>
      </c>
      <c r="D24" s="295">
        <v>0</v>
      </c>
      <c r="E24" s="295"/>
      <c r="F24" s="295">
        <f t="shared" si="8"/>
        <v>0</v>
      </c>
      <c r="G24" s="287">
        <v>0</v>
      </c>
      <c r="H24" s="295">
        <f t="shared" si="9"/>
        <v>0</v>
      </c>
      <c r="I24" s="296">
        <v>5</v>
      </c>
      <c r="J24" s="296">
        <v>0.2</v>
      </c>
      <c r="K24" s="296">
        <v>0</v>
      </c>
      <c r="L24" s="287"/>
      <c r="M24" s="287">
        <f t="shared" si="0"/>
        <v>0</v>
      </c>
      <c r="N24" s="295">
        <f t="shared" si="1"/>
        <v>0</v>
      </c>
      <c r="O24" s="297"/>
      <c r="P24" s="297"/>
      <c r="Q24" s="298"/>
      <c r="R24" s="290"/>
      <c r="S24" s="290">
        <f t="shared" si="2"/>
        <v>0</v>
      </c>
      <c r="T24" s="290">
        <f t="shared" si="3"/>
        <v>0</v>
      </c>
      <c r="U24" s="290"/>
      <c r="V24" s="291">
        <f t="shared" si="4"/>
        <v>0</v>
      </c>
      <c r="W24" s="10">
        <f t="shared" si="5"/>
        <v>0</v>
      </c>
      <c r="X24" s="10">
        <f t="shared" si="6"/>
        <v>0</v>
      </c>
    </row>
    <row r="25" spans="1:24" s="9" customFormat="1" ht="13.5" customHeight="1" x14ac:dyDescent="0.2">
      <c r="A25" s="64">
        <f t="shared" si="7"/>
        <v>21</v>
      </c>
      <c r="B25" s="77" t="s">
        <v>628</v>
      </c>
      <c r="C25" s="163">
        <v>36616</v>
      </c>
      <c r="D25" s="67">
        <v>76000000</v>
      </c>
      <c r="E25" s="67"/>
      <c r="F25" s="67">
        <f t="shared" si="8"/>
        <v>76000000</v>
      </c>
      <c r="G25" s="110">
        <v>75999000</v>
      </c>
      <c r="H25" s="67">
        <f t="shared" si="9"/>
        <v>1000</v>
      </c>
      <c r="I25" s="68">
        <v>5</v>
      </c>
      <c r="J25" s="68">
        <v>0.2</v>
      </c>
      <c r="K25" s="68">
        <v>0</v>
      </c>
      <c r="L25" s="110"/>
      <c r="M25" s="110">
        <f t="shared" si="0"/>
        <v>75999000</v>
      </c>
      <c r="N25" s="67">
        <f t="shared" si="1"/>
        <v>1000</v>
      </c>
      <c r="O25" s="111"/>
      <c r="P25" s="111"/>
      <c r="Q25" s="70"/>
      <c r="R25" s="23"/>
      <c r="S25" s="23">
        <f t="shared" si="2"/>
        <v>3800000</v>
      </c>
      <c r="T25" s="23">
        <f t="shared" si="3"/>
        <v>-3799000</v>
      </c>
      <c r="U25" s="23">
        <f>N25-1000</f>
        <v>0</v>
      </c>
      <c r="V25" s="10">
        <f t="shared" si="4"/>
        <v>15200000</v>
      </c>
      <c r="W25" s="10">
        <f t="shared" si="5"/>
        <v>0</v>
      </c>
      <c r="X25" s="10">
        <f t="shared" si="6"/>
        <v>0</v>
      </c>
    </row>
    <row r="26" spans="1:24" s="9" customFormat="1" ht="13.5" customHeight="1" x14ac:dyDescent="0.2">
      <c r="A26" s="64">
        <f t="shared" si="7"/>
        <v>22</v>
      </c>
      <c r="B26" s="77" t="s">
        <v>629</v>
      </c>
      <c r="C26" s="163">
        <v>36616</v>
      </c>
      <c r="D26" s="67">
        <v>57000000</v>
      </c>
      <c r="E26" s="67"/>
      <c r="F26" s="67">
        <f t="shared" si="8"/>
        <v>57000000</v>
      </c>
      <c r="G26" s="110">
        <v>56999000</v>
      </c>
      <c r="H26" s="67">
        <f t="shared" si="9"/>
        <v>1000</v>
      </c>
      <c r="I26" s="68">
        <v>5</v>
      </c>
      <c r="J26" s="68">
        <v>0.2</v>
      </c>
      <c r="K26" s="68">
        <v>0</v>
      </c>
      <c r="L26" s="110"/>
      <c r="M26" s="110">
        <f t="shared" si="0"/>
        <v>56999000</v>
      </c>
      <c r="N26" s="67">
        <f t="shared" si="1"/>
        <v>1000</v>
      </c>
      <c r="O26" s="111"/>
      <c r="P26" s="111"/>
      <c r="Q26" s="70"/>
      <c r="R26" s="23"/>
      <c r="S26" s="23">
        <f t="shared" si="2"/>
        <v>2850000</v>
      </c>
      <c r="T26" s="23">
        <f t="shared" si="3"/>
        <v>-2849000</v>
      </c>
      <c r="U26" s="23">
        <f>N26-1000</f>
        <v>0</v>
      </c>
      <c r="V26" s="10">
        <f t="shared" si="4"/>
        <v>11400000</v>
      </c>
      <c r="W26" s="10">
        <f t="shared" si="5"/>
        <v>0</v>
      </c>
      <c r="X26" s="10">
        <f t="shared" si="6"/>
        <v>0</v>
      </c>
    </row>
    <row r="27" spans="1:24" s="9" customFormat="1" ht="13.5" customHeight="1" x14ac:dyDescent="0.2">
      <c r="A27" s="64">
        <f t="shared" si="7"/>
        <v>23</v>
      </c>
      <c r="B27" s="77" t="s">
        <v>630</v>
      </c>
      <c r="C27" s="163">
        <v>36616</v>
      </c>
      <c r="D27" s="67">
        <v>50000000</v>
      </c>
      <c r="E27" s="67"/>
      <c r="F27" s="67">
        <f t="shared" si="8"/>
        <v>50000000</v>
      </c>
      <c r="G27" s="110">
        <v>49999000</v>
      </c>
      <c r="H27" s="67">
        <f t="shared" si="9"/>
        <v>1000</v>
      </c>
      <c r="I27" s="68">
        <v>5</v>
      </c>
      <c r="J27" s="68">
        <v>0.2</v>
      </c>
      <c r="K27" s="68">
        <v>0</v>
      </c>
      <c r="L27" s="110"/>
      <c r="M27" s="110">
        <f t="shared" si="0"/>
        <v>49999000</v>
      </c>
      <c r="N27" s="67">
        <f t="shared" si="1"/>
        <v>1000</v>
      </c>
      <c r="O27" s="111"/>
      <c r="P27" s="111"/>
      <c r="Q27" s="70"/>
      <c r="R27" s="23"/>
      <c r="S27" s="23">
        <f t="shared" si="2"/>
        <v>2500000</v>
      </c>
      <c r="T27" s="23">
        <f t="shared" si="3"/>
        <v>-2499000</v>
      </c>
      <c r="U27" s="23">
        <f>N27-1000</f>
        <v>0</v>
      </c>
      <c r="V27" s="10">
        <f t="shared" si="4"/>
        <v>10000000</v>
      </c>
      <c r="W27" s="10">
        <f t="shared" si="5"/>
        <v>0</v>
      </c>
      <c r="X27" s="10">
        <f t="shared" si="6"/>
        <v>0</v>
      </c>
    </row>
    <row r="28" spans="1:24" s="9" customFormat="1" ht="13.5" customHeight="1" x14ac:dyDescent="0.2">
      <c r="A28" s="292">
        <f t="shared" si="7"/>
        <v>24</v>
      </c>
      <c r="B28" s="293" t="s">
        <v>631</v>
      </c>
      <c r="C28" s="294">
        <v>36643</v>
      </c>
      <c r="D28" s="295">
        <v>0</v>
      </c>
      <c r="E28" s="295"/>
      <c r="F28" s="295">
        <f t="shared" si="8"/>
        <v>0</v>
      </c>
      <c r="G28" s="287">
        <v>0</v>
      </c>
      <c r="H28" s="295">
        <f t="shared" si="9"/>
        <v>0</v>
      </c>
      <c r="I28" s="296">
        <v>5</v>
      </c>
      <c r="J28" s="296">
        <v>0.2</v>
      </c>
      <c r="K28" s="296">
        <v>0</v>
      </c>
      <c r="L28" s="287"/>
      <c r="M28" s="287">
        <f t="shared" si="0"/>
        <v>0</v>
      </c>
      <c r="N28" s="295">
        <f t="shared" si="1"/>
        <v>0</v>
      </c>
      <c r="O28" s="297"/>
      <c r="P28" s="297"/>
      <c r="Q28" s="298"/>
      <c r="R28" s="290"/>
      <c r="S28" s="290">
        <f t="shared" si="2"/>
        <v>0</v>
      </c>
      <c r="T28" s="290">
        <f t="shared" si="3"/>
        <v>0</v>
      </c>
      <c r="U28" s="290"/>
      <c r="V28" s="291">
        <f t="shared" si="4"/>
        <v>0</v>
      </c>
      <c r="W28" s="10">
        <f t="shared" si="5"/>
        <v>0</v>
      </c>
      <c r="X28" s="10">
        <f t="shared" si="6"/>
        <v>0</v>
      </c>
    </row>
    <row r="29" spans="1:24" s="9" customFormat="1" ht="13.5" customHeight="1" x14ac:dyDescent="0.2">
      <c r="A29" s="64">
        <f t="shared" si="7"/>
        <v>25</v>
      </c>
      <c r="B29" s="77" t="s">
        <v>629</v>
      </c>
      <c r="C29" s="163">
        <v>36656</v>
      </c>
      <c r="D29" s="67">
        <v>57000000</v>
      </c>
      <c r="E29" s="67"/>
      <c r="F29" s="67">
        <f t="shared" si="8"/>
        <v>57000000</v>
      </c>
      <c r="G29" s="110">
        <v>56999000</v>
      </c>
      <c r="H29" s="67">
        <f t="shared" si="9"/>
        <v>1000</v>
      </c>
      <c r="I29" s="68">
        <v>5</v>
      </c>
      <c r="J29" s="68">
        <v>0.2</v>
      </c>
      <c r="K29" s="68">
        <v>0</v>
      </c>
      <c r="L29" s="110"/>
      <c r="M29" s="110">
        <f t="shared" si="0"/>
        <v>56999000</v>
      </c>
      <c r="N29" s="67">
        <f t="shared" si="1"/>
        <v>1000</v>
      </c>
      <c r="O29" s="111"/>
      <c r="P29" s="111"/>
      <c r="Q29" s="70"/>
      <c r="R29" s="23"/>
      <c r="S29" s="23">
        <f t="shared" si="2"/>
        <v>2850000</v>
      </c>
      <c r="T29" s="23">
        <f t="shared" si="3"/>
        <v>-2849000</v>
      </c>
      <c r="U29" s="23">
        <f>N29-1000</f>
        <v>0</v>
      </c>
      <c r="V29" s="10">
        <f t="shared" si="4"/>
        <v>11400000</v>
      </c>
      <c r="W29" s="10">
        <f t="shared" si="5"/>
        <v>0</v>
      </c>
      <c r="X29" s="10">
        <f t="shared" si="6"/>
        <v>0</v>
      </c>
    </row>
    <row r="30" spans="1:24" s="9" customFormat="1" ht="13.5" customHeight="1" x14ac:dyDescent="0.2">
      <c r="A30" s="292">
        <f t="shared" si="7"/>
        <v>26</v>
      </c>
      <c r="B30" s="293" t="s">
        <v>632</v>
      </c>
      <c r="C30" s="294">
        <v>36676</v>
      </c>
      <c r="D30" s="295">
        <v>0</v>
      </c>
      <c r="E30" s="295"/>
      <c r="F30" s="295">
        <f t="shared" si="8"/>
        <v>0</v>
      </c>
      <c r="G30" s="287">
        <v>0</v>
      </c>
      <c r="H30" s="295">
        <f t="shared" si="9"/>
        <v>0</v>
      </c>
      <c r="I30" s="296">
        <v>5</v>
      </c>
      <c r="J30" s="296">
        <v>0.2</v>
      </c>
      <c r="K30" s="296">
        <v>0</v>
      </c>
      <c r="L30" s="287"/>
      <c r="M30" s="287">
        <f t="shared" si="0"/>
        <v>0</v>
      </c>
      <c r="N30" s="295">
        <f t="shared" si="1"/>
        <v>0</v>
      </c>
      <c r="O30" s="297"/>
      <c r="P30" s="297"/>
      <c r="Q30" s="298"/>
      <c r="R30" s="290"/>
      <c r="S30" s="290">
        <f t="shared" si="2"/>
        <v>0</v>
      </c>
      <c r="T30" s="290">
        <f t="shared" si="3"/>
        <v>0</v>
      </c>
      <c r="U30" s="290"/>
      <c r="V30" s="291">
        <f t="shared" si="4"/>
        <v>0</v>
      </c>
      <c r="W30" s="10">
        <f t="shared" si="5"/>
        <v>0</v>
      </c>
      <c r="X30" s="10">
        <f t="shared" si="6"/>
        <v>0</v>
      </c>
    </row>
    <row r="31" spans="1:24" s="9" customFormat="1" ht="13.5" customHeight="1" x14ac:dyDescent="0.2">
      <c r="A31" s="64">
        <f t="shared" si="7"/>
        <v>27</v>
      </c>
      <c r="B31" s="77" t="s">
        <v>633</v>
      </c>
      <c r="C31" s="163">
        <v>36694</v>
      </c>
      <c r="D31" s="67">
        <v>108073777</v>
      </c>
      <c r="E31" s="67"/>
      <c r="F31" s="67">
        <f t="shared" si="8"/>
        <v>108073777</v>
      </c>
      <c r="G31" s="110">
        <v>108072777</v>
      </c>
      <c r="H31" s="67">
        <f t="shared" si="9"/>
        <v>1000</v>
      </c>
      <c r="I31" s="68">
        <v>5</v>
      </c>
      <c r="J31" s="68">
        <v>0.2</v>
      </c>
      <c r="K31" s="68">
        <v>0</v>
      </c>
      <c r="L31" s="110"/>
      <c r="M31" s="110">
        <f t="shared" si="0"/>
        <v>108072777</v>
      </c>
      <c r="N31" s="67">
        <f t="shared" si="1"/>
        <v>1000</v>
      </c>
      <c r="O31" s="111"/>
      <c r="P31" s="111"/>
      <c r="Q31" s="300"/>
      <c r="R31" s="23"/>
      <c r="S31" s="23">
        <f t="shared" si="2"/>
        <v>5403688.8500000006</v>
      </c>
      <c r="T31" s="23">
        <f t="shared" si="3"/>
        <v>-5402688.8500000006</v>
      </c>
      <c r="U31" s="23">
        <f>N31-1000</f>
        <v>0</v>
      </c>
      <c r="V31" s="10">
        <f t="shared" si="4"/>
        <v>21614755.399999999</v>
      </c>
      <c r="W31" s="10">
        <f t="shared" si="5"/>
        <v>0</v>
      </c>
      <c r="X31" s="10">
        <f t="shared" si="6"/>
        <v>0</v>
      </c>
    </row>
    <row r="32" spans="1:24" s="9" customFormat="1" ht="13.5" customHeight="1" x14ac:dyDescent="0.2">
      <c r="A32" s="292">
        <f t="shared" si="7"/>
        <v>28</v>
      </c>
      <c r="B32" s="293" t="s">
        <v>634</v>
      </c>
      <c r="C32" s="294">
        <v>36700</v>
      </c>
      <c r="D32" s="295">
        <v>0</v>
      </c>
      <c r="E32" s="295"/>
      <c r="F32" s="295">
        <f t="shared" si="8"/>
        <v>0</v>
      </c>
      <c r="G32" s="287">
        <v>0</v>
      </c>
      <c r="H32" s="295">
        <f t="shared" si="9"/>
        <v>0</v>
      </c>
      <c r="I32" s="296">
        <v>5</v>
      </c>
      <c r="J32" s="296">
        <v>0.2</v>
      </c>
      <c r="K32" s="296">
        <v>0</v>
      </c>
      <c r="L32" s="287"/>
      <c r="M32" s="287">
        <f t="shared" si="0"/>
        <v>0</v>
      </c>
      <c r="N32" s="295">
        <f t="shared" si="1"/>
        <v>0</v>
      </c>
      <c r="O32" s="297"/>
      <c r="P32" s="297"/>
      <c r="Q32" s="298"/>
      <c r="R32" s="290"/>
      <c r="S32" s="290">
        <f t="shared" si="2"/>
        <v>0</v>
      </c>
      <c r="T32" s="290">
        <f t="shared" si="3"/>
        <v>0</v>
      </c>
      <c r="U32" s="290"/>
      <c r="V32" s="291">
        <f t="shared" si="4"/>
        <v>0</v>
      </c>
      <c r="W32" s="10">
        <f t="shared" si="5"/>
        <v>0</v>
      </c>
      <c r="X32" s="10">
        <f t="shared" si="6"/>
        <v>0</v>
      </c>
    </row>
    <row r="33" spans="1:24" s="9" customFormat="1" ht="13.5" customHeight="1" x14ac:dyDescent="0.2">
      <c r="A33" s="64">
        <f t="shared" si="7"/>
        <v>29</v>
      </c>
      <c r="B33" s="77" t="s">
        <v>633</v>
      </c>
      <c r="C33" s="163">
        <v>36706</v>
      </c>
      <c r="D33" s="67">
        <v>14908581</v>
      </c>
      <c r="E33" s="67"/>
      <c r="F33" s="67">
        <f t="shared" si="8"/>
        <v>14908581</v>
      </c>
      <c r="G33" s="110">
        <v>14907581</v>
      </c>
      <c r="H33" s="67">
        <f t="shared" si="9"/>
        <v>1000</v>
      </c>
      <c r="I33" s="68">
        <v>5</v>
      </c>
      <c r="J33" s="68">
        <v>0.2</v>
      </c>
      <c r="K33" s="68">
        <v>0</v>
      </c>
      <c r="L33" s="110"/>
      <c r="M33" s="110">
        <f t="shared" si="0"/>
        <v>14907581</v>
      </c>
      <c r="N33" s="67">
        <f t="shared" si="1"/>
        <v>1000</v>
      </c>
      <c r="O33" s="111"/>
      <c r="P33" s="111"/>
      <c r="Q33" s="70"/>
      <c r="R33" s="23"/>
      <c r="S33" s="23">
        <f t="shared" si="2"/>
        <v>745429.05</v>
      </c>
      <c r="T33" s="23">
        <f t="shared" si="3"/>
        <v>-744429.05</v>
      </c>
      <c r="U33" s="23">
        <f>N33-1000</f>
        <v>0</v>
      </c>
      <c r="V33" s="10">
        <f t="shared" si="4"/>
        <v>2981716.2</v>
      </c>
      <c r="W33" s="10">
        <f t="shared" si="5"/>
        <v>0</v>
      </c>
      <c r="X33" s="10">
        <f t="shared" si="6"/>
        <v>0</v>
      </c>
    </row>
    <row r="34" spans="1:24" s="9" customFormat="1" ht="13.5" customHeight="1" x14ac:dyDescent="0.2">
      <c r="A34" s="292">
        <f t="shared" si="7"/>
        <v>30</v>
      </c>
      <c r="B34" s="293" t="s">
        <v>635</v>
      </c>
      <c r="C34" s="294">
        <v>36707</v>
      </c>
      <c r="D34" s="295">
        <v>0</v>
      </c>
      <c r="E34" s="295"/>
      <c r="F34" s="295">
        <f t="shared" si="8"/>
        <v>0</v>
      </c>
      <c r="G34" s="287">
        <v>0</v>
      </c>
      <c r="H34" s="295">
        <f t="shared" si="9"/>
        <v>0</v>
      </c>
      <c r="I34" s="296">
        <v>5</v>
      </c>
      <c r="J34" s="296">
        <v>0.2</v>
      </c>
      <c r="K34" s="296">
        <v>0</v>
      </c>
      <c r="L34" s="287"/>
      <c r="M34" s="287">
        <f t="shared" si="0"/>
        <v>0</v>
      </c>
      <c r="N34" s="295">
        <f t="shared" si="1"/>
        <v>0</v>
      </c>
      <c r="O34" s="297"/>
      <c r="P34" s="297"/>
      <c r="Q34" s="301"/>
      <c r="R34" s="290"/>
      <c r="S34" s="290">
        <f t="shared" si="2"/>
        <v>0</v>
      </c>
      <c r="T34" s="290">
        <f t="shared" si="3"/>
        <v>0</v>
      </c>
      <c r="U34" s="290"/>
      <c r="V34" s="291">
        <f t="shared" si="4"/>
        <v>0</v>
      </c>
      <c r="W34" s="10">
        <f t="shared" si="5"/>
        <v>0</v>
      </c>
      <c r="X34" s="10">
        <f t="shared" si="6"/>
        <v>0</v>
      </c>
    </row>
    <row r="35" spans="1:24" s="9" customFormat="1" ht="13.5" customHeight="1" x14ac:dyDescent="0.2">
      <c r="A35" s="292">
        <f t="shared" si="7"/>
        <v>31</v>
      </c>
      <c r="B35" s="293" t="s">
        <v>636</v>
      </c>
      <c r="C35" s="294">
        <v>36720</v>
      </c>
      <c r="D35" s="295">
        <v>0</v>
      </c>
      <c r="E35" s="295"/>
      <c r="F35" s="295">
        <f t="shared" si="8"/>
        <v>0</v>
      </c>
      <c r="G35" s="287">
        <v>0</v>
      </c>
      <c r="H35" s="295">
        <f t="shared" si="9"/>
        <v>0</v>
      </c>
      <c r="I35" s="296">
        <v>5</v>
      </c>
      <c r="J35" s="296">
        <v>0.2</v>
      </c>
      <c r="K35" s="296">
        <v>0</v>
      </c>
      <c r="L35" s="287"/>
      <c r="M35" s="287">
        <f t="shared" si="0"/>
        <v>0</v>
      </c>
      <c r="N35" s="295">
        <f t="shared" si="1"/>
        <v>0</v>
      </c>
      <c r="O35" s="297"/>
      <c r="P35" s="297"/>
      <c r="Q35" s="298"/>
      <c r="R35" s="290"/>
      <c r="S35" s="290">
        <f t="shared" si="2"/>
        <v>0</v>
      </c>
      <c r="T35" s="290">
        <f t="shared" si="3"/>
        <v>0</v>
      </c>
      <c r="U35" s="290"/>
      <c r="V35" s="291">
        <f t="shared" si="4"/>
        <v>0</v>
      </c>
      <c r="W35" s="10">
        <f t="shared" si="5"/>
        <v>0</v>
      </c>
      <c r="X35" s="10">
        <f t="shared" si="6"/>
        <v>0</v>
      </c>
    </row>
    <row r="36" spans="1:24" s="9" customFormat="1" ht="13.5" customHeight="1" x14ac:dyDescent="0.2">
      <c r="A36" s="64">
        <f t="shared" si="7"/>
        <v>32</v>
      </c>
      <c r="B36" s="77" t="s">
        <v>637</v>
      </c>
      <c r="C36" s="163">
        <v>36728</v>
      </c>
      <c r="D36" s="67">
        <v>9000000</v>
      </c>
      <c r="E36" s="67"/>
      <c r="F36" s="67">
        <f t="shared" si="8"/>
        <v>9000000</v>
      </c>
      <c r="G36" s="110">
        <v>8999000</v>
      </c>
      <c r="H36" s="67">
        <f t="shared" si="9"/>
        <v>1000</v>
      </c>
      <c r="I36" s="68">
        <v>5</v>
      </c>
      <c r="J36" s="68">
        <v>0.2</v>
      </c>
      <c r="K36" s="68">
        <v>0</v>
      </c>
      <c r="L36" s="110"/>
      <c r="M36" s="110">
        <f t="shared" si="0"/>
        <v>8999000</v>
      </c>
      <c r="N36" s="67">
        <f t="shared" si="1"/>
        <v>1000</v>
      </c>
      <c r="O36" s="111"/>
      <c r="P36" s="111"/>
      <c r="Q36" s="70"/>
      <c r="R36" s="23"/>
      <c r="S36" s="23">
        <f t="shared" si="2"/>
        <v>450000</v>
      </c>
      <c r="T36" s="23">
        <f t="shared" si="3"/>
        <v>-449000</v>
      </c>
      <c r="U36" s="23">
        <f>N36-1000</f>
        <v>0</v>
      </c>
      <c r="V36" s="10">
        <f t="shared" si="4"/>
        <v>1800000</v>
      </c>
      <c r="W36" s="10">
        <f t="shared" si="5"/>
        <v>0</v>
      </c>
      <c r="X36" s="10">
        <f t="shared" si="6"/>
        <v>0</v>
      </c>
    </row>
    <row r="37" spans="1:24" s="9" customFormat="1" ht="13.5" customHeight="1" x14ac:dyDescent="0.2">
      <c r="A37" s="64">
        <f t="shared" si="7"/>
        <v>33</v>
      </c>
      <c r="B37" s="77" t="s">
        <v>638</v>
      </c>
      <c r="C37" s="163">
        <v>36728</v>
      </c>
      <c r="D37" s="67">
        <v>4000000</v>
      </c>
      <c r="E37" s="67"/>
      <c r="F37" s="67">
        <f t="shared" si="8"/>
        <v>4000000</v>
      </c>
      <c r="G37" s="110">
        <v>3999000</v>
      </c>
      <c r="H37" s="67">
        <f t="shared" si="9"/>
        <v>1000</v>
      </c>
      <c r="I37" s="68">
        <v>5</v>
      </c>
      <c r="J37" s="68">
        <v>0.2</v>
      </c>
      <c r="K37" s="68">
        <v>0</v>
      </c>
      <c r="L37" s="110"/>
      <c r="M37" s="110">
        <f t="shared" si="0"/>
        <v>3999000</v>
      </c>
      <c r="N37" s="67">
        <f t="shared" si="1"/>
        <v>1000</v>
      </c>
      <c r="O37" s="111"/>
      <c r="P37" s="111"/>
      <c r="Q37" s="70"/>
      <c r="R37" s="23"/>
      <c r="S37" s="23">
        <f t="shared" si="2"/>
        <v>200000</v>
      </c>
      <c r="T37" s="23">
        <f t="shared" si="3"/>
        <v>-199000</v>
      </c>
      <c r="U37" s="23">
        <f>N37-1000</f>
        <v>0</v>
      </c>
      <c r="V37" s="10">
        <f t="shared" si="4"/>
        <v>800000</v>
      </c>
      <c r="W37" s="10">
        <f t="shared" si="5"/>
        <v>0</v>
      </c>
      <c r="X37" s="10">
        <f t="shared" si="6"/>
        <v>0</v>
      </c>
    </row>
    <row r="38" spans="1:24" s="9" customFormat="1" ht="13.5" customHeight="1" x14ac:dyDescent="0.2">
      <c r="A38" s="64">
        <f t="shared" si="7"/>
        <v>34</v>
      </c>
      <c r="B38" s="77" t="s">
        <v>639</v>
      </c>
      <c r="C38" s="163">
        <v>36763</v>
      </c>
      <c r="D38" s="67">
        <v>2300000</v>
      </c>
      <c r="E38" s="67"/>
      <c r="F38" s="67">
        <f t="shared" si="8"/>
        <v>2300000</v>
      </c>
      <c r="G38" s="110">
        <v>2299000</v>
      </c>
      <c r="H38" s="67">
        <f t="shared" si="9"/>
        <v>1000</v>
      </c>
      <c r="I38" s="68">
        <v>5</v>
      </c>
      <c r="J38" s="68">
        <v>0.2</v>
      </c>
      <c r="K38" s="68">
        <v>0</v>
      </c>
      <c r="L38" s="110"/>
      <c r="M38" s="110">
        <f t="shared" si="0"/>
        <v>2299000</v>
      </c>
      <c r="N38" s="67">
        <f t="shared" si="1"/>
        <v>1000</v>
      </c>
      <c r="O38" s="111"/>
      <c r="P38" s="111"/>
      <c r="Q38" s="70"/>
      <c r="R38" s="23"/>
      <c r="S38" s="23">
        <f t="shared" si="2"/>
        <v>115000</v>
      </c>
      <c r="T38" s="23">
        <f t="shared" si="3"/>
        <v>-114000</v>
      </c>
      <c r="U38" s="23">
        <f>N38-1000</f>
        <v>0</v>
      </c>
      <c r="V38" s="10">
        <f t="shared" si="4"/>
        <v>460000</v>
      </c>
      <c r="W38" s="10">
        <f t="shared" si="5"/>
        <v>0</v>
      </c>
      <c r="X38" s="10">
        <f t="shared" si="6"/>
        <v>0</v>
      </c>
    </row>
    <row r="39" spans="1:24" s="9" customFormat="1" ht="13.5" customHeight="1" x14ac:dyDescent="0.2">
      <c r="A39" s="64">
        <f t="shared" si="7"/>
        <v>35</v>
      </c>
      <c r="B39" s="77" t="s">
        <v>640</v>
      </c>
      <c r="C39" s="163">
        <v>36722</v>
      </c>
      <c r="D39" s="67">
        <v>6101273</v>
      </c>
      <c r="E39" s="67"/>
      <c r="F39" s="67">
        <f t="shared" si="8"/>
        <v>6101273</v>
      </c>
      <c r="G39" s="110">
        <v>6100273</v>
      </c>
      <c r="H39" s="67">
        <f t="shared" si="9"/>
        <v>1000</v>
      </c>
      <c r="I39" s="68">
        <v>5</v>
      </c>
      <c r="J39" s="68">
        <v>0.2</v>
      </c>
      <c r="K39" s="68">
        <v>0</v>
      </c>
      <c r="L39" s="110"/>
      <c r="M39" s="110">
        <f t="shared" si="0"/>
        <v>6100273</v>
      </c>
      <c r="N39" s="67">
        <f t="shared" si="1"/>
        <v>1000</v>
      </c>
      <c r="O39" s="111"/>
      <c r="P39" s="111"/>
      <c r="Q39" s="70"/>
      <c r="R39" s="23"/>
      <c r="S39" s="23">
        <f t="shared" si="2"/>
        <v>305063.65000000002</v>
      </c>
      <c r="T39" s="23">
        <f t="shared" si="3"/>
        <v>-304063.65000000002</v>
      </c>
      <c r="U39" s="23">
        <f>N39-1000</f>
        <v>0</v>
      </c>
      <c r="V39" s="10">
        <f t="shared" si="4"/>
        <v>1220254.6000000001</v>
      </c>
      <c r="W39" s="10">
        <f t="shared" si="5"/>
        <v>0</v>
      </c>
      <c r="X39" s="10">
        <f t="shared" si="6"/>
        <v>0</v>
      </c>
    </row>
    <row r="40" spans="1:24" s="9" customFormat="1" ht="13.5" customHeight="1" x14ac:dyDescent="0.2">
      <c r="A40" s="64">
        <f t="shared" si="7"/>
        <v>36</v>
      </c>
      <c r="B40" s="77" t="s">
        <v>641</v>
      </c>
      <c r="C40" s="163">
        <v>36804</v>
      </c>
      <c r="D40" s="67">
        <v>3000000</v>
      </c>
      <c r="E40" s="67"/>
      <c r="F40" s="67">
        <f t="shared" si="8"/>
        <v>3000000</v>
      </c>
      <c r="G40" s="110">
        <v>2999000</v>
      </c>
      <c r="H40" s="67">
        <f t="shared" si="9"/>
        <v>1000</v>
      </c>
      <c r="I40" s="68">
        <v>5</v>
      </c>
      <c r="J40" s="68">
        <v>0.2</v>
      </c>
      <c r="K40" s="68">
        <v>0</v>
      </c>
      <c r="L40" s="110"/>
      <c r="M40" s="110">
        <f t="shared" si="0"/>
        <v>2999000</v>
      </c>
      <c r="N40" s="67">
        <f t="shared" si="1"/>
        <v>1000</v>
      </c>
      <c r="O40" s="111"/>
      <c r="P40" s="111"/>
      <c r="Q40" s="70"/>
      <c r="R40" s="23"/>
      <c r="S40" s="23">
        <f t="shared" si="2"/>
        <v>150000</v>
      </c>
      <c r="T40" s="23">
        <f t="shared" si="3"/>
        <v>-149000</v>
      </c>
      <c r="U40" s="23">
        <f>N40-1000</f>
        <v>0</v>
      </c>
      <c r="V40" s="10">
        <f t="shared" si="4"/>
        <v>600000</v>
      </c>
      <c r="W40" s="10">
        <f t="shared" si="5"/>
        <v>0</v>
      </c>
      <c r="X40" s="10">
        <f t="shared" si="6"/>
        <v>0</v>
      </c>
    </row>
    <row r="41" spans="1:24" s="9" customFormat="1" ht="13.5" customHeight="1" x14ac:dyDescent="0.2">
      <c r="A41" s="292">
        <f t="shared" si="7"/>
        <v>37</v>
      </c>
      <c r="B41" s="302" t="s">
        <v>606</v>
      </c>
      <c r="C41" s="303">
        <v>36805</v>
      </c>
      <c r="D41" s="304">
        <v>0</v>
      </c>
      <c r="E41" s="304"/>
      <c r="F41" s="305">
        <f t="shared" si="8"/>
        <v>0</v>
      </c>
      <c r="G41" s="306">
        <v>0</v>
      </c>
      <c r="H41" s="305">
        <f t="shared" si="9"/>
        <v>0</v>
      </c>
      <c r="I41" s="307">
        <v>5</v>
      </c>
      <c r="J41" s="307">
        <v>0.2</v>
      </c>
      <c r="K41" s="296">
        <v>0</v>
      </c>
      <c r="L41" s="287"/>
      <c r="M41" s="306">
        <f t="shared" si="0"/>
        <v>0</v>
      </c>
      <c r="N41" s="305">
        <f t="shared" si="1"/>
        <v>0</v>
      </c>
      <c r="O41" s="308"/>
      <c r="P41" s="308"/>
      <c r="Q41" s="309"/>
      <c r="R41" s="290"/>
      <c r="S41" s="290">
        <f t="shared" si="2"/>
        <v>0</v>
      </c>
      <c r="T41" s="290">
        <f t="shared" si="3"/>
        <v>0</v>
      </c>
      <c r="U41" s="290"/>
      <c r="V41" s="291">
        <f t="shared" si="4"/>
        <v>0</v>
      </c>
      <c r="W41" s="10">
        <f t="shared" si="5"/>
        <v>0</v>
      </c>
      <c r="X41" s="10">
        <f t="shared" si="6"/>
        <v>0</v>
      </c>
    </row>
    <row r="42" spans="1:24" s="9" customFormat="1" ht="13.5" customHeight="1" x14ac:dyDescent="0.2">
      <c r="A42" s="64">
        <f t="shared" si="7"/>
        <v>38</v>
      </c>
      <c r="B42" s="77" t="s">
        <v>642</v>
      </c>
      <c r="C42" s="163">
        <v>36981</v>
      </c>
      <c r="D42" s="175">
        <v>4300000</v>
      </c>
      <c r="E42" s="175"/>
      <c r="F42" s="67">
        <f t="shared" si="8"/>
        <v>4300000</v>
      </c>
      <c r="G42" s="110">
        <v>4299000</v>
      </c>
      <c r="H42" s="67">
        <f t="shared" si="9"/>
        <v>1000</v>
      </c>
      <c r="I42" s="68">
        <v>5</v>
      </c>
      <c r="J42" s="68">
        <v>0.2</v>
      </c>
      <c r="K42" s="68">
        <v>0</v>
      </c>
      <c r="L42" s="110"/>
      <c r="M42" s="110">
        <f t="shared" si="0"/>
        <v>4299000</v>
      </c>
      <c r="N42" s="67">
        <f t="shared" si="1"/>
        <v>1000</v>
      </c>
      <c r="O42" s="111"/>
      <c r="P42" s="111"/>
      <c r="Q42" s="70"/>
      <c r="R42" s="23"/>
      <c r="S42" s="23">
        <f t="shared" si="2"/>
        <v>215000</v>
      </c>
      <c r="T42" s="23">
        <f t="shared" si="3"/>
        <v>-214000</v>
      </c>
      <c r="U42" s="23">
        <f>N42-1000</f>
        <v>0</v>
      </c>
      <c r="V42" s="10">
        <f t="shared" si="4"/>
        <v>860000</v>
      </c>
      <c r="W42" s="10">
        <f t="shared" si="5"/>
        <v>0</v>
      </c>
      <c r="X42" s="10">
        <f t="shared" si="6"/>
        <v>0</v>
      </c>
    </row>
    <row r="43" spans="1:24" s="9" customFormat="1" ht="13.5" customHeight="1" x14ac:dyDescent="0.2">
      <c r="A43" s="292">
        <f t="shared" si="7"/>
        <v>39</v>
      </c>
      <c r="B43" s="293" t="s">
        <v>643</v>
      </c>
      <c r="C43" s="294">
        <v>36984</v>
      </c>
      <c r="D43" s="310">
        <v>0</v>
      </c>
      <c r="E43" s="310"/>
      <c r="F43" s="295">
        <f t="shared" si="8"/>
        <v>0</v>
      </c>
      <c r="G43" s="287">
        <v>0</v>
      </c>
      <c r="H43" s="295">
        <f t="shared" si="9"/>
        <v>0</v>
      </c>
      <c r="I43" s="296">
        <v>5</v>
      </c>
      <c r="J43" s="296">
        <v>0.2</v>
      </c>
      <c r="K43" s="296">
        <v>0</v>
      </c>
      <c r="L43" s="287"/>
      <c r="M43" s="287">
        <f t="shared" si="0"/>
        <v>0</v>
      </c>
      <c r="N43" s="295">
        <f t="shared" si="1"/>
        <v>0</v>
      </c>
      <c r="O43" s="297"/>
      <c r="P43" s="297"/>
      <c r="Q43" s="298"/>
      <c r="R43" s="290"/>
      <c r="S43" s="290">
        <f t="shared" si="2"/>
        <v>0</v>
      </c>
      <c r="T43" s="290">
        <f t="shared" si="3"/>
        <v>0</v>
      </c>
      <c r="U43" s="290"/>
      <c r="V43" s="291">
        <f t="shared" si="4"/>
        <v>0</v>
      </c>
      <c r="W43" s="10">
        <f t="shared" si="5"/>
        <v>0</v>
      </c>
      <c r="X43" s="10">
        <f t="shared" si="6"/>
        <v>0</v>
      </c>
    </row>
    <row r="44" spans="1:24" s="9" customFormat="1" ht="13.5" customHeight="1" x14ac:dyDescent="0.2">
      <c r="A44" s="742">
        <f t="shared" si="7"/>
        <v>40</v>
      </c>
      <c r="B44" s="750" t="s">
        <v>644</v>
      </c>
      <c r="C44" s="744">
        <v>36991</v>
      </c>
      <c r="D44" s="751">
        <v>27555000</v>
      </c>
      <c r="E44" s="751"/>
      <c r="F44" s="745">
        <f t="shared" si="8"/>
        <v>27555000</v>
      </c>
      <c r="G44" s="746">
        <v>27554000</v>
      </c>
      <c r="H44" s="745">
        <v>1000</v>
      </c>
      <c r="I44" s="747">
        <v>5</v>
      </c>
      <c r="J44" s="747">
        <v>0.2</v>
      </c>
      <c r="K44" s="747">
        <v>0</v>
      </c>
      <c r="L44" s="746"/>
      <c r="M44" s="746">
        <f>+G44+L44</f>
        <v>27554000</v>
      </c>
      <c r="N44" s="745">
        <f t="shared" si="1"/>
        <v>1000</v>
      </c>
      <c r="O44" s="748"/>
      <c r="P44" s="748"/>
      <c r="Q44" s="752" t="s">
        <v>2938</v>
      </c>
      <c r="R44" s="320"/>
      <c r="S44" s="320">
        <f t="shared" si="2"/>
        <v>1377750</v>
      </c>
      <c r="T44" s="320">
        <f t="shared" si="3"/>
        <v>-1376750</v>
      </c>
      <c r="U44" s="320">
        <f>N44-1000</f>
        <v>0</v>
      </c>
      <c r="V44" s="321">
        <f t="shared" si="4"/>
        <v>5511000</v>
      </c>
      <c r="W44" s="10">
        <f t="shared" si="5"/>
        <v>0</v>
      </c>
      <c r="X44" s="10">
        <f t="shared" si="6"/>
        <v>0</v>
      </c>
    </row>
    <row r="45" spans="1:24" s="9" customFormat="1" ht="13.5" customHeight="1" x14ac:dyDescent="0.2">
      <c r="A45" s="292">
        <f t="shared" si="7"/>
        <v>41</v>
      </c>
      <c r="B45" s="293" t="s">
        <v>645</v>
      </c>
      <c r="C45" s="294">
        <v>36999</v>
      </c>
      <c r="D45" s="310">
        <v>0</v>
      </c>
      <c r="E45" s="310"/>
      <c r="F45" s="295">
        <f t="shared" si="8"/>
        <v>0</v>
      </c>
      <c r="G45" s="287">
        <v>0</v>
      </c>
      <c r="H45" s="295">
        <f t="shared" si="9"/>
        <v>0</v>
      </c>
      <c r="I45" s="296">
        <v>5</v>
      </c>
      <c r="J45" s="296">
        <v>0.2</v>
      </c>
      <c r="K45" s="296">
        <v>0</v>
      </c>
      <c r="L45" s="287"/>
      <c r="M45" s="287">
        <f t="shared" si="0"/>
        <v>0</v>
      </c>
      <c r="N45" s="295">
        <f t="shared" si="1"/>
        <v>0</v>
      </c>
      <c r="O45" s="297"/>
      <c r="P45" s="297"/>
      <c r="Q45" s="298"/>
      <c r="R45" s="290"/>
      <c r="S45" s="290">
        <f t="shared" si="2"/>
        <v>0</v>
      </c>
      <c r="T45" s="290">
        <f t="shared" si="3"/>
        <v>0</v>
      </c>
      <c r="U45" s="290"/>
      <c r="V45" s="291">
        <f t="shared" si="4"/>
        <v>0</v>
      </c>
      <c r="W45" s="10">
        <f t="shared" si="5"/>
        <v>0</v>
      </c>
      <c r="X45" s="10">
        <f t="shared" si="6"/>
        <v>0</v>
      </c>
    </row>
    <row r="46" spans="1:24" s="9" customFormat="1" ht="13.5" customHeight="1" x14ac:dyDescent="0.2">
      <c r="A46" s="64">
        <f t="shared" si="7"/>
        <v>42</v>
      </c>
      <c r="B46" s="77" t="s">
        <v>646</v>
      </c>
      <c r="C46" s="163">
        <v>37004</v>
      </c>
      <c r="D46" s="175">
        <v>890000</v>
      </c>
      <c r="E46" s="175"/>
      <c r="F46" s="67">
        <f t="shared" si="8"/>
        <v>890000</v>
      </c>
      <c r="G46" s="110">
        <v>889000</v>
      </c>
      <c r="H46" s="67">
        <f t="shared" si="9"/>
        <v>1000</v>
      </c>
      <c r="I46" s="68">
        <v>5</v>
      </c>
      <c r="J46" s="68">
        <v>0.2</v>
      </c>
      <c r="K46" s="68">
        <v>0</v>
      </c>
      <c r="L46" s="110"/>
      <c r="M46" s="110">
        <f t="shared" si="0"/>
        <v>889000</v>
      </c>
      <c r="N46" s="67">
        <f t="shared" si="1"/>
        <v>1000</v>
      </c>
      <c r="O46" s="111"/>
      <c r="P46" s="111"/>
      <c r="Q46" s="70"/>
      <c r="R46" s="23"/>
      <c r="S46" s="23">
        <f t="shared" si="2"/>
        <v>44500</v>
      </c>
      <c r="T46" s="23">
        <f t="shared" si="3"/>
        <v>-43500</v>
      </c>
      <c r="U46" s="23">
        <f>N46-1000</f>
        <v>0</v>
      </c>
      <c r="V46" s="10">
        <f t="shared" si="4"/>
        <v>178000</v>
      </c>
      <c r="W46" s="10">
        <f t="shared" si="5"/>
        <v>0</v>
      </c>
      <c r="X46" s="10">
        <f t="shared" si="6"/>
        <v>0</v>
      </c>
    </row>
    <row r="47" spans="1:24" s="9" customFormat="1" ht="13.5" customHeight="1" x14ac:dyDescent="0.2">
      <c r="A47" s="292">
        <f t="shared" si="7"/>
        <v>43</v>
      </c>
      <c r="B47" s="293" t="s">
        <v>647</v>
      </c>
      <c r="C47" s="294">
        <v>37006</v>
      </c>
      <c r="D47" s="310">
        <v>0</v>
      </c>
      <c r="E47" s="310"/>
      <c r="F47" s="295">
        <f t="shared" si="8"/>
        <v>0</v>
      </c>
      <c r="G47" s="287">
        <v>0</v>
      </c>
      <c r="H47" s="295">
        <f t="shared" si="9"/>
        <v>0</v>
      </c>
      <c r="I47" s="296">
        <v>5</v>
      </c>
      <c r="J47" s="296">
        <v>0.2</v>
      </c>
      <c r="K47" s="296">
        <v>0</v>
      </c>
      <c r="L47" s="287"/>
      <c r="M47" s="287">
        <f t="shared" si="0"/>
        <v>0</v>
      </c>
      <c r="N47" s="295">
        <f t="shared" si="1"/>
        <v>0</v>
      </c>
      <c r="O47" s="297"/>
      <c r="P47" s="297"/>
      <c r="Q47" s="298"/>
      <c r="R47" s="290"/>
      <c r="S47" s="290">
        <f t="shared" si="2"/>
        <v>0</v>
      </c>
      <c r="T47" s="290">
        <f t="shared" si="3"/>
        <v>0</v>
      </c>
      <c r="U47" s="290"/>
      <c r="V47" s="291">
        <f t="shared" si="4"/>
        <v>0</v>
      </c>
      <c r="W47" s="10">
        <f t="shared" si="5"/>
        <v>0</v>
      </c>
      <c r="X47" s="10">
        <f t="shared" si="6"/>
        <v>0</v>
      </c>
    </row>
    <row r="48" spans="1:24" s="9" customFormat="1" ht="13.5" customHeight="1" x14ac:dyDescent="0.2">
      <c r="A48" s="64">
        <f t="shared" si="7"/>
        <v>44</v>
      </c>
      <c r="B48" s="77" t="s">
        <v>648</v>
      </c>
      <c r="C48" s="163">
        <v>37008</v>
      </c>
      <c r="D48" s="175">
        <v>750000</v>
      </c>
      <c r="E48" s="175"/>
      <c r="F48" s="67">
        <f t="shared" si="8"/>
        <v>750000</v>
      </c>
      <c r="G48" s="110">
        <v>749000</v>
      </c>
      <c r="H48" s="67">
        <f t="shared" si="9"/>
        <v>1000</v>
      </c>
      <c r="I48" s="68">
        <v>5</v>
      </c>
      <c r="J48" s="68">
        <v>0.2</v>
      </c>
      <c r="K48" s="68">
        <v>0</v>
      </c>
      <c r="L48" s="110"/>
      <c r="M48" s="110">
        <f t="shared" si="0"/>
        <v>749000</v>
      </c>
      <c r="N48" s="67">
        <f t="shared" si="1"/>
        <v>1000</v>
      </c>
      <c r="O48" s="111"/>
      <c r="P48" s="111"/>
      <c r="Q48" s="70"/>
      <c r="R48" s="23"/>
      <c r="S48" s="23">
        <f t="shared" si="2"/>
        <v>37500</v>
      </c>
      <c r="T48" s="23">
        <f t="shared" si="3"/>
        <v>-36500</v>
      </c>
      <c r="U48" s="23">
        <f>N48-1000</f>
        <v>0</v>
      </c>
      <c r="V48" s="10">
        <f t="shared" si="4"/>
        <v>150000</v>
      </c>
      <c r="W48" s="10">
        <f t="shared" si="5"/>
        <v>0</v>
      </c>
      <c r="X48" s="10">
        <f t="shared" si="6"/>
        <v>0</v>
      </c>
    </row>
    <row r="49" spans="1:24" s="9" customFormat="1" ht="13.5" customHeight="1" x14ac:dyDescent="0.2">
      <c r="A49" s="64">
        <f t="shared" si="7"/>
        <v>45</v>
      </c>
      <c r="B49" s="77" t="s">
        <v>649</v>
      </c>
      <c r="C49" s="163">
        <v>37008</v>
      </c>
      <c r="D49" s="175">
        <v>42000000</v>
      </c>
      <c r="E49" s="175"/>
      <c r="F49" s="67">
        <f t="shared" si="8"/>
        <v>42000000</v>
      </c>
      <c r="G49" s="110">
        <v>41999000</v>
      </c>
      <c r="H49" s="67">
        <f t="shared" si="9"/>
        <v>1000</v>
      </c>
      <c r="I49" s="68">
        <v>5</v>
      </c>
      <c r="J49" s="68">
        <v>0.2</v>
      </c>
      <c r="K49" s="68">
        <v>0</v>
      </c>
      <c r="L49" s="110"/>
      <c r="M49" s="110">
        <f t="shared" si="0"/>
        <v>41999000</v>
      </c>
      <c r="N49" s="67">
        <f t="shared" si="1"/>
        <v>1000</v>
      </c>
      <c r="O49" s="111"/>
      <c r="P49" s="111"/>
      <c r="Q49" s="70"/>
      <c r="R49" s="23"/>
      <c r="S49" s="23">
        <f t="shared" si="2"/>
        <v>2100000</v>
      </c>
      <c r="T49" s="23">
        <f t="shared" si="3"/>
        <v>-2099000</v>
      </c>
      <c r="U49" s="23">
        <f>N49-1000</f>
        <v>0</v>
      </c>
      <c r="V49" s="10">
        <f t="shared" si="4"/>
        <v>8400000</v>
      </c>
      <c r="W49" s="10">
        <f t="shared" si="5"/>
        <v>0</v>
      </c>
      <c r="X49" s="10">
        <f t="shared" si="6"/>
        <v>0</v>
      </c>
    </row>
    <row r="50" spans="1:24" s="9" customFormat="1" ht="13.5" customHeight="1" x14ac:dyDescent="0.2">
      <c r="A50" s="292">
        <f t="shared" si="7"/>
        <v>46</v>
      </c>
      <c r="B50" s="293" t="s">
        <v>650</v>
      </c>
      <c r="C50" s="294">
        <v>37011</v>
      </c>
      <c r="D50" s="310">
        <v>0</v>
      </c>
      <c r="E50" s="310"/>
      <c r="F50" s="295">
        <f t="shared" si="8"/>
        <v>0</v>
      </c>
      <c r="G50" s="287">
        <v>0</v>
      </c>
      <c r="H50" s="295">
        <f t="shared" si="9"/>
        <v>0</v>
      </c>
      <c r="I50" s="296">
        <v>5</v>
      </c>
      <c r="J50" s="296">
        <v>0.2</v>
      </c>
      <c r="K50" s="296">
        <v>0</v>
      </c>
      <c r="L50" s="287"/>
      <c r="M50" s="287">
        <f t="shared" si="0"/>
        <v>0</v>
      </c>
      <c r="N50" s="295">
        <f t="shared" si="1"/>
        <v>0</v>
      </c>
      <c r="O50" s="297"/>
      <c r="P50" s="297"/>
      <c r="Q50" s="298"/>
      <c r="R50" s="290"/>
      <c r="S50" s="290">
        <f t="shared" si="2"/>
        <v>0</v>
      </c>
      <c r="T50" s="290">
        <f t="shared" si="3"/>
        <v>0</v>
      </c>
      <c r="U50" s="290"/>
      <c r="V50" s="291">
        <f t="shared" si="4"/>
        <v>0</v>
      </c>
      <c r="W50" s="10">
        <f t="shared" si="5"/>
        <v>0</v>
      </c>
      <c r="X50" s="10">
        <f t="shared" si="6"/>
        <v>0</v>
      </c>
    </row>
    <row r="51" spans="1:24" s="9" customFormat="1" ht="13.5" customHeight="1" x14ac:dyDescent="0.2">
      <c r="A51" s="292">
        <f t="shared" si="7"/>
        <v>47</v>
      </c>
      <c r="B51" s="293" t="s">
        <v>202</v>
      </c>
      <c r="C51" s="294">
        <v>37040</v>
      </c>
      <c r="D51" s="310">
        <v>0</v>
      </c>
      <c r="E51" s="310"/>
      <c r="F51" s="295">
        <f t="shared" si="8"/>
        <v>0</v>
      </c>
      <c r="G51" s="287">
        <v>0</v>
      </c>
      <c r="H51" s="295">
        <f t="shared" si="9"/>
        <v>0</v>
      </c>
      <c r="I51" s="296">
        <v>5</v>
      </c>
      <c r="J51" s="296">
        <v>0.2</v>
      </c>
      <c r="K51" s="296">
        <v>0</v>
      </c>
      <c r="L51" s="287"/>
      <c r="M51" s="287">
        <f t="shared" si="0"/>
        <v>0</v>
      </c>
      <c r="N51" s="295">
        <f t="shared" si="1"/>
        <v>0</v>
      </c>
      <c r="O51" s="297"/>
      <c r="P51" s="297"/>
      <c r="Q51" s="298"/>
      <c r="R51" s="290"/>
      <c r="S51" s="290">
        <f t="shared" si="2"/>
        <v>0</v>
      </c>
      <c r="T51" s="290">
        <f t="shared" si="3"/>
        <v>0</v>
      </c>
      <c r="U51" s="290"/>
      <c r="V51" s="291">
        <f t="shared" si="4"/>
        <v>0</v>
      </c>
      <c r="W51" s="10">
        <f t="shared" si="5"/>
        <v>0</v>
      </c>
      <c r="X51" s="10">
        <f t="shared" si="6"/>
        <v>0</v>
      </c>
    </row>
    <row r="52" spans="1:24" s="9" customFormat="1" ht="13.5" customHeight="1" x14ac:dyDescent="0.2">
      <c r="A52" s="64">
        <f t="shared" si="7"/>
        <v>48</v>
      </c>
      <c r="B52" s="77" t="s">
        <v>651</v>
      </c>
      <c r="C52" s="163">
        <v>37044</v>
      </c>
      <c r="D52" s="175">
        <v>2110000</v>
      </c>
      <c r="E52" s="175"/>
      <c r="F52" s="67">
        <f t="shared" si="8"/>
        <v>2110000</v>
      </c>
      <c r="G52" s="110">
        <v>2109000</v>
      </c>
      <c r="H52" s="67">
        <f t="shared" si="9"/>
        <v>1000</v>
      </c>
      <c r="I52" s="68">
        <v>5</v>
      </c>
      <c r="J52" s="68">
        <v>0.2</v>
      </c>
      <c r="K52" s="68">
        <v>0</v>
      </c>
      <c r="L52" s="110"/>
      <c r="M52" s="110">
        <f t="shared" si="0"/>
        <v>2109000</v>
      </c>
      <c r="N52" s="67">
        <f t="shared" si="1"/>
        <v>1000</v>
      </c>
      <c r="O52" s="111"/>
      <c r="P52" s="111"/>
      <c r="Q52" s="70"/>
      <c r="R52" s="23"/>
      <c r="S52" s="23">
        <f t="shared" si="2"/>
        <v>105500</v>
      </c>
      <c r="T52" s="23">
        <f t="shared" si="3"/>
        <v>-104500</v>
      </c>
      <c r="U52" s="23">
        <f t="shared" ref="U52:U60" si="10">N52-1000</f>
        <v>0</v>
      </c>
      <c r="V52" s="10">
        <f t="shared" si="4"/>
        <v>422000</v>
      </c>
      <c r="W52" s="10">
        <f t="shared" si="5"/>
        <v>0</v>
      </c>
      <c r="X52" s="10">
        <f t="shared" si="6"/>
        <v>0</v>
      </c>
    </row>
    <row r="53" spans="1:24" s="9" customFormat="1" ht="13.5" customHeight="1" x14ac:dyDescent="0.2">
      <c r="A53" s="64">
        <f t="shared" si="7"/>
        <v>49</v>
      </c>
      <c r="B53" s="77" t="s">
        <v>229</v>
      </c>
      <c r="C53" s="163">
        <v>37061</v>
      </c>
      <c r="D53" s="175">
        <v>2100000</v>
      </c>
      <c r="E53" s="175"/>
      <c r="F53" s="67">
        <f t="shared" si="8"/>
        <v>2100000</v>
      </c>
      <c r="G53" s="110">
        <v>2099000</v>
      </c>
      <c r="H53" s="67">
        <f t="shared" si="9"/>
        <v>1000</v>
      </c>
      <c r="I53" s="68">
        <v>5</v>
      </c>
      <c r="J53" s="68">
        <v>0.2</v>
      </c>
      <c r="K53" s="68">
        <v>0</v>
      </c>
      <c r="L53" s="110"/>
      <c r="M53" s="110">
        <f t="shared" si="0"/>
        <v>2099000</v>
      </c>
      <c r="N53" s="67">
        <f t="shared" si="1"/>
        <v>1000</v>
      </c>
      <c r="O53" s="111"/>
      <c r="P53" s="111"/>
      <c r="Q53" s="70"/>
      <c r="R53" s="23"/>
      <c r="S53" s="23">
        <f t="shared" si="2"/>
        <v>105000</v>
      </c>
      <c r="T53" s="23">
        <f t="shared" si="3"/>
        <v>-104000</v>
      </c>
      <c r="U53" s="23">
        <f t="shared" si="10"/>
        <v>0</v>
      </c>
      <c r="V53" s="10">
        <f t="shared" si="4"/>
        <v>420000</v>
      </c>
      <c r="W53" s="10">
        <f t="shared" si="5"/>
        <v>0</v>
      </c>
      <c r="X53" s="10">
        <f t="shared" si="6"/>
        <v>0</v>
      </c>
    </row>
    <row r="54" spans="1:24" s="9" customFormat="1" ht="13.5" customHeight="1" x14ac:dyDescent="0.2">
      <c r="A54" s="64">
        <f t="shared" si="7"/>
        <v>50</v>
      </c>
      <c r="B54" s="77" t="s">
        <v>652</v>
      </c>
      <c r="C54" s="163">
        <v>37154</v>
      </c>
      <c r="D54" s="175">
        <v>4400000</v>
      </c>
      <c r="E54" s="175"/>
      <c r="F54" s="67">
        <f t="shared" si="8"/>
        <v>4400000</v>
      </c>
      <c r="G54" s="110">
        <v>4399000</v>
      </c>
      <c r="H54" s="67">
        <f t="shared" si="9"/>
        <v>1000</v>
      </c>
      <c r="I54" s="68">
        <v>5</v>
      </c>
      <c r="J54" s="68">
        <v>0.2</v>
      </c>
      <c r="K54" s="68">
        <v>0</v>
      </c>
      <c r="L54" s="110"/>
      <c r="M54" s="110">
        <f t="shared" si="0"/>
        <v>4399000</v>
      </c>
      <c r="N54" s="67">
        <f t="shared" si="1"/>
        <v>1000</v>
      </c>
      <c r="O54" s="111"/>
      <c r="P54" s="111"/>
      <c r="Q54" s="70"/>
      <c r="R54" s="23">
        <f t="shared" ref="R54:R117" si="11">+N54*J54</f>
        <v>200</v>
      </c>
      <c r="S54" s="23">
        <f t="shared" si="2"/>
        <v>220000</v>
      </c>
      <c r="T54" s="23">
        <f t="shared" si="3"/>
        <v>-219000</v>
      </c>
      <c r="U54" s="23">
        <f t="shared" si="10"/>
        <v>0</v>
      </c>
      <c r="V54" s="10">
        <f t="shared" si="4"/>
        <v>880000</v>
      </c>
      <c r="W54" s="10">
        <f t="shared" si="5"/>
        <v>0</v>
      </c>
      <c r="X54" s="10">
        <f t="shared" si="6"/>
        <v>0</v>
      </c>
    </row>
    <row r="55" spans="1:24" s="9" customFormat="1" ht="13.5" customHeight="1" x14ac:dyDescent="0.2">
      <c r="A55" s="64">
        <f t="shared" si="7"/>
        <v>51</v>
      </c>
      <c r="B55" s="77" t="s">
        <v>653</v>
      </c>
      <c r="C55" s="163">
        <v>37154</v>
      </c>
      <c r="D55" s="175">
        <v>6600000</v>
      </c>
      <c r="E55" s="175"/>
      <c r="F55" s="67">
        <f t="shared" si="8"/>
        <v>6600000</v>
      </c>
      <c r="G55" s="110">
        <v>6599000</v>
      </c>
      <c r="H55" s="67">
        <f t="shared" si="9"/>
        <v>1000</v>
      </c>
      <c r="I55" s="68">
        <v>5</v>
      </c>
      <c r="J55" s="68">
        <v>0.2</v>
      </c>
      <c r="K55" s="68">
        <v>0</v>
      </c>
      <c r="L55" s="110"/>
      <c r="M55" s="110">
        <f t="shared" si="0"/>
        <v>6599000</v>
      </c>
      <c r="N55" s="67">
        <f t="shared" si="1"/>
        <v>1000</v>
      </c>
      <c r="O55" s="111"/>
      <c r="P55" s="111"/>
      <c r="Q55" s="70"/>
      <c r="R55" s="23">
        <f t="shared" si="11"/>
        <v>200</v>
      </c>
      <c r="S55" s="23">
        <f t="shared" si="2"/>
        <v>330000</v>
      </c>
      <c r="T55" s="23">
        <f t="shared" si="3"/>
        <v>-329000</v>
      </c>
      <c r="U55" s="23">
        <f t="shared" si="10"/>
        <v>0</v>
      </c>
      <c r="V55" s="10">
        <f t="shared" si="4"/>
        <v>1320000</v>
      </c>
      <c r="W55" s="10">
        <f t="shared" si="5"/>
        <v>0</v>
      </c>
      <c r="X55" s="10">
        <f t="shared" si="6"/>
        <v>0</v>
      </c>
    </row>
    <row r="56" spans="1:24" s="9" customFormat="1" ht="13.5" customHeight="1" x14ac:dyDescent="0.2">
      <c r="A56" s="322">
        <f t="shared" si="7"/>
        <v>52</v>
      </c>
      <c r="B56" s="323" t="s">
        <v>654</v>
      </c>
      <c r="C56" s="255">
        <v>37155</v>
      </c>
      <c r="D56" s="324">
        <v>218758411</v>
      </c>
      <c r="E56" s="324"/>
      <c r="F56" s="256">
        <f t="shared" si="8"/>
        <v>218758411</v>
      </c>
      <c r="G56" s="258">
        <v>218757411</v>
      </c>
      <c r="H56" s="256">
        <v>1000</v>
      </c>
      <c r="I56" s="259">
        <v>5</v>
      </c>
      <c r="J56" s="259">
        <v>0.2</v>
      </c>
      <c r="K56" s="259">
        <v>0</v>
      </c>
      <c r="L56" s="258"/>
      <c r="M56" s="258">
        <f t="shared" si="0"/>
        <v>218757411</v>
      </c>
      <c r="N56" s="256">
        <f t="shared" si="1"/>
        <v>1000</v>
      </c>
      <c r="O56" s="325"/>
      <c r="P56" s="325"/>
      <c r="Q56" s="326" t="s">
        <v>655</v>
      </c>
      <c r="R56" s="23">
        <f t="shared" si="11"/>
        <v>200</v>
      </c>
      <c r="S56" s="23">
        <f t="shared" si="2"/>
        <v>10937920.550000001</v>
      </c>
      <c r="T56" s="23">
        <f t="shared" si="3"/>
        <v>-10936920.550000001</v>
      </c>
      <c r="U56" s="23">
        <f t="shared" si="10"/>
        <v>0</v>
      </c>
      <c r="V56" s="10">
        <f t="shared" si="4"/>
        <v>43751682.200000003</v>
      </c>
      <c r="W56" s="10">
        <f t="shared" si="5"/>
        <v>0</v>
      </c>
      <c r="X56" s="10">
        <f t="shared" si="6"/>
        <v>0</v>
      </c>
    </row>
    <row r="57" spans="1:24" s="9" customFormat="1" ht="13.5" customHeight="1" x14ac:dyDescent="0.2">
      <c r="A57" s="64">
        <f t="shared" si="7"/>
        <v>53</v>
      </c>
      <c r="B57" s="77" t="s">
        <v>656</v>
      </c>
      <c r="C57" s="163">
        <v>37158</v>
      </c>
      <c r="D57" s="175">
        <v>12450000</v>
      </c>
      <c r="E57" s="175"/>
      <c r="F57" s="67">
        <f t="shared" si="8"/>
        <v>12450000</v>
      </c>
      <c r="G57" s="110">
        <v>12449000</v>
      </c>
      <c r="H57" s="67">
        <f>+F57-G57</f>
        <v>1000</v>
      </c>
      <c r="I57" s="68">
        <v>5</v>
      </c>
      <c r="J57" s="68">
        <v>0.2</v>
      </c>
      <c r="K57" s="68">
        <v>0</v>
      </c>
      <c r="L57" s="110"/>
      <c r="M57" s="110">
        <f t="shared" si="0"/>
        <v>12449000</v>
      </c>
      <c r="N57" s="67">
        <f t="shared" si="1"/>
        <v>1000</v>
      </c>
      <c r="O57" s="111"/>
      <c r="P57" s="111"/>
      <c r="Q57" s="70"/>
      <c r="R57" s="23">
        <f t="shared" si="11"/>
        <v>200</v>
      </c>
      <c r="S57" s="23">
        <f t="shared" si="2"/>
        <v>622500</v>
      </c>
      <c r="T57" s="23">
        <f t="shared" si="3"/>
        <v>-621500</v>
      </c>
      <c r="U57" s="23">
        <f t="shared" si="10"/>
        <v>0</v>
      </c>
      <c r="V57" s="10">
        <f t="shared" si="4"/>
        <v>2490000</v>
      </c>
      <c r="W57" s="10">
        <f t="shared" si="5"/>
        <v>0</v>
      </c>
      <c r="X57" s="10">
        <f t="shared" si="6"/>
        <v>0</v>
      </c>
    </row>
    <row r="58" spans="1:24" s="9" customFormat="1" ht="13.5" customHeight="1" x14ac:dyDescent="0.2">
      <c r="A58" s="64">
        <f t="shared" si="7"/>
        <v>54</v>
      </c>
      <c r="B58" s="77" t="s">
        <v>657</v>
      </c>
      <c r="C58" s="163">
        <v>37183</v>
      </c>
      <c r="D58" s="175">
        <v>4400000</v>
      </c>
      <c r="E58" s="175"/>
      <c r="F58" s="67">
        <f t="shared" si="8"/>
        <v>4400000</v>
      </c>
      <c r="G58" s="110">
        <v>4399000</v>
      </c>
      <c r="H58" s="67">
        <f>+F58-G58</f>
        <v>1000</v>
      </c>
      <c r="I58" s="68">
        <v>5</v>
      </c>
      <c r="J58" s="68">
        <v>0.2</v>
      </c>
      <c r="K58" s="68">
        <v>0</v>
      </c>
      <c r="L58" s="110"/>
      <c r="M58" s="110">
        <f t="shared" si="0"/>
        <v>4399000</v>
      </c>
      <c r="N58" s="67">
        <f t="shared" si="1"/>
        <v>1000</v>
      </c>
      <c r="O58" s="111"/>
      <c r="P58" s="111"/>
      <c r="Q58" s="70"/>
      <c r="R58" s="23">
        <f t="shared" si="11"/>
        <v>200</v>
      </c>
      <c r="S58" s="23">
        <f t="shared" si="2"/>
        <v>220000</v>
      </c>
      <c r="T58" s="23">
        <f t="shared" si="3"/>
        <v>-219000</v>
      </c>
      <c r="U58" s="23">
        <f t="shared" si="10"/>
        <v>0</v>
      </c>
      <c r="V58" s="10">
        <f t="shared" si="4"/>
        <v>880000</v>
      </c>
      <c r="W58" s="10">
        <f t="shared" si="5"/>
        <v>0</v>
      </c>
      <c r="X58" s="10">
        <f t="shared" si="6"/>
        <v>0</v>
      </c>
    </row>
    <row r="59" spans="1:24" s="9" customFormat="1" ht="13.5" customHeight="1" x14ac:dyDescent="0.2">
      <c r="A59" s="64">
        <f t="shared" si="7"/>
        <v>55</v>
      </c>
      <c r="B59" s="77" t="s">
        <v>658</v>
      </c>
      <c r="C59" s="163">
        <v>37189</v>
      </c>
      <c r="D59" s="175">
        <v>5100000</v>
      </c>
      <c r="E59" s="175"/>
      <c r="F59" s="67">
        <f t="shared" si="8"/>
        <v>5100000</v>
      </c>
      <c r="G59" s="110">
        <v>5099000</v>
      </c>
      <c r="H59" s="67">
        <f>+F59-G59</f>
        <v>1000</v>
      </c>
      <c r="I59" s="68">
        <v>5</v>
      </c>
      <c r="J59" s="68">
        <v>0.2</v>
      </c>
      <c r="K59" s="68">
        <v>0</v>
      </c>
      <c r="L59" s="110"/>
      <c r="M59" s="110">
        <f t="shared" si="0"/>
        <v>5099000</v>
      </c>
      <c r="N59" s="67">
        <f t="shared" si="1"/>
        <v>1000</v>
      </c>
      <c r="O59" s="111"/>
      <c r="P59" s="111"/>
      <c r="Q59" s="70"/>
      <c r="R59" s="23">
        <f t="shared" si="11"/>
        <v>200</v>
      </c>
      <c r="S59" s="23">
        <f t="shared" si="2"/>
        <v>255000</v>
      </c>
      <c r="T59" s="23">
        <f t="shared" si="3"/>
        <v>-254000</v>
      </c>
      <c r="U59" s="23">
        <f t="shared" si="10"/>
        <v>0</v>
      </c>
      <c r="V59" s="10">
        <f t="shared" si="4"/>
        <v>1020000</v>
      </c>
      <c r="W59" s="10">
        <f t="shared" si="5"/>
        <v>0</v>
      </c>
      <c r="X59" s="10">
        <f t="shared" si="6"/>
        <v>0</v>
      </c>
    </row>
    <row r="60" spans="1:24" s="9" customFormat="1" ht="13.5" customHeight="1" x14ac:dyDescent="0.2">
      <c r="A60" s="64">
        <f t="shared" si="7"/>
        <v>56</v>
      </c>
      <c r="B60" s="77" t="s">
        <v>659</v>
      </c>
      <c r="C60" s="163">
        <v>37256</v>
      </c>
      <c r="D60" s="175">
        <v>15400000</v>
      </c>
      <c r="E60" s="175"/>
      <c r="F60" s="67">
        <f t="shared" si="8"/>
        <v>15400000</v>
      </c>
      <c r="G60" s="110">
        <v>15399000</v>
      </c>
      <c r="H60" s="67">
        <f>+F60-G60</f>
        <v>1000</v>
      </c>
      <c r="I60" s="68">
        <v>5</v>
      </c>
      <c r="J60" s="68">
        <v>0.2</v>
      </c>
      <c r="K60" s="68">
        <v>0</v>
      </c>
      <c r="L60" s="110"/>
      <c r="M60" s="110">
        <f t="shared" si="0"/>
        <v>15399000</v>
      </c>
      <c r="N60" s="67">
        <f t="shared" si="1"/>
        <v>1000</v>
      </c>
      <c r="O60" s="111"/>
      <c r="P60" s="111"/>
      <c r="Q60" s="70"/>
      <c r="R60" s="23">
        <f t="shared" si="11"/>
        <v>200</v>
      </c>
      <c r="S60" s="23">
        <f t="shared" si="2"/>
        <v>770000</v>
      </c>
      <c r="T60" s="23">
        <f t="shared" si="3"/>
        <v>-769000</v>
      </c>
      <c r="U60" s="23">
        <f t="shared" si="10"/>
        <v>0</v>
      </c>
      <c r="V60" s="10">
        <f t="shared" si="4"/>
        <v>3080000</v>
      </c>
      <c r="W60" s="10">
        <f t="shared" si="5"/>
        <v>0</v>
      </c>
      <c r="X60" s="10">
        <f t="shared" si="6"/>
        <v>0</v>
      </c>
    </row>
    <row r="61" spans="1:24" s="9" customFormat="1" ht="13.5" customHeight="1" x14ac:dyDescent="0.2">
      <c r="A61" s="311">
        <f t="shared" si="7"/>
        <v>57</v>
      </c>
      <c r="B61" s="312" t="s">
        <v>660</v>
      </c>
      <c r="C61" s="313">
        <v>37327</v>
      </c>
      <c r="D61" s="314">
        <v>0</v>
      </c>
      <c r="E61" s="314">
        <v>0</v>
      </c>
      <c r="F61" s="315">
        <v>0</v>
      </c>
      <c r="G61" s="316">
        <v>0</v>
      </c>
      <c r="H61" s="315">
        <v>0</v>
      </c>
      <c r="I61" s="317">
        <v>5</v>
      </c>
      <c r="J61" s="317">
        <v>0.2</v>
      </c>
      <c r="K61" s="317">
        <v>0</v>
      </c>
      <c r="L61" s="316"/>
      <c r="M61" s="316">
        <v>0</v>
      </c>
      <c r="N61" s="315">
        <v>0</v>
      </c>
      <c r="O61" s="318" t="s">
        <v>661</v>
      </c>
      <c r="P61" s="318">
        <v>1</v>
      </c>
      <c r="Q61" s="319" t="s">
        <v>662</v>
      </c>
      <c r="R61" s="320">
        <f t="shared" si="11"/>
        <v>0</v>
      </c>
      <c r="S61" s="320">
        <f t="shared" si="2"/>
        <v>0</v>
      </c>
      <c r="T61" s="320">
        <f t="shared" si="3"/>
        <v>0</v>
      </c>
      <c r="U61" s="320">
        <f>N61</f>
        <v>0</v>
      </c>
      <c r="V61" s="321">
        <f t="shared" si="4"/>
        <v>0</v>
      </c>
      <c r="W61" s="10">
        <f t="shared" si="5"/>
        <v>0</v>
      </c>
      <c r="X61" s="10">
        <f t="shared" si="6"/>
        <v>0</v>
      </c>
    </row>
    <row r="62" spans="1:24" s="9" customFormat="1" ht="13.5" customHeight="1" x14ac:dyDescent="0.2">
      <c r="A62" s="64">
        <f t="shared" si="7"/>
        <v>58</v>
      </c>
      <c r="B62" s="77" t="s">
        <v>663</v>
      </c>
      <c r="C62" s="163">
        <v>37345</v>
      </c>
      <c r="D62" s="175">
        <v>4500000</v>
      </c>
      <c r="E62" s="175"/>
      <c r="F62" s="67">
        <f t="shared" ref="F62:F125" si="12">+D62+E62</f>
        <v>4500000</v>
      </c>
      <c r="G62" s="110">
        <v>4499000</v>
      </c>
      <c r="H62" s="67">
        <f>+F62-G62</f>
        <v>1000</v>
      </c>
      <c r="I62" s="68">
        <v>5</v>
      </c>
      <c r="J62" s="68">
        <v>0.2</v>
      </c>
      <c r="K62" s="68">
        <v>0</v>
      </c>
      <c r="L62" s="110"/>
      <c r="M62" s="110">
        <f>+G62+L62</f>
        <v>4499000</v>
      </c>
      <c r="N62" s="67">
        <f>+F62-M62</f>
        <v>1000</v>
      </c>
      <c r="O62" s="111" t="s">
        <v>664</v>
      </c>
      <c r="P62" s="111" t="s">
        <v>665</v>
      </c>
      <c r="Q62" s="327"/>
      <c r="R62" s="23">
        <f t="shared" si="11"/>
        <v>200</v>
      </c>
      <c r="S62" s="23">
        <f t="shared" si="2"/>
        <v>225000</v>
      </c>
      <c r="T62" s="23">
        <f t="shared" si="3"/>
        <v>-224000</v>
      </c>
      <c r="U62" s="23">
        <f>N62-1000</f>
        <v>0</v>
      </c>
      <c r="V62" s="10">
        <f t="shared" si="4"/>
        <v>900000</v>
      </c>
      <c r="W62" s="10">
        <f t="shared" si="5"/>
        <v>0</v>
      </c>
      <c r="X62" s="10">
        <f t="shared" si="6"/>
        <v>0</v>
      </c>
    </row>
    <row r="63" spans="1:24" s="9" customFormat="1" ht="13.5" customHeight="1" x14ac:dyDescent="0.2">
      <c r="A63" s="64">
        <f t="shared" si="7"/>
        <v>59</v>
      </c>
      <c r="B63" s="77" t="s">
        <v>666</v>
      </c>
      <c r="C63" s="163">
        <v>37359</v>
      </c>
      <c r="D63" s="175">
        <v>2400000</v>
      </c>
      <c r="E63" s="175"/>
      <c r="F63" s="67">
        <f t="shared" si="12"/>
        <v>2400000</v>
      </c>
      <c r="G63" s="110">
        <v>2399000</v>
      </c>
      <c r="H63" s="67">
        <f>+F63-G63</f>
        <v>1000</v>
      </c>
      <c r="I63" s="68">
        <v>5</v>
      </c>
      <c r="J63" s="68">
        <v>0.2</v>
      </c>
      <c r="K63" s="68">
        <v>0</v>
      </c>
      <c r="L63" s="110"/>
      <c r="M63" s="110">
        <f>+G63+L63</f>
        <v>2399000</v>
      </c>
      <c r="N63" s="67">
        <f>+F63-M63</f>
        <v>1000</v>
      </c>
      <c r="O63" s="111" t="s">
        <v>667</v>
      </c>
      <c r="P63" s="111">
        <v>1</v>
      </c>
      <c r="Q63" s="327"/>
      <c r="R63" s="23">
        <f t="shared" si="11"/>
        <v>200</v>
      </c>
      <c r="S63" s="23">
        <f t="shared" si="2"/>
        <v>120000</v>
      </c>
      <c r="T63" s="23">
        <f t="shared" si="3"/>
        <v>-119000</v>
      </c>
      <c r="U63" s="23">
        <f>N63-1000</f>
        <v>0</v>
      </c>
      <c r="V63" s="10">
        <f t="shared" si="4"/>
        <v>480000</v>
      </c>
      <c r="W63" s="10">
        <f t="shared" si="5"/>
        <v>0</v>
      </c>
      <c r="X63" s="10">
        <f t="shared" si="6"/>
        <v>0</v>
      </c>
    </row>
    <row r="64" spans="1:24" s="9" customFormat="1" ht="13.5" customHeight="1" x14ac:dyDescent="0.2">
      <c r="A64" s="311">
        <f t="shared" si="7"/>
        <v>60</v>
      </c>
      <c r="B64" s="312" t="s">
        <v>668</v>
      </c>
      <c r="C64" s="313">
        <v>37467</v>
      </c>
      <c r="D64" s="314">
        <v>0</v>
      </c>
      <c r="E64" s="314"/>
      <c r="F64" s="315">
        <f t="shared" si="12"/>
        <v>0</v>
      </c>
      <c r="G64" s="316">
        <v>0</v>
      </c>
      <c r="H64" s="315">
        <v>0</v>
      </c>
      <c r="I64" s="317">
        <v>5</v>
      </c>
      <c r="J64" s="317">
        <v>0.2</v>
      </c>
      <c r="K64" s="317">
        <v>0</v>
      </c>
      <c r="L64" s="316"/>
      <c r="M64" s="316">
        <v>0</v>
      </c>
      <c r="N64" s="315">
        <f>+F64-M64</f>
        <v>0</v>
      </c>
      <c r="O64" s="318" t="s">
        <v>669</v>
      </c>
      <c r="P64" s="318">
        <v>1</v>
      </c>
      <c r="Q64" s="328" t="s">
        <v>670</v>
      </c>
      <c r="R64" s="23">
        <f t="shared" si="11"/>
        <v>0</v>
      </c>
      <c r="S64" s="23">
        <f t="shared" si="2"/>
        <v>0</v>
      </c>
      <c r="T64" s="23">
        <f t="shared" si="3"/>
        <v>0</v>
      </c>
      <c r="U64" s="23">
        <f>N64-1000</f>
        <v>-1000</v>
      </c>
      <c r="V64" s="10">
        <f t="shared" si="4"/>
        <v>0</v>
      </c>
      <c r="W64" s="10">
        <f t="shared" si="5"/>
        <v>0</v>
      </c>
      <c r="X64" s="10">
        <f t="shared" si="6"/>
        <v>0</v>
      </c>
    </row>
    <row r="65" spans="1:24" s="9" customFormat="1" ht="13.5" customHeight="1" x14ac:dyDescent="0.2">
      <c r="A65" s="64">
        <f t="shared" si="7"/>
        <v>61</v>
      </c>
      <c r="B65" s="77" t="s">
        <v>671</v>
      </c>
      <c r="C65" s="163">
        <v>37515</v>
      </c>
      <c r="D65" s="175">
        <v>8500000</v>
      </c>
      <c r="E65" s="175"/>
      <c r="F65" s="67">
        <f t="shared" si="12"/>
        <v>8500000</v>
      </c>
      <c r="G65" s="110">
        <v>8499000</v>
      </c>
      <c r="H65" s="67">
        <f>+F65-G65</f>
        <v>1000</v>
      </c>
      <c r="I65" s="68">
        <v>5</v>
      </c>
      <c r="J65" s="68">
        <v>0.2</v>
      </c>
      <c r="K65" s="68">
        <v>0</v>
      </c>
      <c r="L65" s="110"/>
      <c r="M65" s="110">
        <f>+G65+L65</f>
        <v>8499000</v>
      </c>
      <c r="N65" s="67">
        <f>+F65-M65</f>
        <v>1000</v>
      </c>
      <c r="O65" s="111" t="s">
        <v>672</v>
      </c>
      <c r="P65" s="111">
        <v>1</v>
      </c>
      <c r="Q65" s="70"/>
      <c r="R65" s="23">
        <f t="shared" si="11"/>
        <v>200</v>
      </c>
      <c r="S65" s="23">
        <f t="shared" si="2"/>
        <v>425000</v>
      </c>
      <c r="T65" s="23">
        <f t="shared" si="3"/>
        <v>-424000</v>
      </c>
      <c r="U65" s="23">
        <f>N65-1000</f>
        <v>0</v>
      </c>
      <c r="V65" s="10">
        <f t="shared" si="4"/>
        <v>1700000</v>
      </c>
      <c r="W65" s="10">
        <f t="shared" si="5"/>
        <v>0</v>
      </c>
      <c r="X65" s="10">
        <f t="shared" si="6"/>
        <v>0</v>
      </c>
    </row>
    <row r="66" spans="1:24" s="9" customFormat="1" ht="13.5" customHeight="1" x14ac:dyDescent="0.2">
      <c r="A66" s="311">
        <f t="shared" si="7"/>
        <v>62</v>
      </c>
      <c r="B66" s="312" t="s">
        <v>673</v>
      </c>
      <c r="C66" s="313">
        <v>37524</v>
      </c>
      <c r="D66" s="314">
        <v>0</v>
      </c>
      <c r="E66" s="314">
        <v>0</v>
      </c>
      <c r="F66" s="314">
        <f t="shared" si="12"/>
        <v>0</v>
      </c>
      <c r="G66" s="316">
        <v>0</v>
      </c>
      <c r="H66" s="315">
        <v>0</v>
      </c>
      <c r="I66" s="317">
        <v>5</v>
      </c>
      <c r="J66" s="317">
        <v>0.2</v>
      </c>
      <c r="K66" s="317">
        <v>0</v>
      </c>
      <c r="L66" s="316"/>
      <c r="M66" s="316">
        <v>0</v>
      </c>
      <c r="N66" s="315">
        <v>0</v>
      </c>
      <c r="O66" s="318" t="s">
        <v>674</v>
      </c>
      <c r="P66" s="318">
        <v>1</v>
      </c>
      <c r="Q66" s="319" t="s">
        <v>675</v>
      </c>
      <c r="R66" s="23">
        <f t="shared" si="11"/>
        <v>0</v>
      </c>
      <c r="S66" s="320">
        <f t="shared" si="2"/>
        <v>0</v>
      </c>
      <c r="T66" s="320">
        <f t="shared" si="3"/>
        <v>0</v>
      </c>
      <c r="U66" s="320">
        <f>N66</f>
        <v>0</v>
      </c>
      <c r="V66" s="321">
        <f t="shared" si="4"/>
        <v>0</v>
      </c>
      <c r="W66" s="10">
        <f t="shared" si="5"/>
        <v>0</v>
      </c>
      <c r="X66" s="10">
        <f t="shared" si="6"/>
        <v>0</v>
      </c>
    </row>
    <row r="67" spans="1:24" s="9" customFormat="1" ht="13.5" customHeight="1" x14ac:dyDescent="0.2">
      <c r="A67" s="64">
        <f t="shared" si="7"/>
        <v>63</v>
      </c>
      <c r="B67" s="77" t="s">
        <v>676</v>
      </c>
      <c r="C67" s="163">
        <v>37587</v>
      </c>
      <c r="D67" s="175">
        <v>14476000</v>
      </c>
      <c r="E67" s="175"/>
      <c r="F67" s="67">
        <f t="shared" si="12"/>
        <v>14476000</v>
      </c>
      <c r="G67" s="110">
        <v>14475000</v>
      </c>
      <c r="H67" s="67">
        <f t="shared" ref="H67:H109" si="13">+F67-G67</f>
        <v>1000</v>
      </c>
      <c r="I67" s="68">
        <v>5</v>
      </c>
      <c r="J67" s="68">
        <v>0.2</v>
      </c>
      <c r="K67" s="68">
        <v>0</v>
      </c>
      <c r="L67" s="110"/>
      <c r="M67" s="110">
        <f t="shared" ref="M67:M109" si="14">+G67+L67</f>
        <v>14475000</v>
      </c>
      <c r="N67" s="67">
        <f t="shared" ref="N67:N109" si="15">+F67-M67</f>
        <v>1000</v>
      </c>
      <c r="O67" s="111" t="s">
        <v>677</v>
      </c>
      <c r="P67" s="111">
        <v>1</v>
      </c>
      <c r="Q67" s="70"/>
      <c r="R67" s="23">
        <f t="shared" si="11"/>
        <v>200</v>
      </c>
      <c r="S67" s="23">
        <f t="shared" si="2"/>
        <v>723800</v>
      </c>
      <c r="T67" s="23">
        <f t="shared" si="3"/>
        <v>-722800</v>
      </c>
      <c r="U67" s="23">
        <f t="shared" ref="U67:U73" si="16">N67-1000</f>
        <v>0</v>
      </c>
      <c r="V67" s="10">
        <f t="shared" si="4"/>
        <v>2895200</v>
      </c>
      <c r="W67" s="10">
        <f t="shared" si="5"/>
        <v>0</v>
      </c>
      <c r="X67" s="10">
        <f t="shared" si="6"/>
        <v>0</v>
      </c>
    </row>
    <row r="68" spans="1:24" s="9" customFormat="1" ht="13.5" customHeight="1" x14ac:dyDescent="0.2">
      <c r="A68" s="64">
        <f t="shared" si="7"/>
        <v>64</v>
      </c>
      <c r="B68" s="77" t="s">
        <v>678</v>
      </c>
      <c r="C68" s="163">
        <v>37587</v>
      </c>
      <c r="D68" s="175">
        <v>23246000</v>
      </c>
      <c r="E68" s="175"/>
      <c r="F68" s="67">
        <f t="shared" si="12"/>
        <v>23246000</v>
      </c>
      <c r="G68" s="110">
        <v>23245000</v>
      </c>
      <c r="H68" s="67">
        <f t="shared" si="13"/>
        <v>1000</v>
      </c>
      <c r="I68" s="68">
        <v>5</v>
      </c>
      <c r="J68" s="68">
        <v>0.2</v>
      </c>
      <c r="K68" s="68">
        <v>0</v>
      </c>
      <c r="L68" s="110"/>
      <c r="M68" s="110">
        <f t="shared" si="14"/>
        <v>23245000</v>
      </c>
      <c r="N68" s="67">
        <f t="shared" si="15"/>
        <v>1000</v>
      </c>
      <c r="O68" s="111" t="s">
        <v>206</v>
      </c>
      <c r="P68" s="111">
        <v>1</v>
      </c>
      <c r="Q68" s="70"/>
      <c r="R68" s="23">
        <f t="shared" si="11"/>
        <v>200</v>
      </c>
      <c r="S68" s="23">
        <f t="shared" si="2"/>
        <v>1162300</v>
      </c>
      <c r="T68" s="23">
        <f t="shared" si="3"/>
        <v>-1161300</v>
      </c>
      <c r="U68" s="23">
        <f t="shared" si="16"/>
        <v>0</v>
      </c>
      <c r="V68" s="10">
        <f t="shared" si="4"/>
        <v>4649200</v>
      </c>
      <c r="W68" s="10">
        <f t="shared" si="5"/>
        <v>0</v>
      </c>
      <c r="X68" s="10">
        <f t="shared" si="6"/>
        <v>0</v>
      </c>
    </row>
    <row r="69" spans="1:24" s="9" customFormat="1" ht="13.5" customHeight="1" x14ac:dyDescent="0.2">
      <c r="A69" s="64">
        <f t="shared" si="7"/>
        <v>65</v>
      </c>
      <c r="B69" s="77" t="s">
        <v>679</v>
      </c>
      <c r="C69" s="163">
        <v>37587</v>
      </c>
      <c r="D69" s="175">
        <v>37535000</v>
      </c>
      <c r="E69" s="175"/>
      <c r="F69" s="67">
        <f t="shared" si="12"/>
        <v>37535000</v>
      </c>
      <c r="G69" s="110">
        <v>37534000</v>
      </c>
      <c r="H69" s="67">
        <f t="shared" si="13"/>
        <v>1000</v>
      </c>
      <c r="I69" s="68">
        <v>5</v>
      </c>
      <c r="J69" s="68">
        <v>0.2</v>
      </c>
      <c r="K69" s="68">
        <v>0</v>
      </c>
      <c r="L69" s="110"/>
      <c r="M69" s="110">
        <f t="shared" si="14"/>
        <v>37534000</v>
      </c>
      <c r="N69" s="67">
        <f t="shared" si="15"/>
        <v>1000</v>
      </c>
      <c r="O69" s="111" t="s">
        <v>206</v>
      </c>
      <c r="P69" s="111">
        <v>1</v>
      </c>
      <c r="Q69" s="70"/>
      <c r="R69" s="23">
        <f t="shared" si="11"/>
        <v>200</v>
      </c>
      <c r="S69" s="23">
        <f t="shared" ref="S69:S132" si="17">D69*0.05</f>
        <v>1876750</v>
      </c>
      <c r="T69" s="23">
        <f t="shared" ref="T69:T132" si="18">N69-S69</f>
        <v>-1875750</v>
      </c>
      <c r="U69" s="23">
        <f t="shared" si="16"/>
        <v>0</v>
      </c>
      <c r="V69" s="10">
        <f t="shared" ref="V69:V132" si="19">F69/I69</f>
        <v>7507000</v>
      </c>
      <c r="W69" s="10">
        <f t="shared" ref="W69:W132" si="20">ROUND(IF(H69&lt;=1000,0,V69/12*3),0)</f>
        <v>0</v>
      </c>
      <c r="X69" s="10">
        <f t="shared" ref="X69:X132" si="21">L69-W69</f>
        <v>0</v>
      </c>
    </row>
    <row r="70" spans="1:24" s="9" customFormat="1" ht="13.5" customHeight="1" x14ac:dyDescent="0.2">
      <c r="A70" s="64">
        <f t="shared" ref="A70:A133" si="22">+A69+1</f>
        <v>66</v>
      </c>
      <c r="B70" s="77" t="s">
        <v>680</v>
      </c>
      <c r="C70" s="163">
        <v>37587</v>
      </c>
      <c r="D70" s="175">
        <v>22501000</v>
      </c>
      <c r="E70" s="175"/>
      <c r="F70" s="67">
        <f t="shared" si="12"/>
        <v>22501000</v>
      </c>
      <c r="G70" s="110">
        <v>22500000</v>
      </c>
      <c r="H70" s="67">
        <f t="shared" si="13"/>
        <v>1000</v>
      </c>
      <c r="I70" s="68">
        <v>5</v>
      </c>
      <c r="J70" s="68">
        <v>0.2</v>
      </c>
      <c r="K70" s="68">
        <v>0</v>
      </c>
      <c r="L70" s="110"/>
      <c r="M70" s="110">
        <f t="shared" si="14"/>
        <v>22500000</v>
      </c>
      <c r="N70" s="67">
        <f t="shared" si="15"/>
        <v>1000</v>
      </c>
      <c r="O70" s="111" t="s">
        <v>677</v>
      </c>
      <c r="P70" s="111">
        <v>1</v>
      </c>
      <c r="Q70" s="70"/>
      <c r="R70" s="23">
        <f t="shared" si="11"/>
        <v>200</v>
      </c>
      <c r="S70" s="23">
        <f t="shared" si="17"/>
        <v>1125050</v>
      </c>
      <c r="T70" s="23">
        <f t="shared" si="18"/>
        <v>-1124050</v>
      </c>
      <c r="U70" s="23">
        <f t="shared" si="16"/>
        <v>0</v>
      </c>
      <c r="V70" s="10">
        <f t="shared" si="19"/>
        <v>4500200</v>
      </c>
      <c r="W70" s="10">
        <f t="shared" si="20"/>
        <v>0</v>
      </c>
      <c r="X70" s="10">
        <f t="shared" si="21"/>
        <v>0</v>
      </c>
    </row>
    <row r="71" spans="1:24" s="9" customFormat="1" ht="13.5" customHeight="1" x14ac:dyDescent="0.2">
      <c r="A71" s="64">
        <f t="shared" si="22"/>
        <v>67</v>
      </c>
      <c r="B71" s="77" t="s">
        <v>681</v>
      </c>
      <c r="C71" s="163">
        <v>37587</v>
      </c>
      <c r="D71" s="175">
        <v>3829000</v>
      </c>
      <c r="E71" s="175"/>
      <c r="F71" s="67">
        <f t="shared" si="12"/>
        <v>3829000</v>
      </c>
      <c r="G71" s="110">
        <v>3828000</v>
      </c>
      <c r="H71" s="67">
        <f t="shared" si="13"/>
        <v>1000</v>
      </c>
      <c r="I71" s="68">
        <v>5</v>
      </c>
      <c r="J71" s="68">
        <v>0.2</v>
      </c>
      <c r="K71" s="68">
        <v>0</v>
      </c>
      <c r="L71" s="110"/>
      <c r="M71" s="110">
        <f t="shared" si="14"/>
        <v>3828000</v>
      </c>
      <c r="N71" s="67">
        <f t="shared" si="15"/>
        <v>1000</v>
      </c>
      <c r="O71" s="111" t="s">
        <v>206</v>
      </c>
      <c r="P71" s="111">
        <v>1</v>
      </c>
      <c r="Q71" s="70"/>
      <c r="R71" s="23">
        <f t="shared" si="11"/>
        <v>200</v>
      </c>
      <c r="S71" s="23">
        <f t="shared" si="17"/>
        <v>191450</v>
      </c>
      <c r="T71" s="23">
        <f t="shared" si="18"/>
        <v>-190450</v>
      </c>
      <c r="U71" s="23">
        <f t="shared" si="16"/>
        <v>0</v>
      </c>
      <c r="V71" s="10">
        <f t="shared" si="19"/>
        <v>765800</v>
      </c>
      <c r="W71" s="10">
        <f t="shared" si="20"/>
        <v>0</v>
      </c>
      <c r="X71" s="10">
        <f t="shared" si="21"/>
        <v>0</v>
      </c>
    </row>
    <row r="72" spans="1:24" s="9" customFormat="1" ht="13.5" customHeight="1" x14ac:dyDescent="0.2">
      <c r="A72" s="64">
        <f t="shared" si="22"/>
        <v>68</v>
      </c>
      <c r="B72" s="77" t="s">
        <v>682</v>
      </c>
      <c r="C72" s="163">
        <v>37587</v>
      </c>
      <c r="D72" s="175">
        <v>1531000</v>
      </c>
      <c r="E72" s="175"/>
      <c r="F72" s="67">
        <f t="shared" si="12"/>
        <v>1531000</v>
      </c>
      <c r="G72" s="110">
        <v>1530000</v>
      </c>
      <c r="H72" s="67">
        <f t="shared" si="13"/>
        <v>1000</v>
      </c>
      <c r="I72" s="68">
        <v>5</v>
      </c>
      <c r="J72" s="68">
        <v>0.2</v>
      </c>
      <c r="K72" s="68">
        <v>0</v>
      </c>
      <c r="L72" s="110"/>
      <c r="M72" s="110">
        <f t="shared" si="14"/>
        <v>1530000</v>
      </c>
      <c r="N72" s="67">
        <f t="shared" si="15"/>
        <v>1000</v>
      </c>
      <c r="O72" s="111" t="s">
        <v>677</v>
      </c>
      <c r="P72" s="111">
        <v>1</v>
      </c>
      <c r="Q72" s="70"/>
      <c r="R72" s="23">
        <f t="shared" si="11"/>
        <v>200</v>
      </c>
      <c r="S72" s="23">
        <f t="shared" si="17"/>
        <v>76550</v>
      </c>
      <c r="T72" s="23">
        <f t="shared" si="18"/>
        <v>-75550</v>
      </c>
      <c r="U72" s="23">
        <f t="shared" si="16"/>
        <v>0</v>
      </c>
      <c r="V72" s="10">
        <f t="shared" si="19"/>
        <v>306200</v>
      </c>
      <c r="W72" s="10">
        <f t="shared" si="20"/>
        <v>0</v>
      </c>
      <c r="X72" s="10">
        <f t="shared" si="21"/>
        <v>0</v>
      </c>
    </row>
    <row r="73" spans="1:24" s="9" customFormat="1" ht="13.5" customHeight="1" x14ac:dyDescent="0.2">
      <c r="A73" s="64">
        <f t="shared" si="22"/>
        <v>69</v>
      </c>
      <c r="B73" s="77" t="s">
        <v>683</v>
      </c>
      <c r="C73" s="163">
        <v>37587</v>
      </c>
      <c r="D73" s="175">
        <v>6127000</v>
      </c>
      <c r="E73" s="175"/>
      <c r="F73" s="67">
        <f t="shared" si="12"/>
        <v>6127000</v>
      </c>
      <c r="G73" s="110">
        <v>6126000</v>
      </c>
      <c r="H73" s="67">
        <f t="shared" si="13"/>
        <v>1000</v>
      </c>
      <c r="I73" s="68">
        <v>5</v>
      </c>
      <c r="J73" s="68">
        <v>0.2</v>
      </c>
      <c r="K73" s="68">
        <v>0</v>
      </c>
      <c r="L73" s="110"/>
      <c r="M73" s="110">
        <f t="shared" si="14"/>
        <v>6126000</v>
      </c>
      <c r="N73" s="67">
        <f t="shared" si="15"/>
        <v>1000</v>
      </c>
      <c r="O73" s="111" t="s">
        <v>677</v>
      </c>
      <c r="P73" s="111">
        <v>1</v>
      </c>
      <c r="Q73" s="70"/>
      <c r="R73" s="23">
        <f t="shared" si="11"/>
        <v>200</v>
      </c>
      <c r="S73" s="23">
        <f t="shared" si="17"/>
        <v>306350</v>
      </c>
      <c r="T73" s="23">
        <f t="shared" si="18"/>
        <v>-305350</v>
      </c>
      <c r="U73" s="23">
        <f t="shared" si="16"/>
        <v>0</v>
      </c>
      <c r="V73" s="10">
        <f t="shared" si="19"/>
        <v>1225400</v>
      </c>
      <c r="W73" s="10">
        <f t="shared" si="20"/>
        <v>0</v>
      </c>
      <c r="X73" s="10">
        <f t="shared" si="21"/>
        <v>0</v>
      </c>
    </row>
    <row r="74" spans="1:24" s="9" customFormat="1" ht="13.5" customHeight="1" x14ac:dyDescent="0.2">
      <c r="A74" s="292">
        <f t="shared" si="22"/>
        <v>70</v>
      </c>
      <c r="B74" s="293" t="s">
        <v>684</v>
      </c>
      <c r="C74" s="294">
        <v>37600</v>
      </c>
      <c r="D74" s="310">
        <v>0</v>
      </c>
      <c r="E74" s="310"/>
      <c r="F74" s="295">
        <f t="shared" si="12"/>
        <v>0</v>
      </c>
      <c r="G74" s="287">
        <v>0</v>
      </c>
      <c r="H74" s="295">
        <f t="shared" si="13"/>
        <v>0</v>
      </c>
      <c r="I74" s="296">
        <v>5</v>
      </c>
      <c r="J74" s="296">
        <v>0.2</v>
      </c>
      <c r="K74" s="296">
        <v>0</v>
      </c>
      <c r="L74" s="287"/>
      <c r="M74" s="287">
        <f t="shared" si="14"/>
        <v>0</v>
      </c>
      <c r="N74" s="295">
        <f t="shared" si="15"/>
        <v>0</v>
      </c>
      <c r="O74" s="297" t="s">
        <v>685</v>
      </c>
      <c r="P74" s="297">
        <v>1</v>
      </c>
      <c r="Q74" s="298"/>
      <c r="R74" s="290">
        <f t="shared" si="11"/>
        <v>0</v>
      </c>
      <c r="S74" s="290">
        <f t="shared" si="17"/>
        <v>0</v>
      </c>
      <c r="T74" s="290">
        <f t="shared" si="18"/>
        <v>0</v>
      </c>
      <c r="U74" s="290"/>
      <c r="V74" s="291">
        <f t="shared" si="19"/>
        <v>0</v>
      </c>
      <c r="W74" s="10">
        <f t="shared" si="20"/>
        <v>0</v>
      </c>
      <c r="X74" s="10">
        <f t="shared" si="21"/>
        <v>0</v>
      </c>
    </row>
    <row r="75" spans="1:24" s="9" customFormat="1" ht="13.5" customHeight="1" x14ac:dyDescent="0.2">
      <c r="A75" s="292">
        <f t="shared" si="22"/>
        <v>71</v>
      </c>
      <c r="B75" s="293" t="s">
        <v>686</v>
      </c>
      <c r="C75" s="294">
        <v>37607</v>
      </c>
      <c r="D75" s="310">
        <v>0</v>
      </c>
      <c r="E75" s="310"/>
      <c r="F75" s="295">
        <f t="shared" si="12"/>
        <v>0</v>
      </c>
      <c r="G75" s="287">
        <v>0</v>
      </c>
      <c r="H75" s="295">
        <f t="shared" si="13"/>
        <v>0</v>
      </c>
      <c r="I75" s="296">
        <v>5</v>
      </c>
      <c r="J75" s="296">
        <v>0.2</v>
      </c>
      <c r="K75" s="296">
        <v>0</v>
      </c>
      <c r="L75" s="287"/>
      <c r="M75" s="287">
        <f t="shared" si="14"/>
        <v>0</v>
      </c>
      <c r="N75" s="295">
        <f t="shared" si="15"/>
        <v>0</v>
      </c>
      <c r="O75" s="297" t="s">
        <v>414</v>
      </c>
      <c r="P75" s="297">
        <v>1</v>
      </c>
      <c r="Q75" s="298"/>
      <c r="R75" s="290">
        <f t="shared" si="11"/>
        <v>0</v>
      </c>
      <c r="S75" s="290">
        <f t="shared" si="17"/>
        <v>0</v>
      </c>
      <c r="T75" s="290">
        <f t="shared" si="18"/>
        <v>0</v>
      </c>
      <c r="U75" s="290"/>
      <c r="V75" s="291">
        <f t="shared" si="19"/>
        <v>0</v>
      </c>
      <c r="W75" s="10">
        <f t="shared" si="20"/>
        <v>0</v>
      </c>
      <c r="X75" s="10">
        <f t="shared" si="21"/>
        <v>0</v>
      </c>
    </row>
    <row r="76" spans="1:24" s="9" customFormat="1" ht="13.5" customHeight="1" x14ac:dyDescent="0.2">
      <c r="A76" s="292">
        <f t="shared" si="22"/>
        <v>72</v>
      </c>
      <c r="B76" s="293" t="s">
        <v>687</v>
      </c>
      <c r="C76" s="294">
        <v>37617</v>
      </c>
      <c r="D76" s="310">
        <v>0</v>
      </c>
      <c r="E76" s="310"/>
      <c r="F76" s="295">
        <f t="shared" si="12"/>
        <v>0</v>
      </c>
      <c r="G76" s="287">
        <v>0</v>
      </c>
      <c r="H76" s="295">
        <f t="shared" si="13"/>
        <v>0</v>
      </c>
      <c r="I76" s="296">
        <v>5</v>
      </c>
      <c r="J76" s="296">
        <v>0.2</v>
      </c>
      <c r="K76" s="296">
        <v>0</v>
      </c>
      <c r="L76" s="287"/>
      <c r="M76" s="287">
        <f t="shared" si="14"/>
        <v>0</v>
      </c>
      <c r="N76" s="295">
        <f t="shared" si="15"/>
        <v>0</v>
      </c>
      <c r="O76" s="297" t="s">
        <v>688</v>
      </c>
      <c r="P76" s="297">
        <v>1</v>
      </c>
      <c r="Q76" s="298"/>
      <c r="R76" s="290">
        <f t="shared" si="11"/>
        <v>0</v>
      </c>
      <c r="S76" s="290">
        <f t="shared" si="17"/>
        <v>0</v>
      </c>
      <c r="T76" s="290">
        <f t="shared" si="18"/>
        <v>0</v>
      </c>
      <c r="U76" s="290"/>
      <c r="V76" s="291">
        <f t="shared" si="19"/>
        <v>0</v>
      </c>
      <c r="W76" s="10">
        <f t="shared" si="20"/>
        <v>0</v>
      </c>
      <c r="X76" s="10">
        <f t="shared" si="21"/>
        <v>0</v>
      </c>
    </row>
    <row r="77" spans="1:24" s="9" customFormat="1" ht="13.5" customHeight="1" x14ac:dyDescent="0.2">
      <c r="A77" s="64">
        <f t="shared" si="22"/>
        <v>73</v>
      </c>
      <c r="B77" s="77" t="s">
        <v>689</v>
      </c>
      <c r="C77" s="163">
        <v>37692</v>
      </c>
      <c r="D77" s="175">
        <v>38900000</v>
      </c>
      <c r="E77" s="175"/>
      <c r="F77" s="67">
        <f t="shared" si="12"/>
        <v>38900000</v>
      </c>
      <c r="G77" s="110">
        <v>38899000</v>
      </c>
      <c r="H77" s="67">
        <f t="shared" si="13"/>
        <v>1000</v>
      </c>
      <c r="I77" s="68">
        <v>5</v>
      </c>
      <c r="J77" s="68">
        <v>0.2</v>
      </c>
      <c r="K77" s="68">
        <v>0</v>
      </c>
      <c r="L77" s="110"/>
      <c r="M77" s="110">
        <f t="shared" si="14"/>
        <v>38899000</v>
      </c>
      <c r="N77" s="67">
        <f t="shared" si="15"/>
        <v>1000</v>
      </c>
      <c r="O77" s="111" t="s">
        <v>690</v>
      </c>
      <c r="P77" s="111">
        <v>1</v>
      </c>
      <c r="Q77" s="178"/>
      <c r="R77" s="23">
        <f t="shared" si="11"/>
        <v>200</v>
      </c>
      <c r="S77" s="23">
        <f t="shared" si="17"/>
        <v>1945000</v>
      </c>
      <c r="T77" s="23">
        <f t="shared" si="18"/>
        <v>-1944000</v>
      </c>
      <c r="U77" s="23">
        <f>N77-1000</f>
        <v>0</v>
      </c>
      <c r="V77" s="10">
        <f t="shared" si="19"/>
        <v>7780000</v>
      </c>
      <c r="W77" s="10">
        <f t="shared" si="20"/>
        <v>0</v>
      </c>
      <c r="X77" s="10">
        <f t="shared" si="21"/>
        <v>0</v>
      </c>
    </row>
    <row r="78" spans="1:24" s="9" customFormat="1" ht="13.5" customHeight="1" x14ac:dyDescent="0.2">
      <c r="A78" s="64">
        <f t="shared" si="22"/>
        <v>74</v>
      </c>
      <c r="B78" s="77" t="s">
        <v>691</v>
      </c>
      <c r="C78" s="163">
        <v>37707</v>
      </c>
      <c r="D78" s="175">
        <v>2340000</v>
      </c>
      <c r="E78" s="175"/>
      <c r="F78" s="67">
        <f t="shared" si="12"/>
        <v>2340000</v>
      </c>
      <c r="G78" s="110">
        <v>2339000</v>
      </c>
      <c r="H78" s="67">
        <f t="shared" si="13"/>
        <v>1000</v>
      </c>
      <c r="I78" s="68">
        <v>5</v>
      </c>
      <c r="J78" s="68">
        <v>0.2</v>
      </c>
      <c r="K78" s="68">
        <v>0</v>
      </c>
      <c r="L78" s="110"/>
      <c r="M78" s="110">
        <f t="shared" si="14"/>
        <v>2339000</v>
      </c>
      <c r="N78" s="67">
        <f t="shared" si="15"/>
        <v>1000</v>
      </c>
      <c r="O78" s="111" t="s">
        <v>692</v>
      </c>
      <c r="P78" s="111">
        <v>1</v>
      </c>
      <c r="Q78" s="70"/>
      <c r="R78" s="23">
        <f t="shared" si="11"/>
        <v>200</v>
      </c>
      <c r="S78" s="23">
        <f t="shared" si="17"/>
        <v>117000</v>
      </c>
      <c r="T78" s="23">
        <f t="shared" si="18"/>
        <v>-116000</v>
      </c>
      <c r="U78" s="23">
        <f>N78-1000</f>
        <v>0</v>
      </c>
      <c r="V78" s="10">
        <f t="shared" si="19"/>
        <v>468000</v>
      </c>
      <c r="W78" s="10">
        <f t="shared" si="20"/>
        <v>0</v>
      </c>
      <c r="X78" s="10">
        <f t="shared" si="21"/>
        <v>0</v>
      </c>
    </row>
    <row r="79" spans="1:24" s="9" customFormat="1" ht="13.5" customHeight="1" x14ac:dyDescent="0.2">
      <c r="A79" s="64">
        <f t="shared" si="22"/>
        <v>75</v>
      </c>
      <c r="B79" s="77" t="s">
        <v>693</v>
      </c>
      <c r="C79" s="163">
        <v>37711</v>
      </c>
      <c r="D79" s="175">
        <v>16418000</v>
      </c>
      <c r="E79" s="175"/>
      <c r="F79" s="67">
        <f t="shared" si="12"/>
        <v>16418000</v>
      </c>
      <c r="G79" s="110">
        <v>16417000</v>
      </c>
      <c r="H79" s="67">
        <f t="shared" si="13"/>
        <v>1000</v>
      </c>
      <c r="I79" s="68">
        <v>5</v>
      </c>
      <c r="J79" s="68">
        <v>0.2</v>
      </c>
      <c r="K79" s="68">
        <v>0</v>
      </c>
      <c r="L79" s="110"/>
      <c r="M79" s="110">
        <f t="shared" si="14"/>
        <v>16417000</v>
      </c>
      <c r="N79" s="67">
        <f t="shared" si="15"/>
        <v>1000</v>
      </c>
      <c r="O79" s="111" t="s">
        <v>694</v>
      </c>
      <c r="P79" s="111"/>
      <c r="Q79" s="70"/>
      <c r="R79" s="23">
        <f t="shared" si="11"/>
        <v>200</v>
      </c>
      <c r="S79" s="23">
        <f t="shared" si="17"/>
        <v>820900</v>
      </c>
      <c r="T79" s="23">
        <f t="shared" si="18"/>
        <v>-819900</v>
      </c>
      <c r="U79" s="23">
        <f>N79-1000</f>
        <v>0</v>
      </c>
      <c r="V79" s="10">
        <f t="shared" si="19"/>
        <v>3283600</v>
      </c>
      <c r="W79" s="10">
        <f t="shared" si="20"/>
        <v>0</v>
      </c>
      <c r="X79" s="10">
        <f t="shared" si="21"/>
        <v>0</v>
      </c>
    </row>
    <row r="80" spans="1:24" s="9" customFormat="1" ht="13.5" customHeight="1" x14ac:dyDescent="0.2">
      <c r="A80" s="292">
        <f t="shared" si="22"/>
        <v>76</v>
      </c>
      <c r="B80" s="293" t="s">
        <v>695</v>
      </c>
      <c r="C80" s="294">
        <v>37712</v>
      </c>
      <c r="D80" s="310">
        <v>0</v>
      </c>
      <c r="E80" s="310"/>
      <c r="F80" s="295">
        <f t="shared" si="12"/>
        <v>0</v>
      </c>
      <c r="G80" s="287">
        <v>0</v>
      </c>
      <c r="H80" s="295">
        <f t="shared" si="13"/>
        <v>0</v>
      </c>
      <c r="I80" s="296">
        <v>5</v>
      </c>
      <c r="J80" s="296">
        <v>0.2</v>
      </c>
      <c r="K80" s="296">
        <v>0</v>
      </c>
      <c r="L80" s="287"/>
      <c r="M80" s="287">
        <f t="shared" si="14"/>
        <v>0</v>
      </c>
      <c r="N80" s="295">
        <f t="shared" si="15"/>
        <v>0</v>
      </c>
      <c r="O80" s="297" t="s">
        <v>696</v>
      </c>
      <c r="P80" s="297">
        <v>1</v>
      </c>
      <c r="Q80" s="298"/>
      <c r="R80" s="290">
        <f t="shared" si="11"/>
        <v>0</v>
      </c>
      <c r="S80" s="290">
        <f t="shared" si="17"/>
        <v>0</v>
      </c>
      <c r="T80" s="290">
        <f t="shared" si="18"/>
        <v>0</v>
      </c>
      <c r="U80" s="290"/>
      <c r="V80" s="291">
        <f t="shared" si="19"/>
        <v>0</v>
      </c>
      <c r="W80" s="10">
        <f t="shared" si="20"/>
        <v>0</v>
      </c>
      <c r="X80" s="10">
        <f t="shared" si="21"/>
        <v>0</v>
      </c>
    </row>
    <row r="81" spans="1:24" s="9" customFormat="1" ht="13.5" customHeight="1" x14ac:dyDescent="0.2">
      <c r="A81" s="64">
        <f t="shared" si="22"/>
        <v>77</v>
      </c>
      <c r="B81" s="77" t="s">
        <v>697</v>
      </c>
      <c r="C81" s="163">
        <v>37719</v>
      </c>
      <c r="D81" s="175">
        <v>16402000</v>
      </c>
      <c r="E81" s="175"/>
      <c r="F81" s="67">
        <f t="shared" si="12"/>
        <v>16402000</v>
      </c>
      <c r="G81" s="110">
        <v>16401000</v>
      </c>
      <c r="H81" s="67">
        <f t="shared" si="13"/>
        <v>1000</v>
      </c>
      <c r="I81" s="68">
        <v>5</v>
      </c>
      <c r="J81" s="68">
        <v>0.2</v>
      </c>
      <c r="K81" s="68">
        <v>0</v>
      </c>
      <c r="L81" s="110"/>
      <c r="M81" s="110">
        <f t="shared" si="14"/>
        <v>16401000</v>
      </c>
      <c r="N81" s="67">
        <f t="shared" si="15"/>
        <v>1000</v>
      </c>
      <c r="O81" s="111" t="s">
        <v>694</v>
      </c>
      <c r="P81" s="111"/>
      <c r="Q81" s="70"/>
      <c r="R81" s="23">
        <f t="shared" si="11"/>
        <v>200</v>
      </c>
      <c r="S81" s="23">
        <f t="shared" si="17"/>
        <v>820100</v>
      </c>
      <c r="T81" s="23">
        <f t="shared" si="18"/>
        <v>-819100</v>
      </c>
      <c r="U81" s="23">
        <f>N81-1000</f>
        <v>0</v>
      </c>
      <c r="V81" s="10">
        <f t="shared" si="19"/>
        <v>3280400</v>
      </c>
      <c r="W81" s="10">
        <f t="shared" si="20"/>
        <v>0</v>
      </c>
      <c r="X81" s="10">
        <f t="shared" si="21"/>
        <v>0</v>
      </c>
    </row>
    <row r="82" spans="1:24" s="9" customFormat="1" ht="13.5" customHeight="1" x14ac:dyDescent="0.2">
      <c r="A82" s="64">
        <f t="shared" si="22"/>
        <v>78</v>
      </c>
      <c r="B82" s="77" t="s">
        <v>698</v>
      </c>
      <c r="C82" s="163">
        <v>37722</v>
      </c>
      <c r="D82" s="175">
        <v>25000000</v>
      </c>
      <c r="E82" s="175"/>
      <c r="F82" s="67">
        <f t="shared" si="12"/>
        <v>25000000</v>
      </c>
      <c r="G82" s="110">
        <v>24999000</v>
      </c>
      <c r="H82" s="67">
        <f t="shared" si="13"/>
        <v>1000</v>
      </c>
      <c r="I82" s="68">
        <v>5</v>
      </c>
      <c r="J82" s="68">
        <v>0.2</v>
      </c>
      <c r="K82" s="68">
        <v>0</v>
      </c>
      <c r="L82" s="110"/>
      <c r="M82" s="110">
        <f t="shared" si="14"/>
        <v>24999000</v>
      </c>
      <c r="N82" s="67">
        <f t="shared" si="15"/>
        <v>1000</v>
      </c>
      <c r="O82" s="111" t="s">
        <v>699</v>
      </c>
      <c r="P82" s="111">
        <v>1</v>
      </c>
      <c r="Q82" s="70"/>
      <c r="R82" s="23">
        <f t="shared" si="11"/>
        <v>200</v>
      </c>
      <c r="S82" s="23">
        <f t="shared" si="17"/>
        <v>1250000</v>
      </c>
      <c r="T82" s="23">
        <f t="shared" si="18"/>
        <v>-1249000</v>
      </c>
      <c r="U82" s="23">
        <f>N82-1000</f>
        <v>0</v>
      </c>
      <c r="V82" s="10">
        <f t="shared" si="19"/>
        <v>5000000</v>
      </c>
      <c r="W82" s="10">
        <f t="shared" si="20"/>
        <v>0</v>
      </c>
      <c r="X82" s="10">
        <f t="shared" si="21"/>
        <v>0</v>
      </c>
    </row>
    <row r="83" spans="1:24" s="9" customFormat="1" ht="13.5" customHeight="1" x14ac:dyDescent="0.2">
      <c r="A83" s="292">
        <f t="shared" si="22"/>
        <v>79</v>
      </c>
      <c r="B83" s="293" t="s">
        <v>695</v>
      </c>
      <c r="C83" s="294">
        <v>37733</v>
      </c>
      <c r="D83" s="310">
        <v>0</v>
      </c>
      <c r="E83" s="310"/>
      <c r="F83" s="295">
        <f t="shared" si="12"/>
        <v>0</v>
      </c>
      <c r="G83" s="287">
        <v>0</v>
      </c>
      <c r="H83" s="295">
        <f t="shared" si="13"/>
        <v>0</v>
      </c>
      <c r="I83" s="296">
        <v>5</v>
      </c>
      <c r="J83" s="296">
        <v>0.2</v>
      </c>
      <c r="K83" s="296">
        <v>0</v>
      </c>
      <c r="L83" s="287"/>
      <c r="M83" s="287">
        <f t="shared" si="14"/>
        <v>0</v>
      </c>
      <c r="N83" s="295">
        <f t="shared" si="15"/>
        <v>0</v>
      </c>
      <c r="O83" s="297" t="s">
        <v>700</v>
      </c>
      <c r="P83" s="297">
        <v>1</v>
      </c>
      <c r="Q83" s="298"/>
      <c r="R83" s="290">
        <f t="shared" si="11"/>
        <v>0</v>
      </c>
      <c r="S83" s="290">
        <f t="shared" si="17"/>
        <v>0</v>
      </c>
      <c r="T83" s="290">
        <f t="shared" si="18"/>
        <v>0</v>
      </c>
      <c r="U83" s="290"/>
      <c r="V83" s="291">
        <f t="shared" si="19"/>
        <v>0</v>
      </c>
      <c r="W83" s="10">
        <f t="shared" si="20"/>
        <v>0</v>
      </c>
      <c r="X83" s="10">
        <f t="shared" si="21"/>
        <v>0</v>
      </c>
    </row>
    <row r="84" spans="1:24" s="9" customFormat="1" ht="13.5" customHeight="1" x14ac:dyDescent="0.2">
      <c r="A84" s="64">
        <f t="shared" si="22"/>
        <v>80</v>
      </c>
      <c r="B84" s="77" t="s">
        <v>701</v>
      </c>
      <c r="C84" s="163">
        <v>37782</v>
      </c>
      <c r="D84" s="175">
        <v>32300000</v>
      </c>
      <c r="E84" s="175"/>
      <c r="F84" s="67">
        <f t="shared" si="12"/>
        <v>32300000</v>
      </c>
      <c r="G84" s="110">
        <v>32299000</v>
      </c>
      <c r="H84" s="67">
        <f t="shared" si="13"/>
        <v>1000</v>
      </c>
      <c r="I84" s="68">
        <v>5</v>
      </c>
      <c r="J84" s="68">
        <v>0.2</v>
      </c>
      <c r="K84" s="68">
        <v>0</v>
      </c>
      <c r="L84" s="110"/>
      <c r="M84" s="110">
        <f t="shared" si="14"/>
        <v>32299000</v>
      </c>
      <c r="N84" s="67">
        <f t="shared" si="15"/>
        <v>1000</v>
      </c>
      <c r="O84" s="111" t="s">
        <v>700</v>
      </c>
      <c r="P84" s="111">
        <v>1</v>
      </c>
      <c r="Q84" s="70"/>
      <c r="R84" s="23">
        <f t="shared" si="11"/>
        <v>200</v>
      </c>
      <c r="S84" s="23">
        <f t="shared" si="17"/>
        <v>1615000</v>
      </c>
      <c r="T84" s="23">
        <f t="shared" si="18"/>
        <v>-1614000</v>
      </c>
      <c r="U84" s="23">
        <f>N84-1000</f>
        <v>0</v>
      </c>
      <c r="V84" s="10">
        <f t="shared" si="19"/>
        <v>6460000</v>
      </c>
      <c r="W84" s="10">
        <f t="shared" si="20"/>
        <v>0</v>
      </c>
      <c r="X84" s="10">
        <f t="shared" si="21"/>
        <v>0</v>
      </c>
    </row>
    <row r="85" spans="1:24" s="9" customFormat="1" ht="13.5" customHeight="1" x14ac:dyDescent="0.2">
      <c r="A85" s="292">
        <f t="shared" si="22"/>
        <v>81</v>
      </c>
      <c r="B85" s="293" t="s">
        <v>702</v>
      </c>
      <c r="C85" s="294">
        <v>37792</v>
      </c>
      <c r="D85" s="310">
        <v>0</v>
      </c>
      <c r="E85" s="310"/>
      <c r="F85" s="295">
        <f t="shared" si="12"/>
        <v>0</v>
      </c>
      <c r="G85" s="287">
        <v>0</v>
      </c>
      <c r="H85" s="295">
        <f t="shared" si="13"/>
        <v>0</v>
      </c>
      <c r="I85" s="296">
        <v>5</v>
      </c>
      <c r="J85" s="296">
        <v>0.2</v>
      </c>
      <c r="K85" s="296">
        <v>0</v>
      </c>
      <c r="L85" s="287"/>
      <c r="M85" s="287">
        <f t="shared" si="14"/>
        <v>0</v>
      </c>
      <c r="N85" s="295">
        <f t="shared" si="15"/>
        <v>0</v>
      </c>
      <c r="O85" s="297" t="s">
        <v>354</v>
      </c>
      <c r="P85" s="297">
        <v>1</v>
      </c>
      <c r="Q85" s="298"/>
      <c r="R85" s="290">
        <f t="shared" si="11"/>
        <v>0</v>
      </c>
      <c r="S85" s="290">
        <f t="shared" si="17"/>
        <v>0</v>
      </c>
      <c r="T85" s="290">
        <f t="shared" si="18"/>
        <v>0</v>
      </c>
      <c r="U85" s="290"/>
      <c r="V85" s="291">
        <f t="shared" si="19"/>
        <v>0</v>
      </c>
      <c r="W85" s="10">
        <f t="shared" si="20"/>
        <v>0</v>
      </c>
      <c r="X85" s="10">
        <f t="shared" si="21"/>
        <v>0</v>
      </c>
    </row>
    <row r="86" spans="1:24" s="9" customFormat="1" ht="13.5" customHeight="1" x14ac:dyDescent="0.2">
      <c r="A86" s="64">
        <f t="shared" si="22"/>
        <v>82</v>
      </c>
      <c r="B86" s="77" t="s">
        <v>703</v>
      </c>
      <c r="C86" s="163">
        <v>37792</v>
      </c>
      <c r="D86" s="175">
        <v>45200000</v>
      </c>
      <c r="E86" s="175"/>
      <c r="F86" s="67">
        <f t="shared" si="12"/>
        <v>45200000</v>
      </c>
      <c r="G86" s="110">
        <v>45199000</v>
      </c>
      <c r="H86" s="67">
        <f t="shared" si="13"/>
        <v>1000</v>
      </c>
      <c r="I86" s="68">
        <v>5</v>
      </c>
      <c r="J86" s="68">
        <v>0.2</v>
      </c>
      <c r="K86" s="68">
        <v>0</v>
      </c>
      <c r="L86" s="110"/>
      <c r="M86" s="110">
        <f t="shared" si="14"/>
        <v>45199000</v>
      </c>
      <c r="N86" s="67">
        <f t="shared" si="15"/>
        <v>1000</v>
      </c>
      <c r="O86" s="111" t="s">
        <v>704</v>
      </c>
      <c r="P86" s="111">
        <v>1</v>
      </c>
      <c r="Q86" s="178"/>
      <c r="R86" s="23">
        <f t="shared" si="11"/>
        <v>200</v>
      </c>
      <c r="S86" s="23">
        <f t="shared" si="17"/>
        <v>2260000</v>
      </c>
      <c r="T86" s="23">
        <f t="shared" si="18"/>
        <v>-2259000</v>
      </c>
      <c r="U86" s="23">
        <f t="shared" ref="U86:U96" si="23">N86-1000</f>
        <v>0</v>
      </c>
      <c r="V86" s="10">
        <f t="shared" si="19"/>
        <v>9040000</v>
      </c>
      <c r="W86" s="10">
        <f t="shared" si="20"/>
        <v>0</v>
      </c>
      <c r="X86" s="10">
        <f t="shared" si="21"/>
        <v>0</v>
      </c>
    </row>
    <row r="87" spans="1:24" s="9" customFormat="1" ht="13.5" customHeight="1" x14ac:dyDescent="0.2">
      <c r="A87" s="64">
        <f t="shared" si="22"/>
        <v>83</v>
      </c>
      <c r="B87" s="77" t="s">
        <v>705</v>
      </c>
      <c r="C87" s="163">
        <v>37931</v>
      </c>
      <c r="D87" s="175">
        <v>1800000</v>
      </c>
      <c r="E87" s="175"/>
      <c r="F87" s="67">
        <f t="shared" si="12"/>
        <v>1800000</v>
      </c>
      <c r="G87" s="110">
        <v>1799000</v>
      </c>
      <c r="H87" s="67">
        <f t="shared" si="13"/>
        <v>1000</v>
      </c>
      <c r="I87" s="68">
        <v>5</v>
      </c>
      <c r="J87" s="68">
        <v>0.2</v>
      </c>
      <c r="K87" s="68">
        <v>0</v>
      </c>
      <c r="L87" s="110"/>
      <c r="M87" s="110">
        <f t="shared" si="14"/>
        <v>1799000</v>
      </c>
      <c r="N87" s="67">
        <f t="shared" si="15"/>
        <v>1000</v>
      </c>
      <c r="O87" s="111" t="s">
        <v>706</v>
      </c>
      <c r="P87" s="111">
        <v>1</v>
      </c>
      <c r="Q87" s="70"/>
      <c r="R87" s="23">
        <f t="shared" si="11"/>
        <v>200</v>
      </c>
      <c r="S87" s="23">
        <f t="shared" si="17"/>
        <v>90000</v>
      </c>
      <c r="T87" s="23">
        <f t="shared" si="18"/>
        <v>-89000</v>
      </c>
      <c r="U87" s="23">
        <f t="shared" si="23"/>
        <v>0</v>
      </c>
      <c r="V87" s="10">
        <f t="shared" si="19"/>
        <v>360000</v>
      </c>
      <c r="W87" s="10">
        <f t="shared" si="20"/>
        <v>0</v>
      </c>
      <c r="X87" s="10">
        <f t="shared" si="21"/>
        <v>0</v>
      </c>
    </row>
    <row r="88" spans="1:24" s="9" customFormat="1" ht="13.5" customHeight="1" x14ac:dyDescent="0.2">
      <c r="A88" s="64">
        <f t="shared" si="22"/>
        <v>84</v>
      </c>
      <c r="B88" s="77" t="s">
        <v>707</v>
      </c>
      <c r="C88" s="163">
        <v>37962</v>
      </c>
      <c r="D88" s="175">
        <v>345160200</v>
      </c>
      <c r="E88" s="175"/>
      <c r="F88" s="67">
        <f t="shared" si="12"/>
        <v>345160200</v>
      </c>
      <c r="G88" s="110">
        <v>345159200</v>
      </c>
      <c r="H88" s="67">
        <f t="shared" si="13"/>
        <v>1000</v>
      </c>
      <c r="I88" s="68">
        <v>5</v>
      </c>
      <c r="J88" s="68">
        <v>0.2</v>
      </c>
      <c r="K88" s="68">
        <v>0</v>
      </c>
      <c r="L88" s="110"/>
      <c r="M88" s="110">
        <f t="shared" si="14"/>
        <v>345159200</v>
      </c>
      <c r="N88" s="67">
        <f t="shared" si="15"/>
        <v>1000</v>
      </c>
      <c r="O88" s="111" t="s">
        <v>708</v>
      </c>
      <c r="P88" s="111">
        <v>1</v>
      </c>
      <c r="Q88" s="70"/>
      <c r="R88" s="23">
        <f t="shared" si="11"/>
        <v>200</v>
      </c>
      <c r="S88" s="23">
        <f t="shared" si="17"/>
        <v>17258010</v>
      </c>
      <c r="T88" s="23">
        <f t="shared" si="18"/>
        <v>-17257010</v>
      </c>
      <c r="U88" s="23">
        <f t="shared" si="23"/>
        <v>0</v>
      </c>
      <c r="V88" s="10">
        <f t="shared" si="19"/>
        <v>69032040</v>
      </c>
      <c r="W88" s="10">
        <f t="shared" si="20"/>
        <v>0</v>
      </c>
      <c r="X88" s="10">
        <f t="shared" si="21"/>
        <v>0</v>
      </c>
    </row>
    <row r="89" spans="1:24" s="9" customFormat="1" ht="13.5" customHeight="1" x14ac:dyDescent="0.2">
      <c r="A89" s="64">
        <f t="shared" si="22"/>
        <v>85</v>
      </c>
      <c r="B89" s="77" t="s">
        <v>709</v>
      </c>
      <c r="C89" s="66" t="s">
        <v>710</v>
      </c>
      <c r="D89" s="175">
        <v>33000000</v>
      </c>
      <c r="E89" s="175"/>
      <c r="F89" s="67">
        <f t="shared" si="12"/>
        <v>33000000</v>
      </c>
      <c r="G89" s="110">
        <v>32999000</v>
      </c>
      <c r="H89" s="67">
        <f t="shared" si="13"/>
        <v>1000</v>
      </c>
      <c r="I89" s="68">
        <v>5</v>
      </c>
      <c r="J89" s="68">
        <v>0.2</v>
      </c>
      <c r="K89" s="68">
        <v>0</v>
      </c>
      <c r="L89" s="110"/>
      <c r="M89" s="110">
        <f t="shared" si="14"/>
        <v>32999000</v>
      </c>
      <c r="N89" s="67">
        <f t="shared" si="15"/>
        <v>1000</v>
      </c>
      <c r="O89" s="111" t="s">
        <v>711</v>
      </c>
      <c r="P89" s="111">
        <v>1</v>
      </c>
      <c r="Q89" s="70"/>
      <c r="R89" s="23">
        <f t="shared" si="11"/>
        <v>200</v>
      </c>
      <c r="S89" s="23">
        <f t="shared" si="17"/>
        <v>1650000</v>
      </c>
      <c r="T89" s="23">
        <f t="shared" si="18"/>
        <v>-1649000</v>
      </c>
      <c r="U89" s="23">
        <f t="shared" si="23"/>
        <v>0</v>
      </c>
      <c r="V89" s="10">
        <f t="shared" si="19"/>
        <v>6600000</v>
      </c>
      <c r="W89" s="10">
        <f t="shared" si="20"/>
        <v>0</v>
      </c>
      <c r="X89" s="10">
        <f t="shared" si="21"/>
        <v>0</v>
      </c>
    </row>
    <row r="90" spans="1:24" s="9" customFormat="1" ht="13.5" customHeight="1" x14ac:dyDescent="0.2">
      <c r="A90" s="64">
        <f t="shared" si="22"/>
        <v>86</v>
      </c>
      <c r="B90" s="77" t="s">
        <v>712</v>
      </c>
      <c r="C90" s="66" t="s">
        <v>247</v>
      </c>
      <c r="D90" s="175">
        <v>22727272</v>
      </c>
      <c r="E90" s="175"/>
      <c r="F90" s="67">
        <f t="shared" si="12"/>
        <v>22727272</v>
      </c>
      <c r="G90" s="110">
        <v>22726272</v>
      </c>
      <c r="H90" s="67">
        <f t="shared" si="13"/>
        <v>1000</v>
      </c>
      <c r="I90" s="68">
        <v>5</v>
      </c>
      <c r="J90" s="68">
        <v>0.2</v>
      </c>
      <c r="K90" s="68">
        <v>0</v>
      </c>
      <c r="L90" s="110"/>
      <c r="M90" s="110">
        <f t="shared" si="14"/>
        <v>22726272</v>
      </c>
      <c r="N90" s="67">
        <f t="shared" si="15"/>
        <v>1000</v>
      </c>
      <c r="O90" s="111" t="s">
        <v>713</v>
      </c>
      <c r="P90" s="111">
        <v>1</v>
      </c>
      <c r="Q90" s="70"/>
      <c r="R90" s="23">
        <f t="shared" si="11"/>
        <v>200</v>
      </c>
      <c r="S90" s="23">
        <f t="shared" si="17"/>
        <v>1136363.6000000001</v>
      </c>
      <c r="T90" s="23">
        <f t="shared" si="18"/>
        <v>-1135363.6000000001</v>
      </c>
      <c r="U90" s="23">
        <f t="shared" si="23"/>
        <v>0</v>
      </c>
      <c r="V90" s="10">
        <f t="shared" si="19"/>
        <v>4545454.4000000004</v>
      </c>
      <c r="W90" s="10">
        <f t="shared" si="20"/>
        <v>0</v>
      </c>
      <c r="X90" s="10">
        <f t="shared" si="21"/>
        <v>0</v>
      </c>
    </row>
    <row r="91" spans="1:24" s="9" customFormat="1" ht="13.5" customHeight="1" x14ac:dyDescent="0.2">
      <c r="A91" s="64">
        <f t="shared" si="22"/>
        <v>87</v>
      </c>
      <c r="B91" s="77" t="s">
        <v>714</v>
      </c>
      <c r="C91" s="66" t="s">
        <v>715</v>
      </c>
      <c r="D91" s="175">
        <v>24500000</v>
      </c>
      <c r="E91" s="175"/>
      <c r="F91" s="67">
        <f t="shared" si="12"/>
        <v>24500000</v>
      </c>
      <c r="G91" s="110">
        <v>24499000</v>
      </c>
      <c r="H91" s="67">
        <f t="shared" si="13"/>
        <v>1000</v>
      </c>
      <c r="I91" s="68">
        <v>5</v>
      </c>
      <c r="J91" s="68">
        <v>0.2</v>
      </c>
      <c r="K91" s="68">
        <v>0</v>
      </c>
      <c r="L91" s="110"/>
      <c r="M91" s="110">
        <f t="shared" si="14"/>
        <v>24499000</v>
      </c>
      <c r="N91" s="67">
        <f t="shared" si="15"/>
        <v>1000</v>
      </c>
      <c r="O91" s="111" t="s">
        <v>716</v>
      </c>
      <c r="P91" s="111">
        <v>1</v>
      </c>
      <c r="Q91" s="70"/>
      <c r="R91" s="23">
        <f t="shared" si="11"/>
        <v>200</v>
      </c>
      <c r="S91" s="23">
        <f t="shared" si="17"/>
        <v>1225000</v>
      </c>
      <c r="T91" s="23">
        <f t="shared" si="18"/>
        <v>-1224000</v>
      </c>
      <c r="U91" s="23">
        <f t="shared" si="23"/>
        <v>0</v>
      </c>
      <c r="V91" s="10">
        <f t="shared" si="19"/>
        <v>4900000</v>
      </c>
      <c r="W91" s="10">
        <f t="shared" si="20"/>
        <v>0</v>
      </c>
      <c r="X91" s="10">
        <f t="shared" si="21"/>
        <v>0</v>
      </c>
    </row>
    <row r="92" spans="1:24" s="9" customFormat="1" ht="13.5" customHeight="1" x14ac:dyDescent="0.2">
      <c r="A92" s="64">
        <f t="shared" si="22"/>
        <v>88</v>
      </c>
      <c r="B92" s="77" t="s">
        <v>714</v>
      </c>
      <c r="C92" s="66" t="s">
        <v>715</v>
      </c>
      <c r="D92" s="175">
        <v>24500000</v>
      </c>
      <c r="E92" s="175"/>
      <c r="F92" s="67">
        <f t="shared" si="12"/>
        <v>24500000</v>
      </c>
      <c r="G92" s="110">
        <v>24499000</v>
      </c>
      <c r="H92" s="67">
        <f t="shared" si="13"/>
        <v>1000</v>
      </c>
      <c r="I92" s="68">
        <v>5</v>
      </c>
      <c r="J92" s="68">
        <v>0.2</v>
      </c>
      <c r="K92" s="68">
        <v>0</v>
      </c>
      <c r="L92" s="110"/>
      <c r="M92" s="110">
        <f t="shared" si="14"/>
        <v>24499000</v>
      </c>
      <c r="N92" s="67">
        <f t="shared" si="15"/>
        <v>1000</v>
      </c>
      <c r="O92" s="111" t="s">
        <v>716</v>
      </c>
      <c r="P92" s="111">
        <v>1</v>
      </c>
      <c r="Q92" s="70"/>
      <c r="R92" s="23">
        <f t="shared" si="11"/>
        <v>200</v>
      </c>
      <c r="S92" s="23">
        <f t="shared" si="17"/>
        <v>1225000</v>
      </c>
      <c r="T92" s="23">
        <f t="shared" si="18"/>
        <v>-1224000</v>
      </c>
      <c r="U92" s="23">
        <f t="shared" si="23"/>
        <v>0</v>
      </c>
      <c r="V92" s="10">
        <f t="shared" si="19"/>
        <v>4900000</v>
      </c>
      <c r="W92" s="10">
        <f t="shared" si="20"/>
        <v>0</v>
      </c>
      <c r="X92" s="10">
        <f t="shared" si="21"/>
        <v>0</v>
      </c>
    </row>
    <row r="93" spans="1:24" s="9" customFormat="1" ht="13.5" customHeight="1" x14ac:dyDescent="0.2">
      <c r="A93" s="64">
        <f t="shared" si="22"/>
        <v>89</v>
      </c>
      <c r="B93" s="77" t="s">
        <v>717</v>
      </c>
      <c r="C93" s="66" t="s">
        <v>718</v>
      </c>
      <c r="D93" s="175">
        <v>2250000</v>
      </c>
      <c r="E93" s="175"/>
      <c r="F93" s="67">
        <f t="shared" si="12"/>
        <v>2250000</v>
      </c>
      <c r="G93" s="110">
        <v>2249000</v>
      </c>
      <c r="H93" s="67">
        <f t="shared" si="13"/>
        <v>1000</v>
      </c>
      <c r="I93" s="68">
        <v>5</v>
      </c>
      <c r="J93" s="68">
        <v>0.2</v>
      </c>
      <c r="K93" s="68">
        <v>0</v>
      </c>
      <c r="L93" s="110"/>
      <c r="M93" s="110">
        <f t="shared" si="14"/>
        <v>2249000</v>
      </c>
      <c r="N93" s="67">
        <f t="shared" si="15"/>
        <v>1000</v>
      </c>
      <c r="O93" s="111" t="s">
        <v>716</v>
      </c>
      <c r="P93" s="111">
        <v>1</v>
      </c>
      <c r="Q93" s="70"/>
      <c r="R93" s="23">
        <f t="shared" si="11"/>
        <v>200</v>
      </c>
      <c r="S93" s="23">
        <f t="shared" si="17"/>
        <v>112500</v>
      </c>
      <c r="T93" s="23">
        <f t="shared" si="18"/>
        <v>-111500</v>
      </c>
      <c r="U93" s="23">
        <f t="shared" si="23"/>
        <v>0</v>
      </c>
      <c r="V93" s="10">
        <f t="shared" si="19"/>
        <v>450000</v>
      </c>
      <c r="W93" s="10">
        <f t="shared" si="20"/>
        <v>0</v>
      </c>
      <c r="X93" s="10">
        <f t="shared" si="21"/>
        <v>0</v>
      </c>
    </row>
    <row r="94" spans="1:24" s="9" customFormat="1" ht="13.5" customHeight="1" x14ac:dyDescent="0.2">
      <c r="A94" s="64">
        <f t="shared" si="22"/>
        <v>90</v>
      </c>
      <c r="B94" s="77" t="s">
        <v>719</v>
      </c>
      <c r="C94" s="66" t="s">
        <v>720</v>
      </c>
      <c r="D94" s="175">
        <v>3800000</v>
      </c>
      <c r="E94" s="175"/>
      <c r="F94" s="67">
        <f t="shared" si="12"/>
        <v>3800000</v>
      </c>
      <c r="G94" s="110">
        <v>3799000</v>
      </c>
      <c r="H94" s="67">
        <f t="shared" si="13"/>
        <v>1000</v>
      </c>
      <c r="I94" s="68">
        <v>5</v>
      </c>
      <c r="J94" s="68">
        <v>0.2</v>
      </c>
      <c r="K94" s="68">
        <v>0</v>
      </c>
      <c r="L94" s="110"/>
      <c r="M94" s="110">
        <f t="shared" si="14"/>
        <v>3799000</v>
      </c>
      <c r="N94" s="67">
        <f t="shared" si="15"/>
        <v>1000</v>
      </c>
      <c r="O94" s="111" t="s">
        <v>721</v>
      </c>
      <c r="P94" s="111">
        <v>4</v>
      </c>
      <c r="Q94" s="70"/>
      <c r="R94" s="23">
        <f t="shared" si="11"/>
        <v>200</v>
      </c>
      <c r="S94" s="23">
        <f t="shared" si="17"/>
        <v>190000</v>
      </c>
      <c r="T94" s="23">
        <f t="shared" si="18"/>
        <v>-189000</v>
      </c>
      <c r="U94" s="23">
        <f t="shared" si="23"/>
        <v>0</v>
      </c>
      <c r="V94" s="10">
        <f t="shared" si="19"/>
        <v>760000</v>
      </c>
      <c r="W94" s="10">
        <f t="shared" si="20"/>
        <v>0</v>
      </c>
      <c r="X94" s="10">
        <f t="shared" si="21"/>
        <v>0</v>
      </c>
    </row>
    <row r="95" spans="1:24" s="9" customFormat="1" ht="13.5" customHeight="1" x14ac:dyDescent="0.2">
      <c r="A95" s="64">
        <f t="shared" si="22"/>
        <v>91</v>
      </c>
      <c r="B95" s="77" t="s">
        <v>722</v>
      </c>
      <c r="C95" s="66" t="s">
        <v>723</v>
      </c>
      <c r="D95" s="175">
        <v>200000</v>
      </c>
      <c r="E95" s="175"/>
      <c r="F95" s="67">
        <f t="shared" si="12"/>
        <v>200000</v>
      </c>
      <c r="G95" s="110">
        <v>199000</v>
      </c>
      <c r="H95" s="67">
        <f t="shared" si="13"/>
        <v>1000</v>
      </c>
      <c r="I95" s="68">
        <v>5</v>
      </c>
      <c r="J95" s="68">
        <v>0.2</v>
      </c>
      <c r="K95" s="68">
        <v>0</v>
      </c>
      <c r="L95" s="110"/>
      <c r="M95" s="110">
        <f t="shared" si="14"/>
        <v>199000</v>
      </c>
      <c r="N95" s="67">
        <f t="shared" si="15"/>
        <v>1000</v>
      </c>
      <c r="O95" s="111" t="s">
        <v>724</v>
      </c>
      <c r="P95" s="111">
        <v>1</v>
      </c>
      <c r="Q95" s="70"/>
      <c r="R95" s="23">
        <f t="shared" si="11"/>
        <v>200</v>
      </c>
      <c r="S95" s="23">
        <f t="shared" si="17"/>
        <v>10000</v>
      </c>
      <c r="T95" s="23">
        <f t="shared" si="18"/>
        <v>-9000</v>
      </c>
      <c r="U95" s="23">
        <f t="shared" si="23"/>
        <v>0</v>
      </c>
      <c r="V95" s="10">
        <f t="shared" si="19"/>
        <v>40000</v>
      </c>
      <c r="W95" s="10">
        <f t="shared" si="20"/>
        <v>0</v>
      </c>
      <c r="X95" s="10">
        <f t="shared" si="21"/>
        <v>0</v>
      </c>
    </row>
    <row r="96" spans="1:24" s="9" customFormat="1" ht="13.5" customHeight="1" x14ac:dyDescent="0.2">
      <c r="A96" s="64">
        <f t="shared" si="22"/>
        <v>92</v>
      </c>
      <c r="B96" s="77" t="s">
        <v>725</v>
      </c>
      <c r="C96" s="66" t="s">
        <v>726</v>
      </c>
      <c r="D96" s="175">
        <v>1550000</v>
      </c>
      <c r="E96" s="175"/>
      <c r="F96" s="67">
        <f t="shared" si="12"/>
        <v>1550000</v>
      </c>
      <c r="G96" s="110">
        <v>1549000</v>
      </c>
      <c r="H96" s="67">
        <f t="shared" si="13"/>
        <v>1000</v>
      </c>
      <c r="I96" s="68">
        <v>5</v>
      </c>
      <c r="J96" s="68">
        <v>0.2</v>
      </c>
      <c r="K96" s="68">
        <v>0</v>
      </c>
      <c r="L96" s="110"/>
      <c r="M96" s="110">
        <f t="shared" si="14"/>
        <v>1549000</v>
      </c>
      <c r="N96" s="67">
        <f t="shared" si="15"/>
        <v>1000</v>
      </c>
      <c r="O96" s="111" t="s">
        <v>727</v>
      </c>
      <c r="P96" s="111">
        <v>1</v>
      </c>
      <c r="Q96" s="70"/>
      <c r="R96" s="23">
        <f t="shared" si="11"/>
        <v>200</v>
      </c>
      <c r="S96" s="23">
        <f t="shared" si="17"/>
        <v>77500</v>
      </c>
      <c r="T96" s="23">
        <f t="shared" si="18"/>
        <v>-76500</v>
      </c>
      <c r="U96" s="23">
        <f t="shared" si="23"/>
        <v>0</v>
      </c>
      <c r="V96" s="10">
        <f t="shared" si="19"/>
        <v>310000</v>
      </c>
      <c r="W96" s="10">
        <f t="shared" si="20"/>
        <v>0</v>
      </c>
      <c r="X96" s="10">
        <f t="shared" si="21"/>
        <v>0</v>
      </c>
    </row>
    <row r="97" spans="1:24" s="9" customFormat="1" ht="13.5" customHeight="1" x14ac:dyDescent="0.2">
      <c r="A97" s="292">
        <f t="shared" si="22"/>
        <v>93</v>
      </c>
      <c r="B97" s="293" t="s">
        <v>728</v>
      </c>
      <c r="C97" s="329" t="s">
        <v>729</v>
      </c>
      <c r="D97" s="310">
        <v>0</v>
      </c>
      <c r="E97" s="310"/>
      <c r="F97" s="295">
        <f t="shared" si="12"/>
        <v>0</v>
      </c>
      <c r="G97" s="287">
        <v>0</v>
      </c>
      <c r="H97" s="295">
        <f t="shared" si="13"/>
        <v>0</v>
      </c>
      <c r="I97" s="296">
        <v>5</v>
      </c>
      <c r="J97" s="296">
        <v>0.2</v>
      </c>
      <c r="K97" s="296">
        <v>0</v>
      </c>
      <c r="L97" s="287"/>
      <c r="M97" s="287">
        <f t="shared" si="14"/>
        <v>0</v>
      </c>
      <c r="N97" s="295">
        <f t="shared" si="15"/>
        <v>0</v>
      </c>
      <c r="O97" s="297" t="s">
        <v>412</v>
      </c>
      <c r="P97" s="297">
        <v>1</v>
      </c>
      <c r="Q97" s="298"/>
      <c r="R97" s="290">
        <f t="shared" si="11"/>
        <v>0</v>
      </c>
      <c r="S97" s="290">
        <f t="shared" si="17"/>
        <v>0</v>
      </c>
      <c r="T97" s="290">
        <f t="shared" si="18"/>
        <v>0</v>
      </c>
      <c r="U97" s="290"/>
      <c r="V97" s="291">
        <f t="shared" si="19"/>
        <v>0</v>
      </c>
      <c r="W97" s="10">
        <f t="shared" si="20"/>
        <v>0</v>
      </c>
      <c r="X97" s="10">
        <f t="shared" si="21"/>
        <v>0</v>
      </c>
    </row>
    <row r="98" spans="1:24" s="9" customFormat="1" ht="13.5" customHeight="1" x14ac:dyDescent="0.2">
      <c r="A98" s="292">
        <f t="shared" si="22"/>
        <v>94</v>
      </c>
      <c r="B98" s="293" t="s">
        <v>202</v>
      </c>
      <c r="C98" s="329" t="s">
        <v>729</v>
      </c>
      <c r="D98" s="310">
        <v>0</v>
      </c>
      <c r="E98" s="310"/>
      <c r="F98" s="295">
        <f t="shared" si="12"/>
        <v>0</v>
      </c>
      <c r="G98" s="287">
        <v>0</v>
      </c>
      <c r="H98" s="295">
        <f t="shared" si="13"/>
        <v>0</v>
      </c>
      <c r="I98" s="296">
        <v>5</v>
      </c>
      <c r="J98" s="296">
        <v>0.2</v>
      </c>
      <c r="K98" s="296">
        <v>0</v>
      </c>
      <c r="L98" s="287"/>
      <c r="M98" s="287">
        <f t="shared" si="14"/>
        <v>0</v>
      </c>
      <c r="N98" s="295">
        <f t="shared" si="15"/>
        <v>0</v>
      </c>
      <c r="O98" s="297" t="s">
        <v>730</v>
      </c>
      <c r="P98" s="297">
        <v>1</v>
      </c>
      <c r="Q98" s="330"/>
      <c r="R98" s="290">
        <f t="shared" si="11"/>
        <v>0</v>
      </c>
      <c r="S98" s="290">
        <f t="shared" si="17"/>
        <v>0</v>
      </c>
      <c r="T98" s="290">
        <f t="shared" si="18"/>
        <v>0</v>
      </c>
      <c r="U98" s="290"/>
      <c r="V98" s="291">
        <f t="shared" si="19"/>
        <v>0</v>
      </c>
      <c r="W98" s="10">
        <f t="shared" si="20"/>
        <v>0</v>
      </c>
      <c r="X98" s="10">
        <f t="shared" si="21"/>
        <v>0</v>
      </c>
    </row>
    <row r="99" spans="1:24" s="9" customFormat="1" ht="13.5" customHeight="1" x14ac:dyDescent="0.2">
      <c r="A99" s="64">
        <f t="shared" si="22"/>
        <v>95</v>
      </c>
      <c r="B99" s="77" t="s">
        <v>243</v>
      </c>
      <c r="C99" s="66" t="s">
        <v>729</v>
      </c>
      <c r="D99" s="175">
        <v>65800000</v>
      </c>
      <c r="E99" s="175"/>
      <c r="F99" s="67">
        <f t="shared" si="12"/>
        <v>65800000</v>
      </c>
      <c r="G99" s="110">
        <v>65799000</v>
      </c>
      <c r="H99" s="67">
        <f t="shared" si="13"/>
        <v>1000</v>
      </c>
      <c r="I99" s="68">
        <v>5</v>
      </c>
      <c r="J99" s="68">
        <v>0.2</v>
      </c>
      <c r="K99" s="68">
        <v>0</v>
      </c>
      <c r="L99" s="110"/>
      <c r="M99" s="110">
        <f t="shared" si="14"/>
        <v>65799000</v>
      </c>
      <c r="N99" s="67">
        <f t="shared" si="15"/>
        <v>1000</v>
      </c>
      <c r="O99" s="111" t="s">
        <v>731</v>
      </c>
      <c r="P99" s="111">
        <v>1</v>
      </c>
      <c r="Q99" s="70"/>
      <c r="R99" s="23">
        <f t="shared" si="11"/>
        <v>200</v>
      </c>
      <c r="S99" s="23">
        <f t="shared" si="17"/>
        <v>3290000</v>
      </c>
      <c r="T99" s="23">
        <f t="shared" si="18"/>
        <v>-3289000</v>
      </c>
      <c r="U99" s="23">
        <f>N99-1000</f>
        <v>0</v>
      </c>
      <c r="V99" s="10">
        <f t="shared" si="19"/>
        <v>13160000</v>
      </c>
      <c r="W99" s="10">
        <f t="shared" si="20"/>
        <v>0</v>
      </c>
      <c r="X99" s="10">
        <f t="shared" si="21"/>
        <v>0</v>
      </c>
    </row>
    <row r="100" spans="1:24" s="9" customFormat="1" ht="13.5" customHeight="1" x14ac:dyDescent="0.2">
      <c r="A100" s="742">
        <f t="shared" si="22"/>
        <v>96</v>
      </c>
      <c r="B100" s="750" t="s">
        <v>243</v>
      </c>
      <c r="C100" s="753" t="s">
        <v>729</v>
      </c>
      <c r="D100" s="751">
        <v>0</v>
      </c>
      <c r="E100" s="751"/>
      <c r="F100" s="745">
        <f t="shared" si="12"/>
        <v>0</v>
      </c>
      <c r="G100" s="746"/>
      <c r="H100" s="745"/>
      <c r="I100" s="747">
        <v>5</v>
      </c>
      <c r="J100" s="747">
        <v>0.2</v>
      </c>
      <c r="K100" s="747">
        <v>0</v>
      </c>
      <c r="L100" s="746"/>
      <c r="M100" s="746"/>
      <c r="N100" s="745"/>
      <c r="O100" s="748" t="s">
        <v>731</v>
      </c>
      <c r="P100" s="748">
        <v>1</v>
      </c>
      <c r="Q100" s="752" t="s">
        <v>2940</v>
      </c>
      <c r="R100" s="23">
        <f t="shared" si="11"/>
        <v>0</v>
      </c>
      <c r="S100" s="23">
        <f t="shared" si="17"/>
        <v>0</v>
      </c>
      <c r="T100" s="23">
        <f t="shared" si="18"/>
        <v>0</v>
      </c>
      <c r="U100" s="23">
        <f>N100-1000</f>
        <v>-1000</v>
      </c>
      <c r="V100" s="10">
        <f t="shared" si="19"/>
        <v>0</v>
      </c>
      <c r="W100" s="10">
        <f t="shared" si="20"/>
        <v>0</v>
      </c>
      <c r="X100" s="10">
        <f t="shared" si="21"/>
        <v>0</v>
      </c>
    </row>
    <row r="101" spans="1:24" s="9" customFormat="1" ht="13.5" customHeight="1" x14ac:dyDescent="0.2">
      <c r="A101" s="292">
        <f t="shared" si="22"/>
        <v>97</v>
      </c>
      <c r="B101" s="293" t="s">
        <v>258</v>
      </c>
      <c r="C101" s="329" t="s">
        <v>732</v>
      </c>
      <c r="D101" s="310">
        <v>0</v>
      </c>
      <c r="E101" s="310"/>
      <c r="F101" s="295">
        <f t="shared" si="12"/>
        <v>0</v>
      </c>
      <c r="G101" s="287">
        <v>0</v>
      </c>
      <c r="H101" s="295">
        <f t="shared" si="13"/>
        <v>0</v>
      </c>
      <c r="I101" s="296">
        <v>5</v>
      </c>
      <c r="J101" s="296">
        <v>0.2</v>
      </c>
      <c r="K101" s="296">
        <v>0</v>
      </c>
      <c r="L101" s="287"/>
      <c r="M101" s="287">
        <f t="shared" si="14"/>
        <v>0</v>
      </c>
      <c r="N101" s="295">
        <f t="shared" si="15"/>
        <v>0</v>
      </c>
      <c r="O101" s="297" t="s">
        <v>433</v>
      </c>
      <c r="P101" s="297">
        <v>1</v>
      </c>
      <c r="Q101" s="330"/>
      <c r="R101" s="290">
        <f t="shared" si="11"/>
        <v>0</v>
      </c>
      <c r="S101" s="290">
        <f t="shared" si="17"/>
        <v>0</v>
      </c>
      <c r="T101" s="290">
        <f t="shared" si="18"/>
        <v>0</v>
      </c>
      <c r="U101" s="290"/>
      <c r="V101" s="291">
        <f t="shared" si="19"/>
        <v>0</v>
      </c>
      <c r="W101" s="10">
        <f t="shared" si="20"/>
        <v>0</v>
      </c>
      <c r="X101" s="10">
        <f t="shared" si="21"/>
        <v>0</v>
      </c>
    </row>
    <row r="102" spans="1:24" s="9" customFormat="1" ht="13.5" customHeight="1" x14ac:dyDescent="0.2">
      <c r="A102" s="292">
        <f t="shared" si="22"/>
        <v>98</v>
      </c>
      <c r="B102" s="293" t="s">
        <v>733</v>
      </c>
      <c r="C102" s="329" t="s">
        <v>734</v>
      </c>
      <c r="D102" s="310">
        <v>0</v>
      </c>
      <c r="E102" s="310"/>
      <c r="F102" s="295">
        <f t="shared" si="12"/>
        <v>0</v>
      </c>
      <c r="G102" s="287">
        <v>0</v>
      </c>
      <c r="H102" s="295">
        <f t="shared" si="13"/>
        <v>0</v>
      </c>
      <c r="I102" s="296">
        <v>5</v>
      </c>
      <c r="J102" s="296">
        <v>0.2</v>
      </c>
      <c r="K102" s="296">
        <v>0</v>
      </c>
      <c r="L102" s="287"/>
      <c r="M102" s="287">
        <f t="shared" si="14"/>
        <v>0</v>
      </c>
      <c r="N102" s="295">
        <f t="shared" si="15"/>
        <v>0</v>
      </c>
      <c r="O102" s="297" t="s">
        <v>735</v>
      </c>
      <c r="P102" s="297">
        <v>1</v>
      </c>
      <c r="Q102" s="298"/>
      <c r="R102" s="290">
        <f t="shared" si="11"/>
        <v>0</v>
      </c>
      <c r="S102" s="290">
        <f t="shared" si="17"/>
        <v>0</v>
      </c>
      <c r="T102" s="290">
        <f t="shared" si="18"/>
        <v>0</v>
      </c>
      <c r="U102" s="290"/>
      <c r="V102" s="291">
        <f t="shared" si="19"/>
        <v>0</v>
      </c>
      <c r="W102" s="10">
        <f t="shared" si="20"/>
        <v>0</v>
      </c>
      <c r="X102" s="10">
        <f t="shared" si="21"/>
        <v>0</v>
      </c>
    </row>
    <row r="103" spans="1:24" s="9" customFormat="1" ht="13.5" customHeight="1" x14ac:dyDescent="0.2">
      <c r="A103" s="292">
        <f t="shared" si="22"/>
        <v>99</v>
      </c>
      <c r="B103" s="293" t="s">
        <v>736</v>
      </c>
      <c r="C103" s="329" t="s">
        <v>737</v>
      </c>
      <c r="D103" s="310">
        <v>0</v>
      </c>
      <c r="E103" s="310"/>
      <c r="F103" s="295">
        <f t="shared" si="12"/>
        <v>0</v>
      </c>
      <c r="G103" s="287">
        <v>0</v>
      </c>
      <c r="H103" s="295">
        <f t="shared" si="13"/>
        <v>0</v>
      </c>
      <c r="I103" s="296">
        <v>5</v>
      </c>
      <c r="J103" s="296">
        <v>0.2</v>
      </c>
      <c r="K103" s="296">
        <v>0</v>
      </c>
      <c r="L103" s="287"/>
      <c r="M103" s="287">
        <f t="shared" si="14"/>
        <v>0</v>
      </c>
      <c r="N103" s="295">
        <f t="shared" si="15"/>
        <v>0</v>
      </c>
      <c r="O103" s="297" t="s">
        <v>414</v>
      </c>
      <c r="P103" s="297">
        <v>1</v>
      </c>
      <c r="Q103" s="298"/>
      <c r="R103" s="290">
        <f t="shared" si="11"/>
        <v>0</v>
      </c>
      <c r="S103" s="290">
        <f t="shared" si="17"/>
        <v>0</v>
      </c>
      <c r="T103" s="290">
        <f t="shared" si="18"/>
        <v>0</v>
      </c>
      <c r="U103" s="290"/>
      <c r="V103" s="291">
        <f t="shared" si="19"/>
        <v>0</v>
      </c>
      <c r="W103" s="10">
        <f t="shared" si="20"/>
        <v>0</v>
      </c>
      <c r="X103" s="10">
        <f t="shared" si="21"/>
        <v>0</v>
      </c>
    </row>
    <row r="104" spans="1:24" s="9" customFormat="1" ht="13.5" customHeight="1" x14ac:dyDescent="0.2">
      <c r="A104" s="292">
        <f t="shared" si="22"/>
        <v>100</v>
      </c>
      <c r="B104" s="293" t="s">
        <v>738</v>
      </c>
      <c r="C104" s="329" t="s">
        <v>739</v>
      </c>
      <c r="D104" s="310">
        <v>0</v>
      </c>
      <c r="E104" s="310"/>
      <c r="F104" s="295">
        <f t="shared" si="12"/>
        <v>0</v>
      </c>
      <c r="G104" s="287">
        <v>0</v>
      </c>
      <c r="H104" s="295">
        <f t="shared" si="13"/>
        <v>0</v>
      </c>
      <c r="I104" s="296">
        <v>5</v>
      </c>
      <c r="J104" s="296">
        <v>0.2</v>
      </c>
      <c r="K104" s="296">
        <v>0</v>
      </c>
      <c r="L104" s="287"/>
      <c r="M104" s="287">
        <f t="shared" si="14"/>
        <v>0</v>
      </c>
      <c r="N104" s="295">
        <f t="shared" si="15"/>
        <v>0</v>
      </c>
      <c r="O104" s="297" t="s">
        <v>740</v>
      </c>
      <c r="P104" s="297">
        <v>1</v>
      </c>
      <c r="Q104" s="298"/>
      <c r="R104" s="290">
        <f t="shared" si="11"/>
        <v>0</v>
      </c>
      <c r="S104" s="290">
        <f t="shared" si="17"/>
        <v>0</v>
      </c>
      <c r="T104" s="290">
        <f t="shared" si="18"/>
        <v>0</v>
      </c>
      <c r="U104" s="290"/>
      <c r="V104" s="291">
        <f t="shared" si="19"/>
        <v>0</v>
      </c>
      <c r="W104" s="10">
        <f t="shared" si="20"/>
        <v>0</v>
      </c>
      <c r="X104" s="10">
        <f t="shared" si="21"/>
        <v>0</v>
      </c>
    </row>
    <row r="105" spans="1:24" s="9" customFormat="1" ht="13.5" customHeight="1" x14ac:dyDescent="0.2">
      <c r="A105" s="64">
        <f t="shared" si="22"/>
        <v>101</v>
      </c>
      <c r="B105" s="77" t="s">
        <v>243</v>
      </c>
      <c r="C105" s="66" t="s">
        <v>261</v>
      </c>
      <c r="D105" s="175">
        <v>68500000</v>
      </c>
      <c r="E105" s="175"/>
      <c r="F105" s="67">
        <f t="shared" si="12"/>
        <v>68500000</v>
      </c>
      <c r="G105" s="110">
        <v>68499000</v>
      </c>
      <c r="H105" s="67">
        <f t="shared" si="13"/>
        <v>1000</v>
      </c>
      <c r="I105" s="68">
        <v>5</v>
      </c>
      <c r="J105" s="68">
        <v>0.2</v>
      </c>
      <c r="K105" s="68">
        <v>0</v>
      </c>
      <c r="L105" s="110"/>
      <c r="M105" s="110">
        <f t="shared" si="14"/>
        <v>68499000</v>
      </c>
      <c r="N105" s="67">
        <f t="shared" si="15"/>
        <v>1000</v>
      </c>
      <c r="O105" s="111" t="s">
        <v>206</v>
      </c>
      <c r="P105" s="111">
        <v>1</v>
      </c>
      <c r="Q105" s="70"/>
      <c r="R105" s="23">
        <f t="shared" si="11"/>
        <v>200</v>
      </c>
      <c r="S105" s="23">
        <f t="shared" si="17"/>
        <v>3425000</v>
      </c>
      <c r="T105" s="23">
        <f t="shared" si="18"/>
        <v>-3424000</v>
      </c>
      <c r="U105" s="23">
        <f>N105-1000</f>
        <v>0</v>
      </c>
      <c r="V105" s="10">
        <f t="shared" si="19"/>
        <v>13700000</v>
      </c>
      <c r="W105" s="10">
        <f t="shared" si="20"/>
        <v>0</v>
      </c>
      <c r="X105" s="10">
        <f t="shared" si="21"/>
        <v>0</v>
      </c>
    </row>
    <row r="106" spans="1:24" s="9" customFormat="1" ht="13.5" customHeight="1" x14ac:dyDescent="0.2">
      <c r="A106" s="64">
        <f t="shared" si="22"/>
        <v>102</v>
      </c>
      <c r="B106" s="77" t="s">
        <v>243</v>
      </c>
      <c r="C106" s="66" t="s">
        <v>261</v>
      </c>
      <c r="D106" s="175">
        <v>68500000</v>
      </c>
      <c r="E106" s="175"/>
      <c r="F106" s="67">
        <f t="shared" si="12"/>
        <v>68500000</v>
      </c>
      <c r="G106" s="110">
        <v>68499000</v>
      </c>
      <c r="H106" s="67">
        <f t="shared" si="13"/>
        <v>1000</v>
      </c>
      <c r="I106" s="68">
        <v>5</v>
      </c>
      <c r="J106" s="68">
        <v>0.2</v>
      </c>
      <c r="K106" s="68">
        <v>0</v>
      </c>
      <c r="L106" s="110"/>
      <c r="M106" s="110">
        <f t="shared" si="14"/>
        <v>68499000</v>
      </c>
      <c r="N106" s="67">
        <f t="shared" si="15"/>
        <v>1000</v>
      </c>
      <c r="O106" s="111" t="s">
        <v>206</v>
      </c>
      <c r="P106" s="111">
        <v>1</v>
      </c>
      <c r="Q106" s="70"/>
      <c r="R106" s="23">
        <f t="shared" si="11"/>
        <v>200</v>
      </c>
      <c r="S106" s="23">
        <f t="shared" si="17"/>
        <v>3425000</v>
      </c>
      <c r="T106" s="23">
        <f t="shared" si="18"/>
        <v>-3424000</v>
      </c>
      <c r="U106" s="23">
        <f>N106-1000</f>
        <v>0</v>
      </c>
      <c r="V106" s="10">
        <f t="shared" si="19"/>
        <v>13700000</v>
      </c>
      <c r="W106" s="10">
        <f t="shared" si="20"/>
        <v>0</v>
      </c>
      <c r="X106" s="10">
        <f t="shared" si="21"/>
        <v>0</v>
      </c>
    </row>
    <row r="107" spans="1:24" s="9" customFormat="1" ht="13.5" customHeight="1" x14ac:dyDescent="0.2">
      <c r="A107" s="64">
        <f t="shared" si="22"/>
        <v>103</v>
      </c>
      <c r="B107" s="77" t="s">
        <v>741</v>
      </c>
      <c r="C107" s="66" t="s">
        <v>261</v>
      </c>
      <c r="D107" s="175">
        <v>4000000</v>
      </c>
      <c r="E107" s="175"/>
      <c r="F107" s="67">
        <f t="shared" si="12"/>
        <v>4000000</v>
      </c>
      <c r="G107" s="110">
        <v>3999000</v>
      </c>
      <c r="H107" s="67">
        <f t="shared" si="13"/>
        <v>1000</v>
      </c>
      <c r="I107" s="68">
        <v>5</v>
      </c>
      <c r="J107" s="68">
        <v>0.2</v>
      </c>
      <c r="K107" s="68">
        <v>0</v>
      </c>
      <c r="L107" s="110"/>
      <c r="M107" s="110">
        <f t="shared" si="14"/>
        <v>3999000</v>
      </c>
      <c r="N107" s="67">
        <f t="shared" si="15"/>
        <v>1000</v>
      </c>
      <c r="O107" s="111" t="s">
        <v>206</v>
      </c>
      <c r="P107" s="111">
        <v>1</v>
      </c>
      <c r="Q107" s="70"/>
      <c r="R107" s="23">
        <f t="shared" si="11"/>
        <v>200</v>
      </c>
      <c r="S107" s="23">
        <f t="shared" si="17"/>
        <v>200000</v>
      </c>
      <c r="T107" s="23">
        <f t="shared" si="18"/>
        <v>-199000</v>
      </c>
      <c r="U107" s="23">
        <f>N107-1000</f>
        <v>0</v>
      </c>
      <c r="V107" s="10">
        <f t="shared" si="19"/>
        <v>800000</v>
      </c>
      <c r="W107" s="10">
        <f t="shared" si="20"/>
        <v>0</v>
      </c>
      <c r="X107" s="10">
        <f t="shared" si="21"/>
        <v>0</v>
      </c>
    </row>
    <row r="108" spans="1:24" s="9" customFormat="1" ht="13.5" customHeight="1" x14ac:dyDescent="0.2">
      <c r="A108" s="64">
        <f t="shared" si="22"/>
        <v>104</v>
      </c>
      <c r="B108" s="77" t="s">
        <v>742</v>
      </c>
      <c r="C108" s="66" t="s">
        <v>261</v>
      </c>
      <c r="D108" s="175">
        <v>9500000</v>
      </c>
      <c r="E108" s="175"/>
      <c r="F108" s="67">
        <f t="shared" si="12"/>
        <v>9500000</v>
      </c>
      <c r="G108" s="110">
        <v>9499000</v>
      </c>
      <c r="H108" s="67">
        <f t="shared" si="13"/>
        <v>1000</v>
      </c>
      <c r="I108" s="68">
        <v>5</v>
      </c>
      <c r="J108" s="68">
        <v>0.2</v>
      </c>
      <c r="K108" s="68">
        <v>0</v>
      </c>
      <c r="L108" s="110"/>
      <c r="M108" s="110">
        <f t="shared" si="14"/>
        <v>9499000</v>
      </c>
      <c r="N108" s="67">
        <f t="shared" si="15"/>
        <v>1000</v>
      </c>
      <c r="O108" s="111" t="s">
        <v>206</v>
      </c>
      <c r="P108" s="111">
        <v>19</v>
      </c>
      <c r="Q108" s="70"/>
      <c r="R108" s="23">
        <f t="shared" si="11"/>
        <v>200</v>
      </c>
      <c r="S108" s="23">
        <f t="shared" si="17"/>
        <v>475000</v>
      </c>
      <c r="T108" s="23">
        <f t="shared" si="18"/>
        <v>-474000</v>
      </c>
      <c r="U108" s="23">
        <f>N108-1000</f>
        <v>0</v>
      </c>
      <c r="V108" s="10">
        <f t="shared" si="19"/>
        <v>1900000</v>
      </c>
      <c r="W108" s="10">
        <f t="shared" si="20"/>
        <v>0</v>
      </c>
      <c r="X108" s="10">
        <f t="shared" si="21"/>
        <v>0</v>
      </c>
    </row>
    <row r="109" spans="1:24" s="9" customFormat="1" ht="13.5" customHeight="1" x14ac:dyDescent="0.2">
      <c r="A109" s="64">
        <f t="shared" si="22"/>
        <v>105</v>
      </c>
      <c r="B109" s="77" t="s">
        <v>743</v>
      </c>
      <c r="C109" s="66" t="s">
        <v>744</v>
      </c>
      <c r="D109" s="175">
        <v>40000000</v>
      </c>
      <c r="E109" s="175"/>
      <c r="F109" s="67">
        <f t="shared" si="12"/>
        <v>40000000</v>
      </c>
      <c r="G109" s="110">
        <v>39999000</v>
      </c>
      <c r="H109" s="67">
        <f t="shared" si="13"/>
        <v>1000</v>
      </c>
      <c r="I109" s="68">
        <v>5</v>
      </c>
      <c r="J109" s="68">
        <v>0.2</v>
      </c>
      <c r="K109" s="68">
        <v>0</v>
      </c>
      <c r="L109" s="110"/>
      <c r="M109" s="110">
        <f t="shared" si="14"/>
        <v>39999000</v>
      </c>
      <c r="N109" s="67">
        <f t="shared" si="15"/>
        <v>1000</v>
      </c>
      <c r="O109" s="111" t="s">
        <v>711</v>
      </c>
      <c r="P109" s="111">
        <v>1</v>
      </c>
      <c r="Q109" s="178"/>
      <c r="R109" s="23">
        <f t="shared" si="11"/>
        <v>200</v>
      </c>
      <c r="S109" s="23">
        <f t="shared" si="17"/>
        <v>2000000</v>
      </c>
      <c r="T109" s="23">
        <f t="shared" si="18"/>
        <v>-1999000</v>
      </c>
      <c r="U109" s="23">
        <f>N109-1000</f>
        <v>0</v>
      </c>
      <c r="V109" s="10">
        <f t="shared" si="19"/>
        <v>8000000</v>
      </c>
      <c r="W109" s="10">
        <f t="shared" si="20"/>
        <v>0</v>
      </c>
      <c r="X109" s="10">
        <f t="shared" si="21"/>
        <v>0</v>
      </c>
    </row>
    <row r="110" spans="1:24" s="9" customFormat="1" ht="13.5" customHeight="1" x14ac:dyDescent="0.2">
      <c r="A110" s="311">
        <f t="shared" si="22"/>
        <v>106</v>
      </c>
      <c r="B110" s="312" t="s">
        <v>745</v>
      </c>
      <c r="C110" s="331" t="s">
        <v>746</v>
      </c>
      <c r="D110" s="314">
        <v>0</v>
      </c>
      <c r="E110" s="314">
        <v>0</v>
      </c>
      <c r="F110" s="315">
        <f t="shared" si="12"/>
        <v>0</v>
      </c>
      <c r="G110" s="316">
        <v>0</v>
      </c>
      <c r="H110" s="315">
        <v>0</v>
      </c>
      <c r="I110" s="317">
        <v>5</v>
      </c>
      <c r="J110" s="317">
        <v>0.2</v>
      </c>
      <c r="K110" s="317">
        <v>0</v>
      </c>
      <c r="L110" s="316"/>
      <c r="M110" s="316">
        <v>0</v>
      </c>
      <c r="N110" s="315">
        <v>0</v>
      </c>
      <c r="O110" s="318" t="s">
        <v>661</v>
      </c>
      <c r="P110" s="318">
        <v>1</v>
      </c>
      <c r="Q110" s="319" t="s">
        <v>662</v>
      </c>
      <c r="R110" s="320">
        <f t="shared" si="11"/>
        <v>0</v>
      </c>
      <c r="S110" s="320">
        <f t="shared" si="17"/>
        <v>0</v>
      </c>
      <c r="T110" s="320">
        <f t="shared" si="18"/>
        <v>0</v>
      </c>
      <c r="U110" s="320">
        <f>N110</f>
        <v>0</v>
      </c>
      <c r="V110" s="321">
        <f t="shared" si="19"/>
        <v>0</v>
      </c>
      <c r="W110" s="10">
        <f t="shared" si="20"/>
        <v>0</v>
      </c>
      <c r="X110" s="10">
        <f t="shared" si="21"/>
        <v>0</v>
      </c>
    </row>
    <row r="111" spans="1:24" s="9" customFormat="1" ht="13.5" customHeight="1" x14ac:dyDescent="0.2">
      <c r="A111" s="64">
        <f t="shared" si="22"/>
        <v>107</v>
      </c>
      <c r="B111" s="77" t="s">
        <v>747</v>
      </c>
      <c r="C111" s="66" t="s">
        <v>748</v>
      </c>
      <c r="D111" s="175">
        <v>78257958</v>
      </c>
      <c r="E111" s="175"/>
      <c r="F111" s="67">
        <f t="shared" si="12"/>
        <v>78257958</v>
      </c>
      <c r="G111" s="110">
        <v>78256958</v>
      </c>
      <c r="H111" s="67">
        <f>+F111-G111</f>
        <v>1000</v>
      </c>
      <c r="I111" s="68">
        <v>5</v>
      </c>
      <c r="J111" s="68">
        <v>0.2</v>
      </c>
      <c r="K111" s="68">
        <v>0</v>
      </c>
      <c r="L111" s="110"/>
      <c r="M111" s="110">
        <f>+G111+L111</f>
        <v>78256958</v>
      </c>
      <c r="N111" s="67">
        <f>+F111-M111</f>
        <v>1000</v>
      </c>
      <c r="O111" s="111" t="s">
        <v>749</v>
      </c>
      <c r="P111" s="111">
        <v>1</v>
      </c>
      <c r="Q111" s="332" t="s">
        <v>750</v>
      </c>
      <c r="R111" s="23">
        <f t="shared" si="11"/>
        <v>200</v>
      </c>
      <c r="S111" s="23">
        <f t="shared" si="17"/>
        <v>3912897.9000000004</v>
      </c>
      <c r="T111" s="23">
        <f t="shared" si="18"/>
        <v>-3911897.9000000004</v>
      </c>
      <c r="U111" s="23">
        <f>N111-1000</f>
        <v>0</v>
      </c>
      <c r="V111" s="10">
        <f t="shared" si="19"/>
        <v>15651591.6</v>
      </c>
      <c r="W111" s="10">
        <f t="shared" si="20"/>
        <v>0</v>
      </c>
      <c r="X111" s="10">
        <f t="shared" si="21"/>
        <v>0</v>
      </c>
    </row>
    <row r="112" spans="1:24" s="9" customFormat="1" ht="13.5" customHeight="1" x14ac:dyDescent="0.2">
      <c r="A112" s="311">
        <f t="shared" si="22"/>
        <v>108</v>
      </c>
      <c r="B112" s="312" t="s">
        <v>751</v>
      </c>
      <c r="C112" s="331" t="s">
        <v>752</v>
      </c>
      <c r="D112" s="314">
        <v>0</v>
      </c>
      <c r="E112" s="314">
        <v>0</v>
      </c>
      <c r="F112" s="315">
        <f t="shared" si="12"/>
        <v>0</v>
      </c>
      <c r="G112" s="316">
        <v>0</v>
      </c>
      <c r="H112" s="315">
        <v>0</v>
      </c>
      <c r="I112" s="317">
        <v>5</v>
      </c>
      <c r="J112" s="317">
        <v>0.2</v>
      </c>
      <c r="K112" s="317">
        <v>0</v>
      </c>
      <c r="L112" s="316"/>
      <c r="M112" s="316">
        <v>0</v>
      </c>
      <c r="N112" s="315">
        <v>0</v>
      </c>
      <c r="O112" s="318" t="s">
        <v>699</v>
      </c>
      <c r="P112" s="318">
        <v>1</v>
      </c>
      <c r="Q112" s="319" t="s">
        <v>662</v>
      </c>
      <c r="R112" s="320">
        <f t="shared" si="11"/>
        <v>0</v>
      </c>
      <c r="S112" s="320">
        <f t="shared" si="17"/>
        <v>0</v>
      </c>
      <c r="T112" s="320">
        <f t="shared" si="18"/>
        <v>0</v>
      </c>
      <c r="U112" s="320">
        <f>N112</f>
        <v>0</v>
      </c>
      <c r="V112" s="321">
        <f t="shared" si="19"/>
        <v>0</v>
      </c>
      <c r="W112" s="10">
        <f t="shared" si="20"/>
        <v>0</v>
      </c>
      <c r="X112" s="10">
        <f t="shared" si="21"/>
        <v>0</v>
      </c>
    </row>
    <row r="113" spans="1:24" s="9" customFormat="1" ht="13.5" customHeight="1" x14ac:dyDescent="0.2">
      <c r="A113" s="64">
        <f t="shared" si="22"/>
        <v>109</v>
      </c>
      <c r="B113" s="77" t="s">
        <v>753</v>
      </c>
      <c r="C113" s="66" t="s">
        <v>754</v>
      </c>
      <c r="D113" s="175">
        <v>13000000</v>
      </c>
      <c r="E113" s="175"/>
      <c r="F113" s="67">
        <f t="shared" si="12"/>
        <v>13000000</v>
      </c>
      <c r="G113" s="110">
        <v>12999000</v>
      </c>
      <c r="H113" s="67">
        <f t="shared" ref="H113:H176" si="24">+F113-G113</f>
        <v>1000</v>
      </c>
      <c r="I113" s="68">
        <v>5</v>
      </c>
      <c r="J113" s="68">
        <v>0.2</v>
      </c>
      <c r="K113" s="68">
        <v>0</v>
      </c>
      <c r="L113" s="110"/>
      <c r="M113" s="110">
        <f t="shared" ref="M113:M176" si="25">+G113+L113</f>
        <v>12999000</v>
      </c>
      <c r="N113" s="67">
        <f t="shared" ref="N113:N133" si="26">+F113-M113</f>
        <v>1000</v>
      </c>
      <c r="O113" s="111" t="s">
        <v>755</v>
      </c>
      <c r="P113" s="111">
        <v>1</v>
      </c>
      <c r="Q113" s="70"/>
      <c r="R113" s="23">
        <f t="shared" si="11"/>
        <v>200</v>
      </c>
      <c r="S113" s="23">
        <f t="shared" si="17"/>
        <v>650000</v>
      </c>
      <c r="T113" s="23">
        <f t="shared" si="18"/>
        <v>-649000</v>
      </c>
      <c r="U113" s="23">
        <f>N113-1000</f>
        <v>0</v>
      </c>
      <c r="V113" s="10">
        <f t="shared" si="19"/>
        <v>2600000</v>
      </c>
      <c r="W113" s="10">
        <f t="shared" si="20"/>
        <v>0</v>
      </c>
      <c r="X113" s="10">
        <f t="shared" si="21"/>
        <v>0</v>
      </c>
    </row>
    <row r="114" spans="1:24" s="9" customFormat="1" ht="13.5" customHeight="1" x14ac:dyDescent="0.2">
      <c r="A114" s="64">
        <f t="shared" si="22"/>
        <v>110</v>
      </c>
      <c r="B114" s="77" t="s">
        <v>756</v>
      </c>
      <c r="C114" s="66" t="s">
        <v>757</v>
      </c>
      <c r="D114" s="175">
        <v>294076000</v>
      </c>
      <c r="E114" s="175"/>
      <c r="F114" s="67">
        <f t="shared" si="12"/>
        <v>294076000</v>
      </c>
      <c r="G114" s="110">
        <v>294075000</v>
      </c>
      <c r="H114" s="67">
        <f t="shared" si="24"/>
        <v>1000</v>
      </c>
      <c r="I114" s="68">
        <v>5</v>
      </c>
      <c r="J114" s="68">
        <v>0.2</v>
      </c>
      <c r="K114" s="68">
        <v>0</v>
      </c>
      <c r="L114" s="110"/>
      <c r="M114" s="110">
        <f t="shared" si="25"/>
        <v>294075000</v>
      </c>
      <c r="N114" s="67">
        <f t="shared" si="26"/>
        <v>1000</v>
      </c>
      <c r="O114" s="111" t="s">
        <v>758</v>
      </c>
      <c r="P114" s="111">
        <v>1</v>
      </c>
      <c r="Q114" s="70"/>
      <c r="R114" s="23">
        <f t="shared" si="11"/>
        <v>200</v>
      </c>
      <c r="S114" s="23">
        <f t="shared" si="17"/>
        <v>14703800</v>
      </c>
      <c r="T114" s="23">
        <f t="shared" si="18"/>
        <v>-14702800</v>
      </c>
      <c r="U114" s="23">
        <f>N114-1000</f>
        <v>0</v>
      </c>
      <c r="V114" s="10">
        <f t="shared" si="19"/>
        <v>58815200</v>
      </c>
      <c r="W114" s="10">
        <f t="shared" si="20"/>
        <v>0</v>
      </c>
      <c r="X114" s="10">
        <f t="shared" si="21"/>
        <v>0</v>
      </c>
    </row>
    <row r="115" spans="1:24" s="9" customFormat="1" ht="13.5" customHeight="1" x14ac:dyDescent="0.2">
      <c r="A115" s="64">
        <f t="shared" si="22"/>
        <v>111</v>
      </c>
      <c r="B115" s="77" t="s">
        <v>759</v>
      </c>
      <c r="C115" s="66" t="s">
        <v>760</v>
      </c>
      <c r="D115" s="175">
        <v>610000</v>
      </c>
      <c r="E115" s="175"/>
      <c r="F115" s="67">
        <f t="shared" si="12"/>
        <v>610000</v>
      </c>
      <c r="G115" s="110">
        <v>609000</v>
      </c>
      <c r="H115" s="67">
        <f t="shared" si="24"/>
        <v>1000</v>
      </c>
      <c r="I115" s="68">
        <v>5</v>
      </c>
      <c r="J115" s="68">
        <v>0.2</v>
      </c>
      <c r="K115" s="68">
        <v>0</v>
      </c>
      <c r="L115" s="110"/>
      <c r="M115" s="110">
        <f t="shared" si="25"/>
        <v>609000</v>
      </c>
      <c r="N115" s="67">
        <f t="shared" si="26"/>
        <v>1000</v>
      </c>
      <c r="O115" s="111" t="s">
        <v>761</v>
      </c>
      <c r="P115" s="111">
        <v>1</v>
      </c>
      <c r="Q115" s="70"/>
      <c r="R115" s="23">
        <f t="shared" si="11"/>
        <v>200</v>
      </c>
      <c r="S115" s="23">
        <f t="shared" si="17"/>
        <v>30500</v>
      </c>
      <c r="T115" s="23">
        <f t="shared" si="18"/>
        <v>-29500</v>
      </c>
      <c r="U115" s="23">
        <f>N115-1000</f>
        <v>0</v>
      </c>
      <c r="V115" s="10">
        <f t="shared" si="19"/>
        <v>122000</v>
      </c>
      <c r="W115" s="10">
        <f t="shared" si="20"/>
        <v>0</v>
      </c>
      <c r="X115" s="10">
        <f t="shared" si="21"/>
        <v>0</v>
      </c>
    </row>
    <row r="116" spans="1:24" s="9" customFormat="1" ht="13.5" customHeight="1" x14ac:dyDescent="0.2">
      <c r="A116" s="292">
        <f t="shared" si="22"/>
        <v>112</v>
      </c>
      <c r="B116" s="293" t="s">
        <v>762</v>
      </c>
      <c r="C116" s="329" t="s">
        <v>763</v>
      </c>
      <c r="D116" s="310">
        <v>0</v>
      </c>
      <c r="E116" s="310"/>
      <c r="F116" s="295">
        <f t="shared" si="12"/>
        <v>0</v>
      </c>
      <c r="G116" s="287">
        <v>0</v>
      </c>
      <c r="H116" s="295">
        <f t="shared" si="24"/>
        <v>0</v>
      </c>
      <c r="I116" s="296">
        <v>5</v>
      </c>
      <c r="J116" s="296">
        <v>0.2</v>
      </c>
      <c r="K116" s="296">
        <v>0</v>
      </c>
      <c r="L116" s="287"/>
      <c r="M116" s="287">
        <f t="shared" si="25"/>
        <v>0</v>
      </c>
      <c r="N116" s="295">
        <f t="shared" si="26"/>
        <v>0</v>
      </c>
      <c r="O116" s="297" t="s">
        <v>685</v>
      </c>
      <c r="P116" s="297">
        <v>1</v>
      </c>
      <c r="Q116" s="298"/>
      <c r="R116" s="290">
        <f t="shared" si="11"/>
        <v>0</v>
      </c>
      <c r="S116" s="290">
        <f t="shared" si="17"/>
        <v>0</v>
      </c>
      <c r="T116" s="290">
        <f t="shared" si="18"/>
        <v>0</v>
      </c>
      <c r="U116" s="290"/>
      <c r="V116" s="291">
        <f t="shared" si="19"/>
        <v>0</v>
      </c>
      <c r="W116" s="10">
        <f t="shared" si="20"/>
        <v>0</v>
      </c>
      <c r="X116" s="10">
        <f t="shared" si="21"/>
        <v>0</v>
      </c>
    </row>
    <row r="117" spans="1:24" s="9" customFormat="1" ht="13.5" customHeight="1" x14ac:dyDescent="0.2">
      <c r="A117" s="292">
        <f t="shared" si="22"/>
        <v>113</v>
      </c>
      <c r="B117" s="293" t="s">
        <v>764</v>
      </c>
      <c r="C117" s="329" t="s">
        <v>765</v>
      </c>
      <c r="D117" s="310">
        <v>0</v>
      </c>
      <c r="E117" s="310"/>
      <c r="F117" s="295">
        <f t="shared" si="12"/>
        <v>0</v>
      </c>
      <c r="G117" s="287">
        <v>0</v>
      </c>
      <c r="H117" s="295">
        <f t="shared" si="24"/>
        <v>0</v>
      </c>
      <c r="I117" s="296">
        <v>5</v>
      </c>
      <c r="J117" s="296">
        <v>0.2</v>
      </c>
      <c r="K117" s="296">
        <v>0</v>
      </c>
      <c r="L117" s="287"/>
      <c r="M117" s="287">
        <f t="shared" si="25"/>
        <v>0</v>
      </c>
      <c r="N117" s="295">
        <f t="shared" si="26"/>
        <v>0</v>
      </c>
      <c r="O117" s="297" t="s">
        <v>730</v>
      </c>
      <c r="P117" s="297">
        <v>1</v>
      </c>
      <c r="Q117" s="298"/>
      <c r="R117" s="290">
        <f t="shared" si="11"/>
        <v>0</v>
      </c>
      <c r="S117" s="290">
        <f t="shared" si="17"/>
        <v>0</v>
      </c>
      <c r="T117" s="290">
        <f t="shared" si="18"/>
        <v>0</v>
      </c>
      <c r="U117" s="290"/>
      <c r="V117" s="291">
        <f t="shared" si="19"/>
        <v>0</v>
      </c>
      <c r="W117" s="10">
        <f t="shared" si="20"/>
        <v>0</v>
      </c>
      <c r="X117" s="10">
        <f t="shared" si="21"/>
        <v>0</v>
      </c>
    </row>
    <row r="118" spans="1:24" s="9" customFormat="1" ht="13.5" customHeight="1" x14ac:dyDescent="0.2">
      <c r="A118" s="64">
        <f t="shared" si="22"/>
        <v>114</v>
      </c>
      <c r="B118" s="77" t="s">
        <v>766</v>
      </c>
      <c r="C118" s="66" t="s">
        <v>765</v>
      </c>
      <c r="D118" s="175">
        <v>5000000</v>
      </c>
      <c r="E118" s="175"/>
      <c r="F118" s="67">
        <f t="shared" si="12"/>
        <v>5000000</v>
      </c>
      <c r="G118" s="110">
        <v>4999000</v>
      </c>
      <c r="H118" s="67">
        <f t="shared" si="24"/>
        <v>1000</v>
      </c>
      <c r="I118" s="68">
        <v>5</v>
      </c>
      <c r="J118" s="68">
        <v>0.2</v>
      </c>
      <c r="K118" s="68">
        <v>0</v>
      </c>
      <c r="L118" s="110"/>
      <c r="M118" s="110">
        <f t="shared" si="25"/>
        <v>4999000</v>
      </c>
      <c r="N118" s="67">
        <f t="shared" si="26"/>
        <v>1000</v>
      </c>
      <c r="O118" s="111" t="s">
        <v>767</v>
      </c>
      <c r="P118" s="111">
        <v>1</v>
      </c>
      <c r="Q118" s="70"/>
      <c r="R118" s="23">
        <f t="shared" ref="R118:R163" si="27">+N118*J118</f>
        <v>200</v>
      </c>
      <c r="S118" s="23">
        <f t="shared" si="17"/>
        <v>250000</v>
      </c>
      <c r="T118" s="23">
        <f t="shared" si="18"/>
        <v>-249000</v>
      </c>
      <c r="U118" s="23">
        <f>N118-1000</f>
        <v>0</v>
      </c>
      <c r="V118" s="10">
        <f t="shared" si="19"/>
        <v>1000000</v>
      </c>
      <c r="W118" s="10">
        <f t="shared" si="20"/>
        <v>0</v>
      </c>
      <c r="X118" s="10">
        <f t="shared" si="21"/>
        <v>0</v>
      </c>
    </row>
    <row r="119" spans="1:24" s="9" customFormat="1" ht="13.5" customHeight="1" x14ac:dyDescent="0.2">
      <c r="A119" s="64">
        <f t="shared" si="22"/>
        <v>115</v>
      </c>
      <c r="B119" s="77" t="s">
        <v>768</v>
      </c>
      <c r="C119" s="66" t="s">
        <v>765</v>
      </c>
      <c r="D119" s="175">
        <v>9000000</v>
      </c>
      <c r="E119" s="175"/>
      <c r="F119" s="67">
        <f t="shared" si="12"/>
        <v>9000000</v>
      </c>
      <c r="G119" s="110">
        <v>8999000</v>
      </c>
      <c r="H119" s="67">
        <f t="shared" si="24"/>
        <v>1000</v>
      </c>
      <c r="I119" s="68">
        <v>5</v>
      </c>
      <c r="J119" s="68">
        <v>0.2</v>
      </c>
      <c r="K119" s="68">
        <v>0</v>
      </c>
      <c r="L119" s="110"/>
      <c r="M119" s="110">
        <f t="shared" si="25"/>
        <v>8999000</v>
      </c>
      <c r="N119" s="67">
        <f t="shared" si="26"/>
        <v>1000</v>
      </c>
      <c r="O119" s="111" t="s">
        <v>769</v>
      </c>
      <c r="P119" s="111">
        <v>3</v>
      </c>
      <c r="Q119" s="70"/>
      <c r="R119" s="23">
        <f t="shared" si="27"/>
        <v>200</v>
      </c>
      <c r="S119" s="23">
        <f t="shared" si="17"/>
        <v>450000</v>
      </c>
      <c r="T119" s="23">
        <f t="shared" si="18"/>
        <v>-449000</v>
      </c>
      <c r="U119" s="23">
        <f>N119-1000</f>
        <v>0</v>
      </c>
      <c r="V119" s="10">
        <f t="shared" si="19"/>
        <v>1800000</v>
      </c>
      <c r="W119" s="10">
        <f t="shared" si="20"/>
        <v>0</v>
      </c>
      <c r="X119" s="10">
        <f t="shared" si="21"/>
        <v>0</v>
      </c>
    </row>
    <row r="120" spans="1:24" s="9" customFormat="1" ht="13.5" customHeight="1" x14ac:dyDescent="0.2">
      <c r="A120" s="292">
        <f t="shared" si="22"/>
        <v>116</v>
      </c>
      <c r="B120" s="293" t="s">
        <v>733</v>
      </c>
      <c r="C120" s="329" t="s">
        <v>770</v>
      </c>
      <c r="D120" s="310">
        <v>0</v>
      </c>
      <c r="E120" s="310"/>
      <c r="F120" s="295">
        <f t="shared" si="12"/>
        <v>0</v>
      </c>
      <c r="G120" s="287">
        <v>0</v>
      </c>
      <c r="H120" s="295">
        <f t="shared" si="24"/>
        <v>0</v>
      </c>
      <c r="I120" s="296">
        <v>5</v>
      </c>
      <c r="J120" s="296">
        <v>0.2</v>
      </c>
      <c r="K120" s="296">
        <v>0</v>
      </c>
      <c r="L120" s="287"/>
      <c r="M120" s="287">
        <f t="shared" si="25"/>
        <v>0</v>
      </c>
      <c r="N120" s="295">
        <f t="shared" si="26"/>
        <v>0</v>
      </c>
      <c r="O120" s="297" t="s">
        <v>771</v>
      </c>
      <c r="P120" s="297"/>
      <c r="Q120" s="298"/>
      <c r="R120" s="290">
        <f t="shared" si="27"/>
        <v>0</v>
      </c>
      <c r="S120" s="290">
        <f t="shared" si="17"/>
        <v>0</v>
      </c>
      <c r="T120" s="290">
        <f t="shared" si="18"/>
        <v>0</v>
      </c>
      <c r="U120" s="290"/>
      <c r="V120" s="291">
        <f t="shared" si="19"/>
        <v>0</v>
      </c>
      <c r="W120" s="10">
        <f t="shared" si="20"/>
        <v>0</v>
      </c>
      <c r="X120" s="10">
        <f t="shared" si="21"/>
        <v>0</v>
      </c>
    </row>
    <row r="121" spans="1:24" s="9" customFormat="1" ht="13.5" customHeight="1" x14ac:dyDescent="0.2">
      <c r="A121" s="64">
        <f t="shared" si="22"/>
        <v>117</v>
      </c>
      <c r="B121" s="77" t="s">
        <v>772</v>
      </c>
      <c r="C121" s="66" t="s">
        <v>773</v>
      </c>
      <c r="D121" s="175">
        <v>2000000</v>
      </c>
      <c r="E121" s="175"/>
      <c r="F121" s="67">
        <f t="shared" si="12"/>
        <v>2000000</v>
      </c>
      <c r="G121" s="110">
        <v>1999000</v>
      </c>
      <c r="H121" s="67">
        <f t="shared" si="24"/>
        <v>1000</v>
      </c>
      <c r="I121" s="68">
        <v>5</v>
      </c>
      <c r="J121" s="68">
        <v>0.2</v>
      </c>
      <c r="K121" s="68">
        <v>0</v>
      </c>
      <c r="L121" s="110"/>
      <c r="M121" s="110">
        <f t="shared" si="25"/>
        <v>1999000</v>
      </c>
      <c r="N121" s="67">
        <f t="shared" si="26"/>
        <v>1000</v>
      </c>
      <c r="O121" s="111" t="s">
        <v>774</v>
      </c>
      <c r="P121" s="111">
        <v>1</v>
      </c>
      <c r="Q121" s="70"/>
      <c r="R121" s="23">
        <f t="shared" si="27"/>
        <v>200</v>
      </c>
      <c r="S121" s="23">
        <f t="shared" si="17"/>
        <v>100000</v>
      </c>
      <c r="T121" s="23">
        <f t="shared" si="18"/>
        <v>-99000</v>
      </c>
      <c r="U121" s="23">
        <f>N121-1000</f>
        <v>0</v>
      </c>
      <c r="V121" s="10">
        <f t="shared" si="19"/>
        <v>400000</v>
      </c>
      <c r="W121" s="10">
        <f t="shared" si="20"/>
        <v>0</v>
      </c>
      <c r="X121" s="10">
        <f t="shared" si="21"/>
        <v>0</v>
      </c>
    </row>
    <row r="122" spans="1:24" s="9" customFormat="1" ht="13.5" customHeight="1" x14ac:dyDescent="0.2">
      <c r="A122" s="64">
        <f t="shared" si="22"/>
        <v>118</v>
      </c>
      <c r="B122" s="77" t="s">
        <v>775</v>
      </c>
      <c r="C122" s="66" t="s">
        <v>776</v>
      </c>
      <c r="D122" s="175">
        <v>2000000</v>
      </c>
      <c r="E122" s="175"/>
      <c r="F122" s="67">
        <f t="shared" si="12"/>
        <v>2000000</v>
      </c>
      <c r="G122" s="110">
        <v>1999000</v>
      </c>
      <c r="H122" s="67">
        <f t="shared" si="24"/>
        <v>1000</v>
      </c>
      <c r="I122" s="68">
        <v>5</v>
      </c>
      <c r="J122" s="68">
        <v>0.2</v>
      </c>
      <c r="K122" s="68">
        <v>0</v>
      </c>
      <c r="L122" s="110"/>
      <c r="M122" s="110">
        <f t="shared" si="25"/>
        <v>1999000</v>
      </c>
      <c r="N122" s="67">
        <f t="shared" si="26"/>
        <v>1000</v>
      </c>
      <c r="O122" s="111" t="s">
        <v>777</v>
      </c>
      <c r="P122" s="111">
        <v>1</v>
      </c>
      <c r="Q122" s="70"/>
      <c r="R122" s="23">
        <f t="shared" si="27"/>
        <v>200</v>
      </c>
      <c r="S122" s="23">
        <f t="shared" si="17"/>
        <v>100000</v>
      </c>
      <c r="T122" s="23">
        <f t="shared" si="18"/>
        <v>-99000</v>
      </c>
      <c r="U122" s="23">
        <f>N122-1000</f>
        <v>0</v>
      </c>
      <c r="V122" s="10">
        <f t="shared" si="19"/>
        <v>400000</v>
      </c>
      <c r="W122" s="10">
        <f t="shared" si="20"/>
        <v>0</v>
      </c>
      <c r="X122" s="10">
        <f t="shared" si="21"/>
        <v>0</v>
      </c>
    </row>
    <row r="123" spans="1:24" s="9" customFormat="1" ht="13.5" customHeight="1" x14ac:dyDescent="0.2">
      <c r="A123" s="333">
        <f t="shared" si="22"/>
        <v>119</v>
      </c>
      <c r="B123" s="334" t="s">
        <v>778</v>
      </c>
      <c r="C123" s="335" t="s">
        <v>779</v>
      </c>
      <c r="D123" s="336">
        <v>33500000</v>
      </c>
      <c r="E123" s="336"/>
      <c r="F123" s="337">
        <f t="shared" si="12"/>
        <v>33500000</v>
      </c>
      <c r="G123" s="338">
        <v>33499000</v>
      </c>
      <c r="H123" s="337">
        <f t="shared" si="24"/>
        <v>1000</v>
      </c>
      <c r="I123" s="339">
        <v>5</v>
      </c>
      <c r="J123" s="339">
        <v>0.2</v>
      </c>
      <c r="K123" s="339">
        <v>0</v>
      </c>
      <c r="L123" s="338"/>
      <c r="M123" s="338">
        <f t="shared" si="25"/>
        <v>33499000</v>
      </c>
      <c r="N123" s="337">
        <f t="shared" si="26"/>
        <v>1000</v>
      </c>
      <c r="O123" s="340" t="s">
        <v>354</v>
      </c>
      <c r="P123" s="340">
        <v>1</v>
      </c>
      <c r="Q123" s="341" t="s">
        <v>780</v>
      </c>
      <c r="R123" s="23">
        <f t="shared" si="27"/>
        <v>200</v>
      </c>
      <c r="S123" s="23">
        <f t="shared" si="17"/>
        <v>1675000</v>
      </c>
      <c r="T123" s="23">
        <f t="shared" si="18"/>
        <v>-1674000</v>
      </c>
      <c r="U123" s="23">
        <f>N123-1000</f>
        <v>0</v>
      </c>
      <c r="V123" s="10">
        <f t="shared" si="19"/>
        <v>6700000</v>
      </c>
      <c r="W123" s="10">
        <f t="shared" si="20"/>
        <v>0</v>
      </c>
      <c r="X123" s="10">
        <f t="shared" si="21"/>
        <v>0</v>
      </c>
    </row>
    <row r="124" spans="1:24" s="9" customFormat="1" ht="13.5" customHeight="1" x14ac:dyDescent="0.2">
      <c r="A124" s="292">
        <f t="shared" si="22"/>
        <v>120</v>
      </c>
      <c r="B124" s="293" t="s">
        <v>781</v>
      </c>
      <c r="C124" s="329" t="s">
        <v>782</v>
      </c>
      <c r="D124" s="310">
        <v>0</v>
      </c>
      <c r="E124" s="310"/>
      <c r="F124" s="295">
        <f t="shared" si="12"/>
        <v>0</v>
      </c>
      <c r="G124" s="287">
        <v>0</v>
      </c>
      <c r="H124" s="295">
        <f t="shared" si="24"/>
        <v>0</v>
      </c>
      <c r="I124" s="296">
        <v>5</v>
      </c>
      <c r="J124" s="296">
        <v>0.2</v>
      </c>
      <c r="K124" s="296">
        <v>0</v>
      </c>
      <c r="L124" s="287"/>
      <c r="M124" s="287">
        <f t="shared" si="25"/>
        <v>0</v>
      </c>
      <c r="N124" s="295">
        <f t="shared" si="26"/>
        <v>0</v>
      </c>
      <c r="O124" s="297" t="s">
        <v>783</v>
      </c>
      <c r="P124" s="297">
        <v>1</v>
      </c>
      <c r="Q124" s="298"/>
      <c r="R124" s="290">
        <f t="shared" si="27"/>
        <v>0</v>
      </c>
      <c r="S124" s="290">
        <f t="shared" si="17"/>
        <v>0</v>
      </c>
      <c r="T124" s="290">
        <f t="shared" si="18"/>
        <v>0</v>
      </c>
      <c r="U124" s="290"/>
      <c r="V124" s="291">
        <f t="shared" si="19"/>
        <v>0</v>
      </c>
      <c r="W124" s="10">
        <f t="shared" si="20"/>
        <v>0</v>
      </c>
      <c r="X124" s="10">
        <f t="shared" si="21"/>
        <v>0</v>
      </c>
    </row>
    <row r="125" spans="1:24" s="9" customFormat="1" ht="13.5" customHeight="1" x14ac:dyDescent="0.2">
      <c r="A125" s="64">
        <f t="shared" si="22"/>
        <v>121</v>
      </c>
      <c r="B125" s="77" t="s">
        <v>784</v>
      </c>
      <c r="C125" s="66" t="s">
        <v>785</v>
      </c>
      <c r="D125" s="175">
        <v>1340000</v>
      </c>
      <c r="E125" s="175"/>
      <c r="F125" s="67">
        <f t="shared" si="12"/>
        <v>1340000</v>
      </c>
      <c r="G125" s="110">
        <v>1339000</v>
      </c>
      <c r="H125" s="67">
        <f t="shared" si="24"/>
        <v>1000</v>
      </c>
      <c r="I125" s="68">
        <v>5</v>
      </c>
      <c r="J125" s="68">
        <v>0.2</v>
      </c>
      <c r="K125" s="68">
        <v>0</v>
      </c>
      <c r="L125" s="110"/>
      <c r="M125" s="110">
        <f t="shared" si="25"/>
        <v>1339000</v>
      </c>
      <c r="N125" s="67">
        <f t="shared" si="26"/>
        <v>1000</v>
      </c>
      <c r="O125" s="111" t="s">
        <v>786</v>
      </c>
      <c r="P125" s="111">
        <v>2</v>
      </c>
      <c r="Q125" s="70"/>
      <c r="R125" s="23">
        <f t="shared" si="27"/>
        <v>200</v>
      </c>
      <c r="S125" s="23">
        <f t="shared" si="17"/>
        <v>67000</v>
      </c>
      <c r="T125" s="23">
        <f t="shared" si="18"/>
        <v>-66000</v>
      </c>
      <c r="U125" s="23">
        <f>N125-1000</f>
        <v>0</v>
      </c>
      <c r="V125" s="10">
        <f t="shared" si="19"/>
        <v>268000</v>
      </c>
      <c r="W125" s="10">
        <f t="shared" si="20"/>
        <v>0</v>
      </c>
      <c r="X125" s="10">
        <f t="shared" si="21"/>
        <v>0</v>
      </c>
    </row>
    <row r="126" spans="1:24" s="9" customFormat="1" ht="13.5" customHeight="1" x14ac:dyDescent="0.2">
      <c r="A126" s="64">
        <f t="shared" si="22"/>
        <v>122</v>
      </c>
      <c r="B126" s="77" t="s">
        <v>787</v>
      </c>
      <c r="C126" s="66" t="s">
        <v>788</v>
      </c>
      <c r="D126" s="175">
        <v>18200000</v>
      </c>
      <c r="E126" s="175"/>
      <c r="F126" s="67">
        <f t="shared" ref="F126:F165" si="28">+D126+E126</f>
        <v>18200000</v>
      </c>
      <c r="G126" s="110">
        <v>18199000</v>
      </c>
      <c r="H126" s="67">
        <f t="shared" si="24"/>
        <v>1000</v>
      </c>
      <c r="I126" s="68">
        <v>5</v>
      </c>
      <c r="J126" s="68">
        <v>0.2</v>
      </c>
      <c r="K126" s="68">
        <v>0</v>
      </c>
      <c r="L126" s="110"/>
      <c r="M126" s="110">
        <f t="shared" si="25"/>
        <v>18199000</v>
      </c>
      <c r="N126" s="67">
        <f t="shared" si="26"/>
        <v>1000</v>
      </c>
      <c r="O126" s="111" t="s">
        <v>789</v>
      </c>
      <c r="P126" s="111">
        <v>1</v>
      </c>
      <c r="Q126" s="70"/>
      <c r="R126" s="23">
        <f t="shared" si="27"/>
        <v>200</v>
      </c>
      <c r="S126" s="23">
        <f t="shared" si="17"/>
        <v>910000</v>
      </c>
      <c r="T126" s="23">
        <f t="shared" si="18"/>
        <v>-909000</v>
      </c>
      <c r="U126" s="23">
        <f>N126-1000</f>
        <v>0</v>
      </c>
      <c r="V126" s="10">
        <f t="shared" si="19"/>
        <v>3640000</v>
      </c>
      <c r="W126" s="10">
        <f t="shared" si="20"/>
        <v>0</v>
      </c>
      <c r="X126" s="10">
        <f t="shared" si="21"/>
        <v>0</v>
      </c>
    </row>
    <row r="127" spans="1:24" s="9" customFormat="1" ht="13.5" customHeight="1" x14ac:dyDescent="0.2">
      <c r="A127" s="64">
        <f t="shared" si="22"/>
        <v>123</v>
      </c>
      <c r="B127" s="77" t="s">
        <v>657</v>
      </c>
      <c r="C127" s="66" t="s">
        <v>790</v>
      </c>
      <c r="D127" s="175">
        <v>4500000</v>
      </c>
      <c r="E127" s="175"/>
      <c r="F127" s="67">
        <f t="shared" si="28"/>
        <v>4500000</v>
      </c>
      <c r="G127" s="110">
        <v>4499000</v>
      </c>
      <c r="H127" s="67">
        <f t="shared" si="24"/>
        <v>1000</v>
      </c>
      <c r="I127" s="68">
        <v>5</v>
      </c>
      <c r="J127" s="68">
        <v>0.2</v>
      </c>
      <c r="K127" s="68">
        <v>0</v>
      </c>
      <c r="L127" s="110"/>
      <c r="M127" s="110">
        <f t="shared" si="25"/>
        <v>4499000</v>
      </c>
      <c r="N127" s="67">
        <f t="shared" si="26"/>
        <v>1000</v>
      </c>
      <c r="O127" s="111" t="s">
        <v>791</v>
      </c>
      <c r="P127" s="111">
        <v>1</v>
      </c>
      <c r="Q127" s="70"/>
      <c r="R127" s="23">
        <f t="shared" si="27"/>
        <v>200</v>
      </c>
      <c r="S127" s="23">
        <f t="shared" si="17"/>
        <v>225000</v>
      </c>
      <c r="T127" s="23">
        <f t="shared" si="18"/>
        <v>-224000</v>
      </c>
      <c r="U127" s="23">
        <f>N127-1000</f>
        <v>0</v>
      </c>
      <c r="V127" s="10">
        <f t="shared" si="19"/>
        <v>900000</v>
      </c>
      <c r="W127" s="10">
        <f t="shared" si="20"/>
        <v>0</v>
      </c>
      <c r="X127" s="10">
        <f t="shared" si="21"/>
        <v>0</v>
      </c>
    </row>
    <row r="128" spans="1:24" s="9" customFormat="1" ht="13.5" customHeight="1" x14ac:dyDescent="0.2">
      <c r="A128" s="64">
        <f t="shared" si="22"/>
        <v>124</v>
      </c>
      <c r="B128" s="77" t="s">
        <v>792</v>
      </c>
      <c r="C128" s="66" t="s">
        <v>793</v>
      </c>
      <c r="D128" s="175">
        <v>438090143</v>
      </c>
      <c r="E128" s="175"/>
      <c r="F128" s="67">
        <f t="shared" si="28"/>
        <v>438090143</v>
      </c>
      <c r="G128" s="110">
        <v>438089143</v>
      </c>
      <c r="H128" s="67">
        <f t="shared" si="24"/>
        <v>1000</v>
      </c>
      <c r="I128" s="68">
        <v>5</v>
      </c>
      <c r="J128" s="68">
        <v>0.2</v>
      </c>
      <c r="K128" s="68">
        <v>0</v>
      </c>
      <c r="L128" s="110"/>
      <c r="M128" s="110">
        <f t="shared" si="25"/>
        <v>438089143</v>
      </c>
      <c r="N128" s="67">
        <f t="shared" si="26"/>
        <v>1000</v>
      </c>
      <c r="O128" s="111" t="s">
        <v>794</v>
      </c>
      <c r="P128" s="111">
        <v>1</v>
      </c>
      <c r="Q128" s="332" t="s">
        <v>795</v>
      </c>
      <c r="R128" s="23">
        <f t="shared" si="27"/>
        <v>200</v>
      </c>
      <c r="S128" s="23">
        <f t="shared" si="17"/>
        <v>21904507.150000002</v>
      </c>
      <c r="T128" s="23">
        <f t="shared" si="18"/>
        <v>-21903507.150000002</v>
      </c>
      <c r="U128" s="23">
        <f>N128-1000</f>
        <v>0</v>
      </c>
      <c r="V128" s="10">
        <f t="shared" si="19"/>
        <v>87618028.599999994</v>
      </c>
      <c r="W128" s="10">
        <f t="shared" si="20"/>
        <v>0</v>
      </c>
      <c r="X128" s="10">
        <f t="shared" si="21"/>
        <v>0</v>
      </c>
    </row>
    <row r="129" spans="1:24" s="9" customFormat="1" ht="13.5" customHeight="1" x14ac:dyDescent="0.2">
      <c r="A129" s="292">
        <f t="shared" si="22"/>
        <v>125</v>
      </c>
      <c r="B129" s="293" t="s">
        <v>796</v>
      </c>
      <c r="C129" s="329" t="s">
        <v>793</v>
      </c>
      <c r="D129" s="310">
        <v>0</v>
      </c>
      <c r="E129" s="310"/>
      <c r="F129" s="295">
        <f t="shared" si="28"/>
        <v>0</v>
      </c>
      <c r="G129" s="287">
        <v>0</v>
      </c>
      <c r="H129" s="295">
        <f t="shared" si="24"/>
        <v>0</v>
      </c>
      <c r="I129" s="296">
        <v>5</v>
      </c>
      <c r="J129" s="296">
        <v>0.2</v>
      </c>
      <c r="K129" s="296">
        <v>0</v>
      </c>
      <c r="L129" s="287"/>
      <c r="M129" s="287">
        <f t="shared" si="25"/>
        <v>0</v>
      </c>
      <c r="N129" s="295">
        <f t="shared" si="26"/>
        <v>0</v>
      </c>
      <c r="O129" s="297" t="s">
        <v>797</v>
      </c>
      <c r="P129" s="297"/>
      <c r="Q129" s="342" t="s">
        <v>798</v>
      </c>
      <c r="R129" s="290">
        <f t="shared" si="27"/>
        <v>0</v>
      </c>
      <c r="S129" s="290">
        <f t="shared" si="17"/>
        <v>0</v>
      </c>
      <c r="T129" s="290">
        <f t="shared" si="18"/>
        <v>0</v>
      </c>
      <c r="U129" s="290"/>
      <c r="V129" s="291">
        <f t="shared" si="19"/>
        <v>0</v>
      </c>
      <c r="W129" s="10">
        <f t="shared" si="20"/>
        <v>0</v>
      </c>
      <c r="X129" s="10">
        <f t="shared" si="21"/>
        <v>0</v>
      </c>
    </row>
    <row r="130" spans="1:24" s="9" customFormat="1" ht="13.5" customHeight="1" x14ac:dyDescent="0.2">
      <c r="A130" s="64">
        <f t="shared" si="22"/>
        <v>126</v>
      </c>
      <c r="B130" s="77" t="s">
        <v>799</v>
      </c>
      <c r="C130" s="66" t="s">
        <v>793</v>
      </c>
      <c r="D130" s="175">
        <v>320087500</v>
      </c>
      <c r="E130" s="175"/>
      <c r="F130" s="67">
        <f t="shared" si="28"/>
        <v>320087500</v>
      </c>
      <c r="G130" s="110">
        <v>320086500</v>
      </c>
      <c r="H130" s="67">
        <f t="shared" si="24"/>
        <v>1000</v>
      </c>
      <c r="I130" s="68">
        <v>5</v>
      </c>
      <c r="J130" s="68">
        <v>0.2</v>
      </c>
      <c r="K130" s="68">
        <v>0</v>
      </c>
      <c r="L130" s="110"/>
      <c r="M130" s="110">
        <f t="shared" si="25"/>
        <v>320086500</v>
      </c>
      <c r="N130" s="67">
        <f t="shared" si="26"/>
        <v>1000</v>
      </c>
      <c r="O130" s="111" t="s">
        <v>800</v>
      </c>
      <c r="P130" s="111">
        <v>1</v>
      </c>
      <c r="Q130" s="332" t="s">
        <v>801</v>
      </c>
      <c r="R130" s="23">
        <f t="shared" si="27"/>
        <v>200</v>
      </c>
      <c r="S130" s="23">
        <f t="shared" si="17"/>
        <v>16004375</v>
      </c>
      <c r="T130" s="23">
        <f t="shared" si="18"/>
        <v>-16003375</v>
      </c>
      <c r="U130" s="23">
        <f t="shared" ref="U130:U136" si="29">N130-1000</f>
        <v>0</v>
      </c>
      <c r="V130" s="10">
        <f t="shared" si="19"/>
        <v>64017500</v>
      </c>
      <c r="W130" s="10">
        <f t="shared" si="20"/>
        <v>0</v>
      </c>
      <c r="X130" s="10">
        <f t="shared" si="21"/>
        <v>0</v>
      </c>
    </row>
    <row r="131" spans="1:24" s="9" customFormat="1" ht="13.5" customHeight="1" x14ac:dyDescent="0.2">
      <c r="A131" s="64">
        <f t="shared" si="22"/>
        <v>127</v>
      </c>
      <c r="B131" s="77" t="s">
        <v>802</v>
      </c>
      <c r="C131" s="66" t="s">
        <v>793</v>
      </c>
      <c r="D131" s="175">
        <v>51300000</v>
      </c>
      <c r="E131" s="175"/>
      <c r="F131" s="67">
        <f t="shared" si="28"/>
        <v>51300000</v>
      </c>
      <c r="G131" s="110">
        <v>51299000</v>
      </c>
      <c r="H131" s="67">
        <f t="shared" si="24"/>
        <v>1000</v>
      </c>
      <c r="I131" s="68">
        <v>5</v>
      </c>
      <c r="J131" s="68">
        <v>0.2</v>
      </c>
      <c r="K131" s="68">
        <v>0</v>
      </c>
      <c r="L131" s="110"/>
      <c r="M131" s="110">
        <f t="shared" si="25"/>
        <v>51299000</v>
      </c>
      <c r="N131" s="67">
        <f t="shared" si="26"/>
        <v>1000</v>
      </c>
      <c r="O131" s="111" t="s">
        <v>800</v>
      </c>
      <c r="P131" s="111">
        <v>1</v>
      </c>
      <c r="Q131" s="332"/>
      <c r="R131" s="23">
        <f t="shared" si="27"/>
        <v>200</v>
      </c>
      <c r="S131" s="23">
        <f t="shared" si="17"/>
        <v>2565000</v>
      </c>
      <c r="T131" s="23">
        <f t="shared" si="18"/>
        <v>-2564000</v>
      </c>
      <c r="U131" s="23">
        <f t="shared" si="29"/>
        <v>0</v>
      </c>
      <c r="V131" s="10">
        <f t="shared" si="19"/>
        <v>10260000</v>
      </c>
      <c r="W131" s="10">
        <f t="shared" si="20"/>
        <v>0</v>
      </c>
      <c r="X131" s="10">
        <f t="shared" si="21"/>
        <v>0</v>
      </c>
    </row>
    <row r="132" spans="1:24" s="9" customFormat="1" ht="13.5" customHeight="1" x14ac:dyDescent="0.2">
      <c r="A132" s="64">
        <f t="shared" si="22"/>
        <v>128</v>
      </c>
      <c r="B132" s="77" t="s">
        <v>803</v>
      </c>
      <c r="C132" s="66" t="s">
        <v>793</v>
      </c>
      <c r="D132" s="175">
        <v>25000000</v>
      </c>
      <c r="E132" s="175"/>
      <c r="F132" s="67">
        <f t="shared" si="28"/>
        <v>25000000</v>
      </c>
      <c r="G132" s="110">
        <v>24999000</v>
      </c>
      <c r="H132" s="67">
        <f t="shared" si="24"/>
        <v>1000</v>
      </c>
      <c r="I132" s="68">
        <v>5</v>
      </c>
      <c r="J132" s="68">
        <v>0.2</v>
      </c>
      <c r="K132" s="68">
        <v>0</v>
      </c>
      <c r="L132" s="110"/>
      <c r="M132" s="110">
        <f t="shared" si="25"/>
        <v>24999000</v>
      </c>
      <c r="N132" s="67">
        <f t="shared" si="26"/>
        <v>1000</v>
      </c>
      <c r="O132" s="111" t="s">
        <v>800</v>
      </c>
      <c r="P132" s="111">
        <v>1</v>
      </c>
      <c r="Q132" s="70"/>
      <c r="R132" s="23">
        <f t="shared" si="27"/>
        <v>200</v>
      </c>
      <c r="S132" s="23">
        <f t="shared" si="17"/>
        <v>1250000</v>
      </c>
      <c r="T132" s="23">
        <f t="shared" si="18"/>
        <v>-1249000</v>
      </c>
      <c r="U132" s="23">
        <f t="shared" si="29"/>
        <v>0</v>
      </c>
      <c r="V132" s="10">
        <f t="shared" si="19"/>
        <v>5000000</v>
      </c>
      <c r="W132" s="10">
        <f t="shared" si="20"/>
        <v>0</v>
      </c>
      <c r="X132" s="10">
        <f t="shared" si="21"/>
        <v>0</v>
      </c>
    </row>
    <row r="133" spans="1:24" s="9" customFormat="1" ht="13.5" customHeight="1" x14ac:dyDescent="0.2">
      <c r="A133" s="64">
        <f t="shared" si="22"/>
        <v>129</v>
      </c>
      <c r="B133" s="77" t="s">
        <v>804</v>
      </c>
      <c r="C133" s="66" t="s">
        <v>793</v>
      </c>
      <c r="D133" s="175">
        <v>9000000</v>
      </c>
      <c r="E133" s="175"/>
      <c r="F133" s="67">
        <f t="shared" si="28"/>
        <v>9000000</v>
      </c>
      <c r="G133" s="110">
        <v>8999000</v>
      </c>
      <c r="H133" s="67">
        <f t="shared" si="24"/>
        <v>1000</v>
      </c>
      <c r="I133" s="68">
        <v>5</v>
      </c>
      <c r="J133" s="68">
        <v>0.2</v>
      </c>
      <c r="K133" s="68">
        <v>0</v>
      </c>
      <c r="L133" s="110"/>
      <c r="M133" s="110">
        <f t="shared" si="25"/>
        <v>8999000</v>
      </c>
      <c r="N133" s="67">
        <f t="shared" si="26"/>
        <v>1000</v>
      </c>
      <c r="O133" s="111" t="s">
        <v>800</v>
      </c>
      <c r="P133" s="111">
        <v>1</v>
      </c>
      <c r="Q133" s="70"/>
      <c r="R133" s="23">
        <f t="shared" si="27"/>
        <v>200</v>
      </c>
      <c r="S133" s="23">
        <f t="shared" ref="S133:S165" si="30">D133*0.05</f>
        <v>450000</v>
      </c>
      <c r="T133" s="23">
        <f t="shared" ref="T133:T164" si="31">N133-S133</f>
        <v>-449000</v>
      </c>
      <c r="U133" s="23">
        <f t="shared" si="29"/>
        <v>0</v>
      </c>
      <c r="V133" s="10">
        <f t="shared" ref="V133:V165" si="32">F133/I133</f>
        <v>1800000</v>
      </c>
      <c r="W133" s="10">
        <f>ROUND(IF(H133&lt;=1000,0,V133/12*3),0)</f>
        <v>0</v>
      </c>
      <c r="X133" s="10">
        <f t="shared" ref="X133:X196" si="33">L133-W133</f>
        <v>0</v>
      </c>
    </row>
    <row r="134" spans="1:24" s="9" customFormat="1" ht="13.5" customHeight="1" x14ac:dyDescent="0.2">
      <c r="A134" s="322">
        <f t="shared" ref="A134:A197" si="34">+A133+1</f>
        <v>130</v>
      </c>
      <c r="B134" s="323" t="s">
        <v>805</v>
      </c>
      <c r="C134" s="343" t="s">
        <v>793</v>
      </c>
      <c r="D134" s="324">
        <v>89600000</v>
      </c>
      <c r="E134" s="324"/>
      <c r="F134" s="256">
        <f t="shared" si="28"/>
        <v>89600000</v>
      </c>
      <c r="G134" s="258">
        <v>89599000</v>
      </c>
      <c r="H134" s="256">
        <f t="shared" si="24"/>
        <v>1000</v>
      </c>
      <c r="I134" s="259">
        <v>5</v>
      </c>
      <c r="J134" s="259">
        <v>0.2</v>
      </c>
      <c r="K134" s="259">
        <v>0</v>
      </c>
      <c r="L134" s="258"/>
      <c r="M134" s="258">
        <f t="shared" si="25"/>
        <v>89599000</v>
      </c>
      <c r="N134" s="256">
        <f>F134-M134</f>
        <v>1000</v>
      </c>
      <c r="O134" s="325" t="s">
        <v>800</v>
      </c>
      <c r="P134" s="325">
        <v>1</v>
      </c>
      <c r="Q134" s="262" t="s">
        <v>806</v>
      </c>
      <c r="R134" s="23">
        <f t="shared" si="27"/>
        <v>200</v>
      </c>
      <c r="S134" s="23">
        <f t="shared" si="30"/>
        <v>4480000</v>
      </c>
      <c r="T134" s="23">
        <f t="shared" si="31"/>
        <v>-4479000</v>
      </c>
      <c r="U134" s="23">
        <f t="shared" si="29"/>
        <v>0</v>
      </c>
      <c r="V134" s="10">
        <f t="shared" si="32"/>
        <v>17920000</v>
      </c>
      <c r="W134" s="10">
        <v>0</v>
      </c>
      <c r="X134" s="10">
        <f t="shared" si="33"/>
        <v>0</v>
      </c>
    </row>
    <row r="135" spans="1:24" s="9" customFormat="1" ht="13.5" customHeight="1" x14ac:dyDescent="0.2">
      <c r="A135" s="64">
        <f t="shared" si="34"/>
        <v>131</v>
      </c>
      <c r="B135" s="77" t="s">
        <v>807</v>
      </c>
      <c r="C135" s="66" t="s">
        <v>793</v>
      </c>
      <c r="D135" s="175">
        <v>35708920</v>
      </c>
      <c r="E135" s="175"/>
      <c r="F135" s="67">
        <f t="shared" si="28"/>
        <v>35708920</v>
      </c>
      <c r="G135" s="110">
        <v>35707920</v>
      </c>
      <c r="H135" s="67">
        <f t="shared" si="24"/>
        <v>1000</v>
      </c>
      <c r="I135" s="68">
        <v>5</v>
      </c>
      <c r="J135" s="68">
        <v>0.2</v>
      </c>
      <c r="K135" s="68">
        <v>0</v>
      </c>
      <c r="L135" s="110"/>
      <c r="M135" s="110">
        <f t="shared" si="25"/>
        <v>35707920</v>
      </c>
      <c r="N135" s="67">
        <f t="shared" ref="N135:N165" si="35">+F135-M135</f>
        <v>1000</v>
      </c>
      <c r="O135" s="111" t="s">
        <v>800</v>
      </c>
      <c r="P135" s="111">
        <v>1</v>
      </c>
      <c r="Q135" s="178"/>
      <c r="R135" s="23">
        <f t="shared" si="27"/>
        <v>200</v>
      </c>
      <c r="S135" s="23">
        <f t="shared" si="30"/>
        <v>1785446</v>
      </c>
      <c r="T135" s="23">
        <f t="shared" si="31"/>
        <v>-1784446</v>
      </c>
      <c r="U135" s="23">
        <f t="shared" si="29"/>
        <v>0</v>
      </c>
      <c r="V135" s="10">
        <f t="shared" si="32"/>
        <v>7141784</v>
      </c>
      <c r="W135" s="10">
        <f t="shared" ref="W135:W198" si="36">ROUND(IF(H135&lt;=1000,0,V135/12*3),0)</f>
        <v>0</v>
      </c>
      <c r="X135" s="10">
        <f t="shared" si="33"/>
        <v>0</v>
      </c>
    </row>
    <row r="136" spans="1:24" s="9" customFormat="1" ht="13.5" customHeight="1" x14ac:dyDescent="0.2">
      <c r="A136" s="64">
        <f t="shared" si="34"/>
        <v>132</v>
      </c>
      <c r="B136" s="77" t="s">
        <v>808</v>
      </c>
      <c r="C136" s="66" t="s">
        <v>793</v>
      </c>
      <c r="D136" s="175">
        <v>1000000</v>
      </c>
      <c r="E136" s="175"/>
      <c r="F136" s="67">
        <f t="shared" si="28"/>
        <v>1000000</v>
      </c>
      <c r="G136" s="110">
        <v>999000</v>
      </c>
      <c r="H136" s="67">
        <f t="shared" si="24"/>
        <v>1000</v>
      </c>
      <c r="I136" s="68">
        <v>5</v>
      </c>
      <c r="J136" s="68">
        <v>0.2</v>
      </c>
      <c r="K136" s="68">
        <v>0</v>
      </c>
      <c r="L136" s="110"/>
      <c r="M136" s="110">
        <f t="shared" si="25"/>
        <v>999000</v>
      </c>
      <c r="N136" s="67">
        <f t="shared" si="35"/>
        <v>1000</v>
      </c>
      <c r="O136" s="111" t="s">
        <v>800</v>
      </c>
      <c r="P136" s="111">
        <v>1</v>
      </c>
      <c r="Q136" s="70"/>
      <c r="R136" s="23">
        <f t="shared" si="27"/>
        <v>200</v>
      </c>
      <c r="S136" s="23">
        <f t="shared" si="30"/>
        <v>50000</v>
      </c>
      <c r="T136" s="23">
        <f t="shared" si="31"/>
        <v>-49000</v>
      </c>
      <c r="U136" s="23">
        <f t="shared" si="29"/>
        <v>0</v>
      </c>
      <c r="V136" s="10">
        <f t="shared" si="32"/>
        <v>200000</v>
      </c>
      <c r="W136" s="10">
        <f t="shared" si="36"/>
        <v>0</v>
      </c>
      <c r="X136" s="10">
        <f t="shared" si="33"/>
        <v>0</v>
      </c>
    </row>
    <row r="137" spans="1:24" s="9" customFormat="1" ht="13.5" customHeight="1" x14ac:dyDescent="0.2">
      <c r="A137" s="292">
        <f t="shared" si="34"/>
        <v>133</v>
      </c>
      <c r="B137" s="293" t="s">
        <v>809</v>
      </c>
      <c r="C137" s="329" t="s">
        <v>810</v>
      </c>
      <c r="D137" s="310">
        <v>0</v>
      </c>
      <c r="E137" s="310"/>
      <c r="F137" s="295">
        <f t="shared" si="28"/>
        <v>0</v>
      </c>
      <c r="G137" s="287">
        <v>0</v>
      </c>
      <c r="H137" s="295">
        <f t="shared" si="24"/>
        <v>0</v>
      </c>
      <c r="I137" s="296">
        <v>5</v>
      </c>
      <c r="J137" s="296">
        <v>0.2</v>
      </c>
      <c r="K137" s="296">
        <v>0</v>
      </c>
      <c r="L137" s="287"/>
      <c r="M137" s="287">
        <f t="shared" si="25"/>
        <v>0</v>
      </c>
      <c r="N137" s="295">
        <f t="shared" si="35"/>
        <v>0</v>
      </c>
      <c r="O137" s="297" t="s">
        <v>696</v>
      </c>
      <c r="P137" s="297">
        <v>1</v>
      </c>
      <c r="Q137" s="298"/>
      <c r="R137" s="290">
        <f t="shared" si="27"/>
        <v>0</v>
      </c>
      <c r="S137" s="290">
        <f t="shared" si="30"/>
        <v>0</v>
      </c>
      <c r="T137" s="290">
        <f t="shared" si="31"/>
        <v>0</v>
      </c>
      <c r="U137" s="290"/>
      <c r="V137" s="291">
        <f t="shared" si="32"/>
        <v>0</v>
      </c>
      <c r="W137" s="10">
        <f t="shared" si="36"/>
        <v>0</v>
      </c>
      <c r="X137" s="10">
        <f t="shared" si="33"/>
        <v>0</v>
      </c>
    </row>
    <row r="138" spans="1:24" s="9" customFormat="1" ht="13.5" customHeight="1" x14ac:dyDescent="0.2">
      <c r="A138" s="64">
        <f t="shared" si="34"/>
        <v>134</v>
      </c>
      <c r="B138" s="77" t="s">
        <v>811</v>
      </c>
      <c r="C138" s="66" t="s">
        <v>281</v>
      </c>
      <c r="D138" s="175">
        <v>12000000</v>
      </c>
      <c r="E138" s="175"/>
      <c r="F138" s="67">
        <f t="shared" si="28"/>
        <v>12000000</v>
      </c>
      <c r="G138" s="110">
        <v>11999000</v>
      </c>
      <c r="H138" s="67">
        <f t="shared" si="24"/>
        <v>1000</v>
      </c>
      <c r="I138" s="68">
        <v>5</v>
      </c>
      <c r="J138" s="68">
        <v>0.2</v>
      </c>
      <c r="K138" s="68">
        <v>0</v>
      </c>
      <c r="L138" s="110"/>
      <c r="M138" s="110">
        <f t="shared" si="25"/>
        <v>11999000</v>
      </c>
      <c r="N138" s="67">
        <f t="shared" si="35"/>
        <v>1000</v>
      </c>
      <c r="O138" s="111" t="s">
        <v>812</v>
      </c>
      <c r="P138" s="111">
        <v>2</v>
      </c>
      <c r="Q138" s="70"/>
      <c r="R138" s="23">
        <f t="shared" si="27"/>
        <v>200</v>
      </c>
      <c r="S138" s="23">
        <f t="shared" si="30"/>
        <v>600000</v>
      </c>
      <c r="T138" s="23">
        <f t="shared" si="31"/>
        <v>-599000</v>
      </c>
      <c r="U138" s="23">
        <f>N138-1000</f>
        <v>0</v>
      </c>
      <c r="V138" s="10">
        <f t="shared" si="32"/>
        <v>2400000</v>
      </c>
      <c r="W138" s="10">
        <f t="shared" si="36"/>
        <v>0</v>
      </c>
      <c r="X138" s="10">
        <f t="shared" si="33"/>
        <v>0</v>
      </c>
    </row>
    <row r="139" spans="1:24" s="9" customFormat="1" ht="13.5" customHeight="1" x14ac:dyDescent="0.2">
      <c r="A139" s="64">
        <f t="shared" si="34"/>
        <v>135</v>
      </c>
      <c r="B139" s="77" t="s">
        <v>813</v>
      </c>
      <c r="C139" s="66" t="s">
        <v>281</v>
      </c>
      <c r="D139" s="175">
        <v>6000000</v>
      </c>
      <c r="E139" s="175"/>
      <c r="F139" s="67">
        <f t="shared" si="28"/>
        <v>6000000</v>
      </c>
      <c r="G139" s="110">
        <v>5999000</v>
      </c>
      <c r="H139" s="67">
        <f t="shared" si="24"/>
        <v>1000</v>
      </c>
      <c r="I139" s="68">
        <v>5</v>
      </c>
      <c r="J139" s="68">
        <v>0.2</v>
      </c>
      <c r="K139" s="68">
        <v>0</v>
      </c>
      <c r="L139" s="110"/>
      <c r="M139" s="110">
        <f t="shared" si="25"/>
        <v>5999000</v>
      </c>
      <c r="N139" s="67">
        <f t="shared" si="35"/>
        <v>1000</v>
      </c>
      <c r="O139" s="111" t="s">
        <v>812</v>
      </c>
      <c r="P139" s="111">
        <v>2</v>
      </c>
      <c r="Q139" s="70"/>
      <c r="R139" s="23">
        <f t="shared" si="27"/>
        <v>200</v>
      </c>
      <c r="S139" s="23">
        <f t="shared" si="30"/>
        <v>300000</v>
      </c>
      <c r="T139" s="23">
        <f t="shared" si="31"/>
        <v>-299000</v>
      </c>
      <c r="U139" s="23">
        <f>N139-1000</f>
        <v>0</v>
      </c>
      <c r="V139" s="10">
        <f t="shared" si="32"/>
        <v>1200000</v>
      </c>
      <c r="W139" s="10">
        <f t="shared" si="36"/>
        <v>0</v>
      </c>
      <c r="X139" s="10">
        <f t="shared" si="33"/>
        <v>0</v>
      </c>
    </row>
    <row r="140" spans="1:24" s="9" customFormat="1" ht="13.5" customHeight="1" x14ac:dyDescent="0.2">
      <c r="A140" s="292">
        <f t="shared" si="34"/>
        <v>136</v>
      </c>
      <c r="B140" s="293" t="s">
        <v>814</v>
      </c>
      <c r="C140" s="329" t="s">
        <v>815</v>
      </c>
      <c r="D140" s="310">
        <v>0</v>
      </c>
      <c r="E140" s="310"/>
      <c r="F140" s="295">
        <f t="shared" si="28"/>
        <v>0</v>
      </c>
      <c r="G140" s="287">
        <v>0</v>
      </c>
      <c r="H140" s="295">
        <f t="shared" si="24"/>
        <v>0</v>
      </c>
      <c r="I140" s="296">
        <v>5</v>
      </c>
      <c r="J140" s="296">
        <v>0.2</v>
      </c>
      <c r="K140" s="296">
        <v>0</v>
      </c>
      <c r="L140" s="287"/>
      <c r="M140" s="287">
        <f t="shared" si="25"/>
        <v>0</v>
      </c>
      <c r="N140" s="295">
        <f t="shared" si="35"/>
        <v>0</v>
      </c>
      <c r="O140" s="297" t="s">
        <v>816</v>
      </c>
      <c r="P140" s="297">
        <v>1</v>
      </c>
      <c r="Q140" s="298"/>
      <c r="R140" s="290">
        <f t="shared" si="27"/>
        <v>0</v>
      </c>
      <c r="S140" s="290">
        <f t="shared" si="30"/>
        <v>0</v>
      </c>
      <c r="T140" s="290">
        <f t="shared" si="31"/>
        <v>0</v>
      </c>
      <c r="U140" s="290"/>
      <c r="V140" s="291">
        <f t="shared" si="32"/>
        <v>0</v>
      </c>
      <c r="W140" s="10">
        <f t="shared" si="36"/>
        <v>0</v>
      </c>
      <c r="X140" s="10">
        <f t="shared" si="33"/>
        <v>0</v>
      </c>
    </row>
    <row r="141" spans="1:24" s="9" customFormat="1" ht="13.5" customHeight="1" x14ac:dyDescent="0.2">
      <c r="A141" s="64">
        <f t="shared" si="34"/>
        <v>137</v>
      </c>
      <c r="B141" s="77" t="s">
        <v>817</v>
      </c>
      <c r="C141" s="66" t="s">
        <v>818</v>
      </c>
      <c r="D141" s="175">
        <v>500000</v>
      </c>
      <c r="E141" s="175"/>
      <c r="F141" s="67">
        <f t="shared" si="28"/>
        <v>500000</v>
      </c>
      <c r="G141" s="110">
        <v>499000</v>
      </c>
      <c r="H141" s="67">
        <f t="shared" si="24"/>
        <v>1000</v>
      </c>
      <c r="I141" s="68">
        <v>5</v>
      </c>
      <c r="J141" s="68">
        <v>0.2</v>
      </c>
      <c r="K141" s="68">
        <v>0</v>
      </c>
      <c r="L141" s="110"/>
      <c r="M141" s="110">
        <f t="shared" si="25"/>
        <v>499000</v>
      </c>
      <c r="N141" s="67">
        <f t="shared" si="35"/>
        <v>1000</v>
      </c>
      <c r="O141" s="111" t="s">
        <v>819</v>
      </c>
      <c r="P141" s="111">
        <v>1</v>
      </c>
      <c r="Q141" s="70"/>
      <c r="R141" s="23">
        <f t="shared" si="27"/>
        <v>200</v>
      </c>
      <c r="S141" s="23">
        <f t="shared" si="30"/>
        <v>25000</v>
      </c>
      <c r="T141" s="23">
        <f t="shared" si="31"/>
        <v>-24000</v>
      </c>
      <c r="U141" s="23">
        <f>N141-1000</f>
        <v>0</v>
      </c>
      <c r="V141" s="10">
        <f t="shared" si="32"/>
        <v>100000</v>
      </c>
      <c r="W141" s="10">
        <f t="shared" si="36"/>
        <v>0</v>
      </c>
      <c r="X141" s="10">
        <f t="shared" si="33"/>
        <v>0</v>
      </c>
    </row>
    <row r="142" spans="1:24" s="9" customFormat="1" ht="13.5" customHeight="1" x14ac:dyDescent="0.2">
      <c r="A142" s="292">
        <f t="shared" si="34"/>
        <v>138</v>
      </c>
      <c r="B142" s="293" t="s">
        <v>820</v>
      </c>
      <c r="C142" s="329" t="s">
        <v>821</v>
      </c>
      <c r="D142" s="310">
        <v>0</v>
      </c>
      <c r="E142" s="310"/>
      <c r="F142" s="295">
        <f t="shared" si="28"/>
        <v>0</v>
      </c>
      <c r="G142" s="287">
        <v>0</v>
      </c>
      <c r="H142" s="295">
        <f t="shared" si="24"/>
        <v>0</v>
      </c>
      <c r="I142" s="296">
        <v>5</v>
      </c>
      <c r="J142" s="296">
        <v>0.2</v>
      </c>
      <c r="K142" s="296">
        <v>0</v>
      </c>
      <c r="L142" s="287"/>
      <c r="M142" s="287">
        <f t="shared" si="25"/>
        <v>0</v>
      </c>
      <c r="N142" s="295">
        <f t="shared" si="35"/>
        <v>0</v>
      </c>
      <c r="O142" s="297" t="s">
        <v>696</v>
      </c>
      <c r="P142" s="297">
        <v>1</v>
      </c>
      <c r="Q142" s="298"/>
      <c r="R142" s="290">
        <f t="shared" si="27"/>
        <v>0</v>
      </c>
      <c r="S142" s="290">
        <f t="shared" si="30"/>
        <v>0</v>
      </c>
      <c r="T142" s="290">
        <f t="shared" si="31"/>
        <v>0</v>
      </c>
      <c r="U142" s="290"/>
      <c r="V142" s="291">
        <f t="shared" si="32"/>
        <v>0</v>
      </c>
      <c r="W142" s="10">
        <f t="shared" si="36"/>
        <v>0</v>
      </c>
      <c r="X142" s="10">
        <f t="shared" si="33"/>
        <v>0</v>
      </c>
    </row>
    <row r="143" spans="1:24" s="9" customFormat="1" ht="13.5" customHeight="1" x14ac:dyDescent="0.2">
      <c r="A143" s="64">
        <f t="shared" si="34"/>
        <v>139</v>
      </c>
      <c r="B143" s="77" t="s">
        <v>822</v>
      </c>
      <c r="C143" s="66" t="s">
        <v>823</v>
      </c>
      <c r="D143" s="175">
        <v>1200000</v>
      </c>
      <c r="E143" s="175"/>
      <c r="F143" s="67">
        <f t="shared" si="28"/>
        <v>1200000</v>
      </c>
      <c r="G143" s="110">
        <v>1199000</v>
      </c>
      <c r="H143" s="67">
        <f t="shared" si="24"/>
        <v>1000</v>
      </c>
      <c r="I143" s="68">
        <v>5</v>
      </c>
      <c r="J143" s="68">
        <v>0.2</v>
      </c>
      <c r="K143" s="68">
        <v>0</v>
      </c>
      <c r="L143" s="110"/>
      <c r="M143" s="110">
        <f t="shared" si="25"/>
        <v>1199000</v>
      </c>
      <c r="N143" s="67">
        <f t="shared" si="35"/>
        <v>1000</v>
      </c>
      <c r="O143" s="111" t="s">
        <v>824</v>
      </c>
      <c r="P143" s="111">
        <v>1</v>
      </c>
      <c r="Q143" s="70"/>
      <c r="R143" s="23">
        <f t="shared" si="27"/>
        <v>200</v>
      </c>
      <c r="S143" s="23">
        <f t="shared" si="30"/>
        <v>60000</v>
      </c>
      <c r="T143" s="23">
        <f t="shared" si="31"/>
        <v>-59000</v>
      </c>
      <c r="U143" s="23">
        <f>N143-1000</f>
        <v>0</v>
      </c>
      <c r="V143" s="10">
        <f t="shared" si="32"/>
        <v>240000</v>
      </c>
      <c r="W143" s="10">
        <f t="shared" si="36"/>
        <v>0</v>
      </c>
      <c r="X143" s="10">
        <f t="shared" si="33"/>
        <v>0</v>
      </c>
    </row>
    <row r="144" spans="1:24" s="9" customFormat="1" ht="13.5" customHeight="1" x14ac:dyDescent="0.2">
      <c r="A144" s="64">
        <f t="shared" si="34"/>
        <v>140</v>
      </c>
      <c r="B144" s="77" t="s">
        <v>646</v>
      </c>
      <c r="C144" s="66" t="s">
        <v>823</v>
      </c>
      <c r="D144" s="175">
        <v>612000</v>
      </c>
      <c r="E144" s="175"/>
      <c r="F144" s="67">
        <f t="shared" si="28"/>
        <v>612000</v>
      </c>
      <c r="G144" s="110">
        <v>611000</v>
      </c>
      <c r="H144" s="67">
        <f t="shared" si="24"/>
        <v>1000</v>
      </c>
      <c r="I144" s="68">
        <v>5</v>
      </c>
      <c r="J144" s="68">
        <v>0.2</v>
      </c>
      <c r="K144" s="68">
        <v>0</v>
      </c>
      <c r="L144" s="110"/>
      <c r="M144" s="110">
        <f t="shared" si="25"/>
        <v>611000</v>
      </c>
      <c r="N144" s="67">
        <f t="shared" si="35"/>
        <v>1000</v>
      </c>
      <c r="O144" s="111" t="s">
        <v>761</v>
      </c>
      <c r="P144" s="111">
        <v>1</v>
      </c>
      <c r="Q144" s="70"/>
      <c r="R144" s="23">
        <f t="shared" si="27"/>
        <v>200</v>
      </c>
      <c r="S144" s="23">
        <f t="shared" si="30"/>
        <v>30600</v>
      </c>
      <c r="T144" s="23">
        <f t="shared" si="31"/>
        <v>-29600</v>
      </c>
      <c r="U144" s="23">
        <f>N144-1000</f>
        <v>0</v>
      </c>
      <c r="V144" s="10">
        <f t="shared" si="32"/>
        <v>122400</v>
      </c>
      <c r="W144" s="10">
        <f t="shared" si="36"/>
        <v>0</v>
      </c>
      <c r="X144" s="10">
        <f t="shared" si="33"/>
        <v>0</v>
      </c>
    </row>
    <row r="145" spans="1:24" s="9" customFormat="1" ht="13.5" customHeight="1" x14ac:dyDescent="0.2">
      <c r="A145" s="292">
        <f t="shared" si="34"/>
        <v>141</v>
      </c>
      <c r="B145" s="293" t="s">
        <v>825</v>
      </c>
      <c r="C145" s="329" t="s">
        <v>826</v>
      </c>
      <c r="D145" s="310">
        <v>0</v>
      </c>
      <c r="E145" s="310"/>
      <c r="F145" s="295">
        <f t="shared" si="28"/>
        <v>0</v>
      </c>
      <c r="G145" s="287">
        <v>0</v>
      </c>
      <c r="H145" s="295">
        <f t="shared" si="24"/>
        <v>0</v>
      </c>
      <c r="I145" s="296">
        <v>5</v>
      </c>
      <c r="J145" s="296">
        <v>0.2</v>
      </c>
      <c r="K145" s="296">
        <v>0</v>
      </c>
      <c r="L145" s="287"/>
      <c r="M145" s="287">
        <f t="shared" si="25"/>
        <v>0</v>
      </c>
      <c r="N145" s="295">
        <f t="shared" si="35"/>
        <v>0</v>
      </c>
      <c r="O145" s="297" t="s">
        <v>827</v>
      </c>
      <c r="P145" s="297">
        <v>1</v>
      </c>
      <c r="Q145" s="298"/>
      <c r="R145" s="290">
        <f t="shared" si="27"/>
        <v>0</v>
      </c>
      <c r="S145" s="290">
        <f t="shared" si="30"/>
        <v>0</v>
      </c>
      <c r="T145" s="290">
        <f t="shared" si="31"/>
        <v>0</v>
      </c>
      <c r="U145" s="290"/>
      <c r="V145" s="291">
        <f t="shared" si="32"/>
        <v>0</v>
      </c>
      <c r="W145" s="10">
        <f t="shared" si="36"/>
        <v>0</v>
      </c>
      <c r="X145" s="10">
        <f t="shared" si="33"/>
        <v>0</v>
      </c>
    </row>
    <row r="146" spans="1:24" s="9" customFormat="1" ht="13.5" customHeight="1" x14ac:dyDescent="0.2">
      <c r="A146" s="292">
        <f t="shared" si="34"/>
        <v>142</v>
      </c>
      <c r="B146" s="293" t="s">
        <v>828</v>
      </c>
      <c r="C146" s="329" t="s">
        <v>826</v>
      </c>
      <c r="D146" s="310">
        <v>0</v>
      </c>
      <c r="E146" s="310"/>
      <c r="F146" s="295">
        <f t="shared" si="28"/>
        <v>0</v>
      </c>
      <c r="G146" s="287">
        <v>0</v>
      </c>
      <c r="H146" s="295">
        <f t="shared" si="24"/>
        <v>0</v>
      </c>
      <c r="I146" s="296">
        <v>5</v>
      </c>
      <c r="J146" s="296">
        <v>0.2</v>
      </c>
      <c r="K146" s="296">
        <v>0</v>
      </c>
      <c r="L146" s="287"/>
      <c r="M146" s="287">
        <f t="shared" si="25"/>
        <v>0</v>
      </c>
      <c r="N146" s="295">
        <f t="shared" si="35"/>
        <v>0</v>
      </c>
      <c r="O146" s="297" t="s">
        <v>827</v>
      </c>
      <c r="P146" s="297">
        <v>1</v>
      </c>
      <c r="Q146" s="298"/>
      <c r="R146" s="290">
        <f t="shared" si="27"/>
        <v>0</v>
      </c>
      <c r="S146" s="290">
        <f t="shared" si="30"/>
        <v>0</v>
      </c>
      <c r="T146" s="290">
        <f t="shared" si="31"/>
        <v>0</v>
      </c>
      <c r="U146" s="290"/>
      <c r="V146" s="291">
        <f t="shared" si="32"/>
        <v>0</v>
      </c>
      <c r="W146" s="10">
        <f t="shared" si="36"/>
        <v>0</v>
      </c>
      <c r="X146" s="10">
        <f t="shared" si="33"/>
        <v>0</v>
      </c>
    </row>
    <row r="147" spans="1:24" s="9" customFormat="1" ht="13.5" customHeight="1" x14ac:dyDescent="0.2">
      <c r="A147" s="292">
        <f t="shared" si="34"/>
        <v>143</v>
      </c>
      <c r="B147" s="293" t="s">
        <v>829</v>
      </c>
      <c r="C147" s="329" t="s">
        <v>826</v>
      </c>
      <c r="D147" s="310">
        <v>0</v>
      </c>
      <c r="E147" s="310"/>
      <c r="F147" s="295">
        <f t="shared" si="28"/>
        <v>0</v>
      </c>
      <c r="G147" s="287">
        <v>0</v>
      </c>
      <c r="H147" s="295">
        <f t="shared" si="24"/>
        <v>0</v>
      </c>
      <c r="I147" s="296">
        <v>5</v>
      </c>
      <c r="J147" s="296">
        <v>0.2</v>
      </c>
      <c r="K147" s="296">
        <v>0</v>
      </c>
      <c r="L147" s="287"/>
      <c r="M147" s="287">
        <f t="shared" si="25"/>
        <v>0</v>
      </c>
      <c r="N147" s="295">
        <f t="shared" si="35"/>
        <v>0</v>
      </c>
      <c r="O147" s="297" t="s">
        <v>827</v>
      </c>
      <c r="P147" s="297">
        <v>1</v>
      </c>
      <c r="Q147" s="298"/>
      <c r="R147" s="290">
        <f t="shared" si="27"/>
        <v>0</v>
      </c>
      <c r="S147" s="290">
        <f t="shared" si="30"/>
        <v>0</v>
      </c>
      <c r="T147" s="290">
        <f t="shared" si="31"/>
        <v>0</v>
      </c>
      <c r="U147" s="290"/>
      <c r="V147" s="291">
        <f t="shared" si="32"/>
        <v>0</v>
      </c>
      <c r="W147" s="10">
        <f t="shared" si="36"/>
        <v>0</v>
      </c>
      <c r="X147" s="10">
        <f t="shared" si="33"/>
        <v>0</v>
      </c>
    </row>
    <row r="148" spans="1:24" s="9" customFormat="1" ht="13.5" customHeight="1" x14ac:dyDescent="0.2">
      <c r="A148" s="292">
        <f t="shared" si="34"/>
        <v>144</v>
      </c>
      <c r="B148" s="293" t="s">
        <v>830</v>
      </c>
      <c r="C148" s="329" t="s">
        <v>826</v>
      </c>
      <c r="D148" s="310">
        <v>0</v>
      </c>
      <c r="E148" s="310"/>
      <c r="F148" s="295">
        <f t="shared" si="28"/>
        <v>0</v>
      </c>
      <c r="G148" s="287">
        <v>0</v>
      </c>
      <c r="H148" s="295">
        <f t="shared" si="24"/>
        <v>0</v>
      </c>
      <c r="I148" s="296">
        <v>5</v>
      </c>
      <c r="J148" s="296">
        <v>0.2</v>
      </c>
      <c r="K148" s="296">
        <v>0</v>
      </c>
      <c r="L148" s="287"/>
      <c r="M148" s="287">
        <f t="shared" si="25"/>
        <v>0</v>
      </c>
      <c r="N148" s="295">
        <f t="shared" si="35"/>
        <v>0</v>
      </c>
      <c r="O148" s="297" t="s">
        <v>827</v>
      </c>
      <c r="P148" s="297">
        <v>1</v>
      </c>
      <c r="Q148" s="298"/>
      <c r="R148" s="290">
        <f t="shared" si="27"/>
        <v>0</v>
      </c>
      <c r="S148" s="290">
        <f t="shared" si="30"/>
        <v>0</v>
      </c>
      <c r="T148" s="290">
        <f t="shared" si="31"/>
        <v>0</v>
      </c>
      <c r="U148" s="290"/>
      <c r="V148" s="291">
        <f t="shared" si="32"/>
        <v>0</v>
      </c>
      <c r="W148" s="10">
        <f t="shared" si="36"/>
        <v>0</v>
      </c>
      <c r="X148" s="10">
        <f t="shared" si="33"/>
        <v>0</v>
      </c>
    </row>
    <row r="149" spans="1:24" s="9" customFormat="1" ht="13.5" customHeight="1" x14ac:dyDescent="0.2">
      <c r="A149" s="64">
        <f t="shared" si="34"/>
        <v>145</v>
      </c>
      <c r="B149" s="77" t="s">
        <v>831</v>
      </c>
      <c r="C149" s="66" t="s">
        <v>832</v>
      </c>
      <c r="D149" s="175">
        <v>2600000</v>
      </c>
      <c r="E149" s="175"/>
      <c r="F149" s="67">
        <f t="shared" si="28"/>
        <v>2600000</v>
      </c>
      <c r="G149" s="110">
        <v>2599000</v>
      </c>
      <c r="H149" s="67">
        <f t="shared" si="24"/>
        <v>1000</v>
      </c>
      <c r="I149" s="68">
        <v>5</v>
      </c>
      <c r="J149" s="68">
        <v>0.2</v>
      </c>
      <c r="K149" s="68">
        <v>0</v>
      </c>
      <c r="L149" s="110"/>
      <c r="M149" s="110">
        <f t="shared" si="25"/>
        <v>2599000</v>
      </c>
      <c r="N149" s="67">
        <f t="shared" si="35"/>
        <v>1000</v>
      </c>
      <c r="O149" s="111" t="s">
        <v>833</v>
      </c>
      <c r="P149" s="111">
        <v>1</v>
      </c>
      <c r="Q149" s="70"/>
      <c r="R149" s="23">
        <f t="shared" si="27"/>
        <v>200</v>
      </c>
      <c r="S149" s="23">
        <f t="shared" si="30"/>
        <v>130000</v>
      </c>
      <c r="T149" s="23">
        <f t="shared" si="31"/>
        <v>-129000</v>
      </c>
      <c r="U149" s="23">
        <f>N149-1000</f>
        <v>0</v>
      </c>
      <c r="V149" s="10">
        <f t="shared" si="32"/>
        <v>520000</v>
      </c>
      <c r="W149" s="10">
        <f t="shared" si="36"/>
        <v>0</v>
      </c>
      <c r="X149" s="10">
        <f t="shared" si="33"/>
        <v>0</v>
      </c>
    </row>
    <row r="150" spans="1:24" s="9" customFormat="1" ht="13.5" customHeight="1" x14ac:dyDescent="0.2">
      <c r="A150" s="64">
        <f t="shared" si="34"/>
        <v>146</v>
      </c>
      <c r="B150" s="77" t="s">
        <v>834</v>
      </c>
      <c r="C150" s="66" t="s">
        <v>835</v>
      </c>
      <c r="D150" s="175">
        <v>400000</v>
      </c>
      <c r="E150" s="175"/>
      <c r="F150" s="67">
        <f t="shared" si="28"/>
        <v>400000</v>
      </c>
      <c r="G150" s="110">
        <v>399000</v>
      </c>
      <c r="H150" s="67">
        <f t="shared" si="24"/>
        <v>1000</v>
      </c>
      <c r="I150" s="68">
        <v>5</v>
      </c>
      <c r="J150" s="68">
        <v>0.2</v>
      </c>
      <c r="K150" s="68">
        <v>0</v>
      </c>
      <c r="L150" s="110"/>
      <c r="M150" s="110">
        <f t="shared" si="25"/>
        <v>399000</v>
      </c>
      <c r="N150" s="67">
        <f t="shared" si="35"/>
        <v>1000</v>
      </c>
      <c r="O150" s="111" t="s">
        <v>791</v>
      </c>
      <c r="P150" s="111">
        <v>1</v>
      </c>
      <c r="Q150" s="70"/>
      <c r="R150" s="23">
        <f t="shared" si="27"/>
        <v>200</v>
      </c>
      <c r="S150" s="23">
        <f t="shared" si="30"/>
        <v>20000</v>
      </c>
      <c r="T150" s="23">
        <f t="shared" si="31"/>
        <v>-19000</v>
      </c>
      <c r="U150" s="23">
        <f>N150-1000</f>
        <v>0</v>
      </c>
      <c r="V150" s="10">
        <f t="shared" si="32"/>
        <v>80000</v>
      </c>
      <c r="W150" s="10">
        <f t="shared" si="36"/>
        <v>0</v>
      </c>
      <c r="X150" s="10">
        <f t="shared" si="33"/>
        <v>0</v>
      </c>
    </row>
    <row r="151" spans="1:24" s="9" customFormat="1" ht="13.5" customHeight="1" x14ac:dyDescent="0.2">
      <c r="A151" s="64">
        <f t="shared" si="34"/>
        <v>147</v>
      </c>
      <c r="B151" s="77" t="s">
        <v>836</v>
      </c>
      <c r="C151" s="66" t="s">
        <v>837</v>
      </c>
      <c r="D151" s="175">
        <v>65440000</v>
      </c>
      <c r="E151" s="175"/>
      <c r="F151" s="67">
        <f t="shared" si="28"/>
        <v>65440000</v>
      </c>
      <c r="G151" s="110">
        <v>65439000</v>
      </c>
      <c r="H151" s="67">
        <f t="shared" si="24"/>
        <v>1000</v>
      </c>
      <c r="I151" s="68">
        <v>5</v>
      </c>
      <c r="J151" s="68">
        <v>0.2</v>
      </c>
      <c r="K151" s="68">
        <v>0</v>
      </c>
      <c r="L151" s="110"/>
      <c r="M151" s="110">
        <f t="shared" si="25"/>
        <v>65439000</v>
      </c>
      <c r="N151" s="67">
        <f t="shared" si="35"/>
        <v>1000</v>
      </c>
      <c r="O151" s="111" t="s">
        <v>800</v>
      </c>
      <c r="P151" s="111">
        <v>4</v>
      </c>
      <c r="Q151" s="332" t="s">
        <v>838</v>
      </c>
      <c r="R151" s="23">
        <f t="shared" si="27"/>
        <v>200</v>
      </c>
      <c r="S151" s="23">
        <f t="shared" si="30"/>
        <v>3272000</v>
      </c>
      <c r="T151" s="23">
        <f t="shared" si="31"/>
        <v>-3271000</v>
      </c>
      <c r="U151" s="23">
        <f>N151-1000</f>
        <v>0</v>
      </c>
      <c r="V151" s="10">
        <f t="shared" si="32"/>
        <v>13088000</v>
      </c>
      <c r="W151" s="10">
        <f t="shared" si="36"/>
        <v>0</v>
      </c>
      <c r="X151" s="10">
        <f t="shared" si="33"/>
        <v>0</v>
      </c>
    </row>
    <row r="152" spans="1:24" s="9" customFormat="1" ht="13.5" customHeight="1" x14ac:dyDescent="0.2">
      <c r="A152" s="292">
        <f t="shared" si="34"/>
        <v>148</v>
      </c>
      <c r="B152" s="293" t="s">
        <v>839</v>
      </c>
      <c r="C152" s="329" t="s">
        <v>840</v>
      </c>
      <c r="D152" s="310">
        <v>0</v>
      </c>
      <c r="E152" s="310"/>
      <c r="F152" s="295">
        <f t="shared" si="28"/>
        <v>0</v>
      </c>
      <c r="G152" s="287">
        <v>0</v>
      </c>
      <c r="H152" s="295">
        <f t="shared" si="24"/>
        <v>0</v>
      </c>
      <c r="I152" s="296">
        <v>5</v>
      </c>
      <c r="J152" s="296">
        <v>0.2</v>
      </c>
      <c r="K152" s="296">
        <v>0</v>
      </c>
      <c r="L152" s="287"/>
      <c r="M152" s="287">
        <f t="shared" si="25"/>
        <v>0</v>
      </c>
      <c r="N152" s="295">
        <f t="shared" si="35"/>
        <v>0</v>
      </c>
      <c r="O152" s="297" t="s">
        <v>841</v>
      </c>
      <c r="P152" s="297">
        <v>1</v>
      </c>
      <c r="Q152" s="344"/>
      <c r="R152" s="290">
        <f t="shared" si="27"/>
        <v>0</v>
      </c>
      <c r="S152" s="290">
        <f t="shared" si="30"/>
        <v>0</v>
      </c>
      <c r="T152" s="290">
        <f t="shared" si="31"/>
        <v>0</v>
      </c>
      <c r="U152" s="290"/>
      <c r="V152" s="291">
        <f t="shared" si="32"/>
        <v>0</v>
      </c>
      <c r="W152" s="10">
        <f t="shared" si="36"/>
        <v>0</v>
      </c>
      <c r="X152" s="10">
        <f t="shared" si="33"/>
        <v>0</v>
      </c>
    </row>
    <row r="153" spans="1:24" s="9" customFormat="1" ht="13.5" customHeight="1" x14ac:dyDescent="0.2">
      <c r="A153" s="64">
        <f t="shared" si="34"/>
        <v>149</v>
      </c>
      <c r="B153" s="77" t="s">
        <v>842</v>
      </c>
      <c r="C153" s="66" t="s">
        <v>843</v>
      </c>
      <c r="D153" s="175">
        <v>61100000</v>
      </c>
      <c r="E153" s="175"/>
      <c r="F153" s="67">
        <f t="shared" si="28"/>
        <v>61100000</v>
      </c>
      <c r="G153" s="110">
        <v>61099000</v>
      </c>
      <c r="H153" s="67">
        <f t="shared" si="24"/>
        <v>1000</v>
      </c>
      <c r="I153" s="68">
        <v>5</v>
      </c>
      <c r="J153" s="68">
        <v>0.2</v>
      </c>
      <c r="K153" s="68">
        <v>0</v>
      </c>
      <c r="L153" s="110"/>
      <c r="M153" s="110">
        <f t="shared" si="25"/>
        <v>61099000</v>
      </c>
      <c r="N153" s="67">
        <f t="shared" si="35"/>
        <v>1000</v>
      </c>
      <c r="O153" s="111" t="s">
        <v>844</v>
      </c>
      <c r="P153" s="111">
        <v>1</v>
      </c>
      <c r="Q153" s="332" t="s">
        <v>798</v>
      </c>
      <c r="R153" s="23">
        <f t="shared" si="27"/>
        <v>200</v>
      </c>
      <c r="S153" s="23">
        <f t="shared" si="30"/>
        <v>3055000</v>
      </c>
      <c r="T153" s="23">
        <f t="shared" si="31"/>
        <v>-3054000</v>
      </c>
      <c r="U153" s="23">
        <f t="shared" ref="U153:U165" si="37">N153-1000</f>
        <v>0</v>
      </c>
      <c r="V153" s="10">
        <f t="shared" si="32"/>
        <v>12220000</v>
      </c>
      <c r="W153" s="10">
        <f t="shared" si="36"/>
        <v>0</v>
      </c>
      <c r="X153" s="10">
        <f t="shared" si="33"/>
        <v>0</v>
      </c>
    </row>
    <row r="154" spans="1:24" s="9" customFormat="1" ht="13.5" customHeight="1" x14ac:dyDescent="0.2">
      <c r="A154" s="64">
        <f t="shared" si="34"/>
        <v>150</v>
      </c>
      <c r="B154" s="77" t="s">
        <v>202</v>
      </c>
      <c r="C154" s="66" t="s">
        <v>845</v>
      </c>
      <c r="D154" s="175">
        <v>22500000</v>
      </c>
      <c r="E154" s="175"/>
      <c r="F154" s="67">
        <f t="shared" si="28"/>
        <v>22500000</v>
      </c>
      <c r="G154" s="110">
        <v>22499000</v>
      </c>
      <c r="H154" s="67">
        <f t="shared" si="24"/>
        <v>1000</v>
      </c>
      <c r="I154" s="68">
        <v>5</v>
      </c>
      <c r="J154" s="68">
        <v>0.2</v>
      </c>
      <c r="K154" s="68">
        <v>0</v>
      </c>
      <c r="L154" s="110"/>
      <c r="M154" s="110">
        <f t="shared" si="25"/>
        <v>22499000</v>
      </c>
      <c r="N154" s="67">
        <f t="shared" si="35"/>
        <v>1000</v>
      </c>
      <c r="O154" s="111" t="s">
        <v>306</v>
      </c>
      <c r="P154" s="111">
        <v>1</v>
      </c>
      <c r="Q154" s="146"/>
      <c r="R154" s="23">
        <f t="shared" si="27"/>
        <v>200</v>
      </c>
      <c r="S154" s="23">
        <f t="shared" si="30"/>
        <v>1125000</v>
      </c>
      <c r="T154" s="23">
        <f t="shared" si="31"/>
        <v>-1124000</v>
      </c>
      <c r="U154" s="23">
        <f t="shared" si="37"/>
        <v>0</v>
      </c>
      <c r="V154" s="10">
        <f t="shared" si="32"/>
        <v>4500000</v>
      </c>
      <c r="W154" s="10">
        <f t="shared" si="36"/>
        <v>0</v>
      </c>
      <c r="X154" s="10">
        <f t="shared" si="33"/>
        <v>0</v>
      </c>
    </row>
    <row r="155" spans="1:24" s="9" customFormat="1" ht="13.5" customHeight="1" x14ac:dyDescent="0.2">
      <c r="A155" s="64">
        <f t="shared" si="34"/>
        <v>151</v>
      </c>
      <c r="B155" s="77" t="s">
        <v>846</v>
      </c>
      <c r="C155" s="66" t="s">
        <v>291</v>
      </c>
      <c r="D155" s="175">
        <v>11600000</v>
      </c>
      <c r="E155" s="175"/>
      <c r="F155" s="67">
        <f t="shared" si="28"/>
        <v>11600000</v>
      </c>
      <c r="G155" s="110">
        <v>11599000</v>
      </c>
      <c r="H155" s="67">
        <f t="shared" si="24"/>
        <v>1000</v>
      </c>
      <c r="I155" s="68">
        <v>5</v>
      </c>
      <c r="J155" s="68">
        <v>0.2</v>
      </c>
      <c r="K155" s="68">
        <v>0</v>
      </c>
      <c r="L155" s="110"/>
      <c r="M155" s="110">
        <f t="shared" si="25"/>
        <v>11599000</v>
      </c>
      <c r="N155" s="67">
        <f t="shared" si="35"/>
        <v>1000</v>
      </c>
      <c r="O155" s="111" t="s">
        <v>833</v>
      </c>
      <c r="P155" s="111">
        <v>1</v>
      </c>
      <c r="Q155" s="146"/>
      <c r="R155" s="23">
        <f t="shared" si="27"/>
        <v>200</v>
      </c>
      <c r="S155" s="23">
        <f t="shared" si="30"/>
        <v>580000</v>
      </c>
      <c r="T155" s="23">
        <f t="shared" si="31"/>
        <v>-579000</v>
      </c>
      <c r="U155" s="23">
        <f t="shared" si="37"/>
        <v>0</v>
      </c>
      <c r="V155" s="10">
        <f t="shared" si="32"/>
        <v>2320000</v>
      </c>
      <c r="W155" s="10">
        <f t="shared" si="36"/>
        <v>0</v>
      </c>
      <c r="X155" s="10">
        <f t="shared" si="33"/>
        <v>0</v>
      </c>
    </row>
    <row r="156" spans="1:24" s="9" customFormat="1" ht="13.5" customHeight="1" x14ac:dyDescent="0.2">
      <c r="A156" s="64">
        <f t="shared" si="34"/>
        <v>152</v>
      </c>
      <c r="B156" s="77" t="s">
        <v>847</v>
      </c>
      <c r="C156" s="66" t="s">
        <v>848</v>
      </c>
      <c r="D156" s="175">
        <v>55000000</v>
      </c>
      <c r="E156" s="175"/>
      <c r="F156" s="67">
        <f t="shared" si="28"/>
        <v>55000000</v>
      </c>
      <c r="G156" s="110">
        <v>54999000</v>
      </c>
      <c r="H156" s="67">
        <f t="shared" si="24"/>
        <v>1000</v>
      </c>
      <c r="I156" s="68">
        <v>5</v>
      </c>
      <c r="J156" s="68">
        <v>0.2</v>
      </c>
      <c r="K156" s="68">
        <v>0</v>
      </c>
      <c r="L156" s="110"/>
      <c r="M156" s="110">
        <f t="shared" si="25"/>
        <v>54999000</v>
      </c>
      <c r="N156" s="67">
        <f t="shared" si="35"/>
        <v>1000</v>
      </c>
      <c r="O156" s="111" t="s">
        <v>849</v>
      </c>
      <c r="P156" s="111">
        <v>1</v>
      </c>
      <c r="Q156" s="146"/>
      <c r="R156" s="23">
        <f t="shared" si="27"/>
        <v>200</v>
      </c>
      <c r="S156" s="23">
        <f t="shared" si="30"/>
        <v>2750000</v>
      </c>
      <c r="T156" s="23">
        <f t="shared" si="31"/>
        <v>-2749000</v>
      </c>
      <c r="U156" s="23">
        <f t="shared" si="37"/>
        <v>0</v>
      </c>
      <c r="V156" s="10">
        <f t="shared" si="32"/>
        <v>11000000</v>
      </c>
      <c r="W156" s="10">
        <f t="shared" si="36"/>
        <v>0</v>
      </c>
      <c r="X156" s="10">
        <f t="shared" si="33"/>
        <v>0</v>
      </c>
    </row>
    <row r="157" spans="1:24" s="9" customFormat="1" ht="13.5" customHeight="1" x14ac:dyDescent="0.2">
      <c r="A157" s="64">
        <f t="shared" si="34"/>
        <v>153</v>
      </c>
      <c r="B157" s="77" t="s">
        <v>850</v>
      </c>
      <c r="C157" s="66" t="s">
        <v>851</v>
      </c>
      <c r="D157" s="175">
        <v>38380000</v>
      </c>
      <c r="E157" s="175"/>
      <c r="F157" s="67">
        <f t="shared" si="28"/>
        <v>38380000</v>
      </c>
      <c r="G157" s="110">
        <v>38379000</v>
      </c>
      <c r="H157" s="67">
        <f t="shared" si="24"/>
        <v>1000</v>
      </c>
      <c r="I157" s="68">
        <v>5</v>
      </c>
      <c r="J157" s="68">
        <v>0.2</v>
      </c>
      <c r="K157" s="68">
        <v>0</v>
      </c>
      <c r="L157" s="110"/>
      <c r="M157" s="110">
        <f t="shared" si="25"/>
        <v>38379000</v>
      </c>
      <c r="N157" s="67">
        <f t="shared" si="35"/>
        <v>1000</v>
      </c>
      <c r="O157" s="111" t="s">
        <v>852</v>
      </c>
      <c r="P157" s="111">
        <v>1</v>
      </c>
      <c r="Q157" s="332" t="s">
        <v>853</v>
      </c>
      <c r="R157" s="23">
        <f t="shared" si="27"/>
        <v>200</v>
      </c>
      <c r="S157" s="23">
        <f t="shared" si="30"/>
        <v>1919000</v>
      </c>
      <c r="T157" s="23">
        <f t="shared" si="31"/>
        <v>-1918000</v>
      </c>
      <c r="U157" s="23">
        <f t="shared" si="37"/>
        <v>0</v>
      </c>
      <c r="V157" s="10">
        <f t="shared" si="32"/>
        <v>7676000</v>
      </c>
      <c r="W157" s="10">
        <f t="shared" si="36"/>
        <v>0</v>
      </c>
      <c r="X157" s="10">
        <f t="shared" si="33"/>
        <v>0</v>
      </c>
    </row>
    <row r="158" spans="1:24" s="9" customFormat="1" ht="13.5" customHeight="1" x14ac:dyDescent="0.2">
      <c r="A158" s="64">
        <f t="shared" si="34"/>
        <v>154</v>
      </c>
      <c r="B158" s="77" t="s">
        <v>854</v>
      </c>
      <c r="C158" s="66" t="s">
        <v>851</v>
      </c>
      <c r="D158" s="175">
        <v>42000000</v>
      </c>
      <c r="E158" s="175"/>
      <c r="F158" s="67">
        <f t="shared" si="28"/>
        <v>42000000</v>
      </c>
      <c r="G158" s="110">
        <v>41999000</v>
      </c>
      <c r="H158" s="67">
        <f t="shared" si="24"/>
        <v>1000</v>
      </c>
      <c r="I158" s="68">
        <v>5</v>
      </c>
      <c r="J158" s="68">
        <v>0.2</v>
      </c>
      <c r="K158" s="68">
        <v>0</v>
      </c>
      <c r="L158" s="110"/>
      <c r="M158" s="110">
        <f t="shared" si="25"/>
        <v>41999000</v>
      </c>
      <c r="N158" s="67">
        <f t="shared" si="35"/>
        <v>1000</v>
      </c>
      <c r="O158" s="111" t="s">
        <v>852</v>
      </c>
      <c r="P158" s="111">
        <v>1</v>
      </c>
      <c r="Q158" s="146"/>
      <c r="R158" s="23">
        <f t="shared" si="27"/>
        <v>200</v>
      </c>
      <c r="S158" s="23">
        <f t="shared" si="30"/>
        <v>2100000</v>
      </c>
      <c r="T158" s="23">
        <f t="shared" si="31"/>
        <v>-2099000</v>
      </c>
      <c r="U158" s="23">
        <f t="shared" si="37"/>
        <v>0</v>
      </c>
      <c r="V158" s="10">
        <f t="shared" si="32"/>
        <v>8400000</v>
      </c>
      <c r="W158" s="10">
        <f t="shared" si="36"/>
        <v>0</v>
      </c>
      <c r="X158" s="10">
        <f t="shared" si="33"/>
        <v>0</v>
      </c>
    </row>
    <row r="159" spans="1:24" s="9" customFormat="1" ht="13.5" customHeight="1" x14ac:dyDescent="0.2">
      <c r="A159" s="64">
        <f t="shared" si="34"/>
        <v>155</v>
      </c>
      <c r="B159" s="77" t="s">
        <v>855</v>
      </c>
      <c r="C159" s="66" t="s">
        <v>856</v>
      </c>
      <c r="D159" s="175">
        <v>2585000</v>
      </c>
      <c r="E159" s="175"/>
      <c r="F159" s="67">
        <f t="shared" si="28"/>
        <v>2585000</v>
      </c>
      <c r="G159" s="110">
        <v>2584000</v>
      </c>
      <c r="H159" s="67">
        <f t="shared" si="24"/>
        <v>1000</v>
      </c>
      <c r="I159" s="68">
        <v>5</v>
      </c>
      <c r="J159" s="68">
        <v>0.2</v>
      </c>
      <c r="K159" s="68">
        <v>0</v>
      </c>
      <c r="L159" s="110"/>
      <c r="M159" s="110">
        <f t="shared" si="25"/>
        <v>2584000</v>
      </c>
      <c r="N159" s="67">
        <f t="shared" si="35"/>
        <v>1000</v>
      </c>
      <c r="O159" s="111" t="s">
        <v>857</v>
      </c>
      <c r="P159" s="111">
        <v>1</v>
      </c>
      <c r="Q159" s="146"/>
      <c r="R159" s="23">
        <f t="shared" si="27"/>
        <v>200</v>
      </c>
      <c r="S159" s="23">
        <f t="shared" si="30"/>
        <v>129250</v>
      </c>
      <c r="T159" s="23">
        <f t="shared" si="31"/>
        <v>-128250</v>
      </c>
      <c r="U159" s="23">
        <f t="shared" si="37"/>
        <v>0</v>
      </c>
      <c r="V159" s="10">
        <f t="shared" si="32"/>
        <v>517000</v>
      </c>
      <c r="W159" s="10">
        <f t="shared" si="36"/>
        <v>0</v>
      </c>
      <c r="X159" s="10">
        <f t="shared" si="33"/>
        <v>0</v>
      </c>
    </row>
    <row r="160" spans="1:24" s="9" customFormat="1" ht="13.5" customHeight="1" x14ac:dyDescent="0.2">
      <c r="A160" s="64">
        <f t="shared" si="34"/>
        <v>156</v>
      </c>
      <c r="B160" s="77" t="s">
        <v>858</v>
      </c>
      <c r="C160" s="66" t="s">
        <v>859</v>
      </c>
      <c r="D160" s="175">
        <v>1340000</v>
      </c>
      <c r="E160" s="175"/>
      <c r="F160" s="67">
        <f t="shared" si="28"/>
        <v>1340000</v>
      </c>
      <c r="G160" s="110">
        <v>1339000</v>
      </c>
      <c r="H160" s="67">
        <f t="shared" si="24"/>
        <v>1000</v>
      </c>
      <c r="I160" s="68">
        <v>5</v>
      </c>
      <c r="J160" s="68">
        <v>0.2</v>
      </c>
      <c r="K160" s="68">
        <v>0</v>
      </c>
      <c r="L160" s="110"/>
      <c r="M160" s="110">
        <f t="shared" si="25"/>
        <v>1339000</v>
      </c>
      <c r="N160" s="67">
        <f t="shared" si="35"/>
        <v>1000</v>
      </c>
      <c r="O160" s="111" t="s">
        <v>786</v>
      </c>
      <c r="P160" s="111">
        <v>2</v>
      </c>
      <c r="Q160" s="146"/>
      <c r="R160" s="23">
        <f t="shared" si="27"/>
        <v>200</v>
      </c>
      <c r="S160" s="23">
        <f t="shared" si="30"/>
        <v>67000</v>
      </c>
      <c r="T160" s="23">
        <f t="shared" si="31"/>
        <v>-66000</v>
      </c>
      <c r="U160" s="23">
        <f t="shared" si="37"/>
        <v>0</v>
      </c>
      <c r="V160" s="10">
        <f t="shared" si="32"/>
        <v>268000</v>
      </c>
      <c r="W160" s="10">
        <f t="shared" si="36"/>
        <v>0</v>
      </c>
      <c r="X160" s="10">
        <f t="shared" si="33"/>
        <v>0</v>
      </c>
    </row>
    <row r="161" spans="1:25" s="9" customFormat="1" ht="13.5" customHeight="1" x14ac:dyDescent="0.2">
      <c r="A161" s="64">
        <f t="shared" si="34"/>
        <v>157</v>
      </c>
      <c r="B161" s="77" t="s">
        <v>860</v>
      </c>
      <c r="C161" s="66" t="s">
        <v>859</v>
      </c>
      <c r="D161" s="175">
        <v>7200000</v>
      </c>
      <c r="E161" s="175"/>
      <c r="F161" s="67">
        <f t="shared" si="28"/>
        <v>7200000</v>
      </c>
      <c r="G161" s="110">
        <v>7199000</v>
      </c>
      <c r="H161" s="67">
        <f t="shared" si="24"/>
        <v>1000</v>
      </c>
      <c r="I161" s="68">
        <v>5</v>
      </c>
      <c r="J161" s="68">
        <v>0.2</v>
      </c>
      <c r="K161" s="68">
        <v>0</v>
      </c>
      <c r="L161" s="110"/>
      <c r="M161" s="110">
        <f t="shared" si="25"/>
        <v>7199000</v>
      </c>
      <c r="N161" s="67">
        <f t="shared" si="35"/>
        <v>1000</v>
      </c>
      <c r="O161" s="111" t="s">
        <v>861</v>
      </c>
      <c r="P161" s="111">
        <v>2</v>
      </c>
      <c r="Q161" s="146"/>
      <c r="R161" s="23">
        <f t="shared" si="27"/>
        <v>200</v>
      </c>
      <c r="S161" s="23">
        <f t="shared" si="30"/>
        <v>360000</v>
      </c>
      <c r="T161" s="23">
        <f t="shared" si="31"/>
        <v>-359000</v>
      </c>
      <c r="U161" s="23">
        <f t="shared" si="37"/>
        <v>0</v>
      </c>
      <c r="V161" s="10">
        <f t="shared" si="32"/>
        <v>1440000</v>
      </c>
      <c r="W161" s="10">
        <f t="shared" si="36"/>
        <v>0</v>
      </c>
      <c r="X161" s="10">
        <f t="shared" si="33"/>
        <v>0</v>
      </c>
    </row>
    <row r="162" spans="1:25" s="9" customFormat="1" ht="13.5" customHeight="1" x14ac:dyDescent="0.2">
      <c r="A162" s="64">
        <f t="shared" si="34"/>
        <v>158</v>
      </c>
      <c r="B162" s="77" t="s">
        <v>862</v>
      </c>
      <c r="C162" s="66" t="s">
        <v>863</v>
      </c>
      <c r="D162" s="175">
        <v>2700000</v>
      </c>
      <c r="E162" s="175"/>
      <c r="F162" s="67">
        <f t="shared" si="28"/>
        <v>2700000</v>
      </c>
      <c r="G162" s="110">
        <v>2699000</v>
      </c>
      <c r="H162" s="67">
        <f t="shared" si="24"/>
        <v>1000</v>
      </c>
      <c r="I162" s="68">
        <v>5</v>
      </c>
      <c r="J162" s="68">
        <v>0.2</v>
      </c>
      <c r="K162" s="68">
        <v>0</v>
      </c>
      <c r="L162" s="110"/>
      <c r="M162" s="110">
        <f t="shared" si="25"/>
        <v>2699000</v>
      </c>
      <c r="N162" s="67">
        <f t="shared" si="35"/>
        <v>1000</v>
      </c>
      <c r="O162" s="111" t="s">
        <v>864</v>
      </c>
      <c r="P162" s="111">
        <v>1</v>
      </c>
      <c r="Q162" s="146"/>
      <c r="R162" s="23">
        <f t="shared" si="27"/>
        <v>200</v>
      </c>
      <c r="S162" s="23">
        <f t="shared" si="30"/>
        <v>135000</v>
      </c>
      <c r="T162" s="23">
        <f t="shared" si="31"/>
        <v>-134000</v>
      </c>
      <c r="U162" s="23">
        <f t="shared" si="37"/>
        <v>0</v>
      </c>
      <c r="V162" s="10">
        <f t="shared" si="32"/>
        <v>540000</v>
      </c>
      <c r="W162" s="10">
        <f t="shared" si="36"/>
        <v>0</v>
      </c>
      <c r="X162" s="10">
        <f t="shared" si="33"/>
        <v>0</v>
      </c>
    </row>
    <row r="163" spans="1:25" s="9" customFormat="1" ht="13.5" customHeight="1" x14ac:dyDescent="0.2">
      <c r="A163" s="64">
        <f t="shared" si="34"/>
        <v>159</v>
      </c>
      <c r="B163" s="77" t="s">
        <v>865</v>
      </c>
      <c r="C163" s="66" t="s">
        <v>866</v>
      </c>
      <c r="D163" s="175">
        <v>141000000</v>
      </c>
      <c r="E163" s="175"/>
      <c r="F163" s="67">
        <f t="shared" si="28"/>
        <v>141000000</v>
      </c>
      <c r="G163" s="110">
        <v>140999000</v>
      </c>
      <c r="H163" s="67">
        <f t="shared" si="24"/>
        <v>1000</v>
      </c>
      <c r="I163" s="68">
        <v>5</v>
      </c>
      <c r="J163" s="68">
        <v>0.2</v>
      </c>
      <c r="K163" s="68">
        <v>0</v>
      </c>
      <c r="L163" s="110"/>
      <c r="M163" s="110">
        <f t="shared" si="25"/>
        <v>140999000</v>
      </c>
      <c r="N163" s="67">
        <f t="shared" si="35"/>
        <v>1000</v>
      </c>
      <c r="O163" s="111" t="s">
        <v>867</v>
      </c>
      <c r="P163" s="111">
        <v>1</v>
      </c>
      <c r="Q163" s="146"/>
      <c r="R163" s="23">
        <f t="shared" si="27"/>
        <v>200</v>
      </c>
      <c r="S163" s="23">
        <f t="shared" si="30"/>
        <v>7050000</v>
      </c>
      <c r="T163" s="23">
        <f t="shared" si="31"/>
        <v>-7049000</v>
      </c>
      <c r="U163" s="23">
        <f t="shared" si="37"/>
        <v>0</v>
      </c>
      <c r="V163" s="10">
        <f t="shared" si="32"/>
        <v>28200000</v>
      </c>
      <c r="W163" s="10">
        <f t="shared" si="36"/>
        <v>0</v>
      </c>
      <c r="X163" s="10">
        <f t="shared" si="33"/>
        <v>0</v>
      </c>
    </row>
    <row r="164" spans="1:25" s="9" customFormat="1" ht="13.5" customHeight="1" x14ac:dyDescent="0.2">
      <c r="A164" s="64">
        <f t="shared" si="34"/>
        <v>160</v>
      </c>
      <c r="B164" s="77" t="s">
        <v>868</v>
      </c>
      <c r="C164" s="66" t="s">
        <v>869</v>
      </c>
      <c r="D164" s="175">
        <v>1390000</v>
      </c>
      <c r="E164" s="175"/>
      <c r="F164" s="67">
        <f t="shared" si="28"/>
        <v>1390000</v>
      </c>
      <c r="G164" s="110">
        <v>1389000</v>
      </c>
      <c r="H164" s="67">
        <f t="shared" si="24"/>
        <v>1000</v>
      </c>
      <c r="I164" s="68">
        <v>5</v>
      </c>
      <c r="J164" s="68">
        <v>0.2</v>
      </c>
      <c r="K164" s="68">
        <v>0</v>
      </c>
      <c r="L164" s="110"/>
      <c r="M164" s="110">
        <f t="shared" si="25"/>
        <v>1389000</v>
      </c>
      <c r="N164" s="67">
        <f t="shared" si="35"/>
        <v>1000</v>
      </c>
      <c r="O164" s="111" t="s">
        <v>761</v>
      </c>
      <c r="P164" s="111">
        <v>1</v>
      </c>
      <c r="Q164" s="332" t="s">
        <v>870</v>
      </c>
      <c r="R164" s="23"/>
      <c r="S164" s="23">
        <f t="shared" si="30"/>
        <v>69500</v>
      </c>
      <c r="T164" s="23">
        <f t="shared" si="31"/>
        <v>-68500</v>
      </c>
      <c r="U164" s="23">
        <f t="shared" si="37"/>
        <v>0</v>
      </c>
      <c r="V164" s="10">
        <f t="shared" si="32"/>
        <v>278000</v>
      </c>
      <c r="W164" s="10">
        <f t="shared" si="36"/>
        <v>0</v>
      </c>
      <c r="X164" s="10">
        <f t="shared" si="33"/>
        <v>0</v>
      </c>
    </row>
    <row r="165" spans="1:25" s="9" customFormat="1" ht="13.5" customHeight="1" x14ac:dyDescent="0.2">
      <c r="A165" s="64">
        <f t="shared" si="34"/>
        <v>161</v>
      </c>
      <c r="B165" s="77" t="s">
        <v>871</v>
      </c>
      <c r="C165" s="66" t="s">
        <v>872</v>
      </c>
      <c r="D165" s="175">
        <v>19367157</v>
      </c>
      <c r="E165" s="175"/>
      <c r="F165" s="67">
        <f t="shared" si="28"/>
        <v>19367157</v>
      </c>
      <c r="G165" s="110">
        <v>19366157</v>
      </c>
      <c r="H165" s="67">
        <f t="shared" si="24"/>
        <v>1000</v>
      </c>
      <c r="I165" s="68">
        <v>5</v>
      </c>
      <c r="J165" s="68">
        <v>0.2</v>
      </c>
      <c r="K165" s="68">
        <v>0</v>
      </c>
      <c r="L165" s="110">
        <f>ROUND(IF(F165*J165*K165/12&gt;=H165,H165-1000,F165*J165*K165/12),0)</f>
        <v>0</v>
      </c>
      <c r="M165" s="110">
        <f t="shared" si="25"/>
        <v>19366157</v>
      </c>
      <c r="N165" s="67">
        <f t="shared" si="35"/>
        <v>1000</v>
      </c>
      <c r="O165" s="111" t="s">
        <v>873</v>
      </c>
      <c r="P165" s="111">
        <v>1</v>
      </c>
      <c r="Q165" s="146"/>
      <c r="R165" s="23"/>
      <c r="S165" s="23">
        <f t="shared" si="30"/>
        <v>968357.85000000009</v>
      </c>
      <c r="T165" s="23">
        <f>N165-S165</f>
        <v>-967357.85000000009</v>
      </c>
      <c r="U165" s="23">
        <f t="shared" si="37"/>
        <v>0</v>
      </c>
      <c r="V165" s="10">
        <f t="shared" si="32"/>
        <v>3873431.4</v>
      </c>
      <c r="W165" s="10">
        <f t="shared" si="36"/>
        <v>0</v>
      </c>
      <c r="X165" s="10">
        <f t="shared" si="33"/>
        <v>0</v>
      </c>
    </row>
    <row r="166" spans="1:25" s="356" customFormat="1" ht="13.5" customHeight="1" x14ac:dyDescent="0.2">
      <c r="A166" s="345">
        <f t="shared" si="34"/>
        <v>162</v>
      </c>
      <c r="B166" s="346" t="s">
        <v>874</v>
      </c>
      <c r="C166" s="347" t="s">
        <v>875</v>
      </c>
      <c r="D166" s="348">
        <v>9330233</v>
      </c>
      <c r="E166" s="348"/>
      <c r="F166" s="349">
        <f>D166+E166</f>
        <v>9330233</v>
      </c>
      <c r="G166" s="350">
        <v>9329233</v>
      </c>
      <c r="H166" s="350">
        <f t="shared" si="24"/>
        <v>1000</v>
      </c>
      <c r="I166" s="351">
        <v>5</v>
      </c>
      <c r="J166" s="351">
        <v>0.2</v>
      </c>
      <c r="K166" s="351">
        <v>0</v>
      </c>
      <c r="L166" s="350">
        <v>0</v>
      </c>
      <c r="M166" s="350">
        <f t="shared" si="25"/>
        <v>9329233</v>
      </c>
      <c r="N166" s="349">
        <v>1000</v>
      </c>
      <c r="O166" s="352" t="s">
        <v>354</v>
      </c>
      <c r="P166" s="352"/>
      <c r="Q166" s="353" t="s">
        <v>876</v>
      </c>
      <c r="R166" s="354"/>
      <c r="S166" s="354"/>
      <c r="T166" s="354"/>
      <c r="U166" s="354"/>
      <c r="V166" s="355"/>
      <c r="W166" s="10">
        <f t="shared" si="36"/>
        <v>0</v>
      </c>
      <c r="X166" s="355">
        <f t="shared" si="33"/>
        <v>0</v>
      </c>
    </row>
    <row r="167" spans="1:25" s="9" customFormat="1" ht="13.5" customHeight="1" x14ac:dyDescent="0.2">
      <c r="A167" s="64">
        <f t="shared" si="34"/>
        <v>163</v>
      </c>
      <c r="B167" s="77" t="s">
        <v>877</v>
      </c>
      <c r="C167" s="66" t="s">
        <v>878</v>
      </c>
      <c r="D167" s="175">
        <v>4600000</v>
      </c>
      <c r="E167" s="175"/>
      <c r="F167" s="67">
        <f t="shared" ref="F167:F208" si="38">+D167+E167</f>
        <v>4600000</v>
      </c>
      <c r="G167" s="110">
        <v>4599000</v>
      </c>
      <c r="H167" s="67">
        <f t="shared" si="24"/>
        <v>1000</v>
      </c>
      <c r="I167" s="68">
        <v>5</v>
      </c>
      <c r="J167" s="68">
        <v>0.2</v>
      </c>
      <c r="K167" s="68">
        <v>0</v>
      </c>
      <c r="L167" s="110">
        <f t="shared" ref="L167:L177" si="39">ROUND(IF(F167*J167*K167/12&gt;=H167,H167-1000,F167*J167*K167/12),0)</f>
        <v>0</v>
      </c>
      <c r="M167" s="110">
        <f t="shared" si="25"/>
        <v>4599000</v>
      </c>
      <c r="N167" s="67">
        <f t="shared" ref="N167:N196" si="40">+F167-M167</f>
        <v>1000</v>
      </c>
      <c r="O167" s="111" t="s">
        <v>221</v>
      </c>
      <c r="P167" s="111">
        <v>1</v>
      </c>
      <c r="Q167" s="146"/>
      <c r="R167" s="23"/>
      <c r="S167" s="23">
        <f t="shared" ref="S167:S229" si="41">D167*0.05</f>
        <v>230000</v>
      </c>
      <c r="T167" s="23">
        <f t="shared" ref="T167:T230" si="42">N167-S167</f>
        <v>-229000</v>
      </c>
      <c r="U167" s="23">
        <f t="shared" ref="U167:U177" si="43">N167-1000</f>
        <v>0</v>
      </c>
      <c r="V167" s="10">
        <f t="shared" ref="V167:V230" si="44">F167/I167</f>
        <v>920000</v>
      </c>
      <c r="W167" s="10">
        <f t="shared" si="36"/>
        <v>0</v>
      </c>
      <c r="X167" s="10">
        <f t="shared" si="33"/>
        <v>0</v>
      </c>
    </row>
    <row r="168" spans="1:25" s="9" customFormat="1" ht="13.5" customHeight="1" x14ac:dyDescent="0.2">
      <c r="A168" s="64">
        <f t="shared" si="34"/>
        <v>164</v>
      </c>
      <c r="B168" s="77" t="s">
        <v>865</v>
      </c>
      <c r="C168" s="66" t="s">
        <v>879</v>
      </c>
      <c r="D168" s="175">
        <v>100000000</v>
      </c>
      <c r="E168" s="175"/>
      <c r="F168" s="67">
        <f t="shared" si="38"/>
        <v>100000000</v>
      </c>
      <c r="G168" s="110">
        <v>99999000</v>
      </c>
      <c r="H168" s="67">
        <f t="shared" si="24"/>
        <v>1000</v>
      </c>
      <c r="I168" s="68">
        <v>5</v>
      </c>
      <c r="J168" s="68">
        <v>0.2</v>
      </c>
      <c r="K168" s="68">
        <v>0</v>
      </c>
      <c r="L168" s="110">
        <f t="shared" si="39"/>
        <v>0</v>
      </c>
      <c r="M168" s="110">
        <f t="shared" si="25"/>
        <v>99999000</v>
      </c>
      <c r="N168" s="67">
        <f t="shared" si="40"/>
        <v>1000</v>
      </c>
      <c r="O168" s="111" t="s">
        <v>867</v>
      </c>
      <c r="P168" s="111">
        <v>1</v>
      </c>
      <c r="Q168" s="146" t="s">
        <v>880</v>
      </c>
      <c r="R168" s="23"/>
      <c r="S168" s="23">
        <f t="shared" si="41"/>
        <v>5000000</v>
      </c>
      <c r="T168" s="23">
        <f t="shared" si="42"/>
        <v>-4999000</v>
      </c>
      <c r="U168" s="23">
        <f t="shared" si="43"/>
        <v>0</v>
      </c>
      <c r="V168" s="10">
        <f t="shared" si="44"/>
        <v>20000000</v>
      </c>
      <c r="W168" s="10">
        <f t="shared" si="36"/>
        <v>0</v>
      </c>
      <c r="X168" s="10">
        <f t="shared" si="33"/>
        <v>0</v>
      </c>
    </row>
    <row r="169" spans="1:25" s="9" customFormat="1" ht="13.5" customHeight="1" x14ac:dyDescent="0.2">
      <c r="A169" s="64">
        <f t="shared" si="34"/>
        <v>165</v>
      </c>
      <c r="B169" s="77" t="s">
        <v>881</v>
      </c>
      <c r="C169" s="66" t="s">
        <v>882</v>
      </c>
      <c r="D169" s="175">
        <v>1660000</v>
      </c>
      <c r="E169" s="175"/>
      <c r="F169" s="67">
        <f t="shared" si="38"/>
        <v>1660000</v>
      </c>
      <c r="G169" s="110">
        <v>1659000</v>
      </c>
      <c r="H169" s="67">
        <f t="shared" si="24"/>
        <v>1000</v>
      </c>
      <c r="I169" s="68">
        <v>5</v>
      </c>
      <c r="J169" s="68">
        <v>0.2</v>
      </c>
      <c r="K169" s="68">
        <v>0</v>
      </c>
      <c r="L169" s="110">
        <f t="shared" si="39"/>
        <v>0</v>
      </c>
      <c r="M169" s="110">
        <f t="shared" si="25"/>
        <v>1659000</v>
      </c>
      <c r="N169" s="67">
        <f t="shared" si="40"/>
        <v>1000</v>
      </c>
      <c r="O169" s="111" t="s">
        <v>221</v>
      </c>
      <c r="P169" s="111">
        <v>1</v>
      </c>
      <c r="Q169" s="146"/>
      <c r="R169" s="23"/>
      <c r="S169" s="23">
        <f t="shared" si="41"/>
        <v>83000</v>
      </c>
      <c r="T169" s="23">
        <f t="shared" si="42"/>
        <v>-82000</v>
      </c>
      <c r="U169" s="23">
        <f t="shared" si="43"/>
        <v>0</v>
      </c>
      <c r="V169" s="10">
        <f t="shared" si="44"/>
        <v>332000</v>
      </c>
      <c r="W169" s="10">
        <f t="shared" si="36"/>
        <v>0</v>
      </c>
      <c r="X169" s="10">
        <f t="shared" si="33"/>
        <v>0</v>
      </c>
    </row>
    <row r="170" spans="1:25" s="190" customFormat="1" ht="13.5" customHeight="1" x14ac:dyDescent="0.2">
      <c r="A170" s="272">
        <f t="shared" si="34"/>
        <v>166</v>
      </c>
      <c r="B170" s="357" t="s">
        <v>881</v>
      </c>
      <c r="C170" s="358" t="s">
        <v>883</v>
      </c>
      <c r="D170" s="359">
        <v>1660000</v>
      </c>
      <c r="E170" s="359"/>
      <c r="F170" s="184">
        <f t="shared" si="38"/>
        <v>1660000</v>
      </c>
      <c r="G170" s="185">
        <v>1659000</v>
      </c>
      <c r="H170" s="184">
        <f t="shared" si="24"/>
        <v>1000</v>
      </c>
      <c r="I170" s="186">
        <v>5</v>
      </c>
      <c r="J170" s="186">
        <v>0.2</v>
      </c>
      <c r="K170" s="68">
        <v>0</v>
      </c>
      <c r="L170" s="185">
        <f t="shared" si="39"/>
        <v>0</v>
      </c>
      <c r="M170" s="185">
        <f t="shared" si="25"/>
        <v>1659000</v>
      </c>
      <c r="N170" s="184">
        <f t="shared" si="40"/>
        <v>1000</v>
      </c>
      <c r="O170" s="187" t="s">
        <v>221</v>
      </c>
      <c r="P170" s="187">
        <v>1</v>
      </c>
      <c r="Q170" s="360"/>
      <c r="R170" s="189"/>
      <c r="S170" s="23">
        <f t="shared" si="41"/>
        <v>83000</v>
      </c>
      <c r="T170" s="23">
        <f t="shared" si="42"/>
        <v>-82000</v>
      </c>
      <c r="U170" s="23">
        <f t="shared" si="43"/>
        <v>0</v>
      </c>
      <c r="V170" s="10">
        <f t="shared" si="44"/>
        <v>332000</v>
      </c>
      <c r="W170" s="10">
        <f t="shared" si="36"/>
        <v>0</v>
      </c>
      <c r="X170" s="10">
        <f t="shared" si="33"/>
        <v>0</v>
      </c>
      <c r="Y170" s="9"/>
    </row>
    <row r="171" spans="1:25" s="9" customFormat="1" ht="13.5" customHeight="1" x14ac:dyDescent="0.2">
      <c r="A171" s="64">
        <f t="shared" si="34"/>
        <v>167</v>
      </c>
      <c r="B171" s="77" t="s">
        <v>884</v>
      </c>
      <c r="C171" s="66" t="s">
        <v>885</v>
      </c>
      <c r="D171" s="175">
        <v>10000000</v>
      </c>
      <c r="E171" s="175"/>
      <c r="F171" s="67">
        <f t="shared" si="38"/>
        <v>10000000</v>
      </c>
      <c r="G171" s="110">
        <v>9999000</v>
      </c>
      <c r="H171" s="67">
        <f t="shared" si="24"/>
        <v>1000</v>
      </c>
      <c r="I171" s="68">
        <v>5</v>
      </c>
      <c r="J171" s="68">
        <v>0.2</v>
      </c>
      <c r="K171" s="68">
        <v>0</v>
      </c>
      <c r="L171" s="110">
        <f t="shared" si="39"/>
        <v>0</v>
      </c>
      <c r="M171" s="110">
        <f t="shared" si="25"/>
        <v>9999000</v>
      </c>
      <c r="N171" s="67">
        <f t="shared" si="40"/>
        <v>1000</v>
      </c>
      <c r="O171" s="111" t="s">
        <v>886</v>
      </c>
      <c r="P171" s="111">
        <v>1</v>
      </c>
      <c r="Q171" s="146"/>
      <c r="R171" s="23"/>
      <c r="S171" s="23">
        <f t="shared" si="41"/>
        <v>500000</v>
      </c>
      <c r="T171" s="23">
        <f t="shared" si="42"/>
        <v>-499000</v>
      </c>
      <c r="U171" s="23">
        <f t="shared" si="43"/>
        <v>0</v>
      </c>
      <c r="V171" s="10">
        <f t="shared" si="44"/>
        <v>2000000</v>
      </c>
      <c r="W171" s="10">
        <f t="shared" si="36"/>
        <v>0</v>
      </c>
      <c r="X171" s="10">
        <f t="shared" si="33"/>
        <v>0</v>
      </c>
    </row>
    <row r="172" spans="1:25" s="9" customFormat="1" ht="13.5" customHeight="1" x14ac:dyDescent="0.2">
      <c r="A172" s="64">
        <f t="shared" si="34"/>
        <v>168</v>
      </c>
      <c r="B172" s="77" t="s">
        <v>243</v>
      </c>
      <c r="C172" s="66" t="s">
        <v>887</v>
      </c>
      <c r="D172" s="175">
        <v>60000000</v>
      </c>
      <c r="E172" s="175"/>
      <c r="F172" s="67">
        <f t="shared" si="38"/>
        <v>60000000</v>
      </c>
      <c r="G172" s="110">
        <v>59999000</v>
      </c>
      <c r="H172" s="67">
        <f t="shared" si="24"/>
        <v>1000</v>
      </c>
      <c r="I172" s="68">
        <v>5</v>
      </c>
      <c r="J172" s="68">
        <v>0.2</v>
      </c>
      <c r="K172" s="68">
        <v>0</v>
      </c>
      <c r="L172" s="110">
        <f t="shared" si="39"/>
        <v>0</v>
      </c>
      <c r="M172" s="110">
        <f t="shared" si="25"/>
        <v>59999000</v>
      </c>
      <c r="N172" s="67">
        <f t="shared" si="40"/>
        <v>1000</v>
      </c>
      <c r="O172" s="111" t="s">
        <v>206</v>
      </c>
      <c r="P172" s="111">
        <v>1</v>
      </c>
      <c r="Q172" s="146"/>
      <c r="R172" s="23"/>
      <c r="S172" s="23">
        <f t="shared" si="41"/>
        <v>3000000</v>
      </c>
      <c r="T172" s="23">
        <f t="shared" si="42"/>
        <v>-2999000</v>
      </c>
      <c r="U172" s="23">
        <f t="shared" si="43"/>
        <v>0</v>
      </c>
      <c r="V172" s="10">
        <f t="shared" si="44"/>
        <v>12000000</v>
      </c>
      <c r="W172" s="10">
        <f t="shared" si="36"/>
        <v>0</v>
      </c>
      <c r="X172" s="10">
        <f t="shared" si="33"/>
        <v>0</v>
      </c>
    </row>
    <row r="173" spans="1:25" s="9" customFormat="1" ht="13.5" customHeight="1" x14ac:dyDescent="0.2">
      <c r="A173" s="64">
        <f t="shared" si="34"/>
        <v>169</v>
      </c>
      <c r="B173" s="77" t="s">
        <v>741</v>
      </c>
      <c r="C173" s="66" t="s">
        <v>887</v>
      </c>
      <c r="D173" s="175">
        <v>4600000</v>
      </c>
      <c r="E173" s="175"/>
      <c r="F173" s="67">
        <f t="shared" si="38"/>
        <v>4600000</v>
      </c>
      <c r="G173" s="110">
        <v>4599000</v>
      </c>
      <c r="H173" s="67">
        <f t="shared" si="24"/>
        <v>1000</v>
      </c>
      <c r="I173" s="68">
        <v>5</v>
      </c>
      <c r="J173" s="68">
        <v>0.2</v>
      </c>
      <c r="K173" s="68">
        <v>0</v>
      </c>
      <c r="L173" s="110">
        <f t="shared" si="39"/>
        <v>0</v>
      </c>
      <c r="M173" s="110">
        <f t="shared" si="25"/>
        <v>4599000</v>
      </c>
      <c r="N173" s="67">
        <f t="shared" si="40"/>
        <v>1000</v>
      </c>
      <c r="O173" s="111" t="s">
        <v>206</v>
      </c>
      <c r="P173" s="111">
        <v>1</v>
      </c>
      <c r="Q173" s="146"/>
      <c r="R173" s="23"/>
      <c r="S173" s="23">
        <f t="shared" si="41"/>
        <v>230000</v>
      </c>
      <c r="T173" s="23">
        <f t="shared" si="42"/>
        <v>-229000</v>
      </c>
      <c r="U173" s="23">
        <f t="shared" si="43"/>
        <v>0</v>
      </c>
      <c r="V173" s="10">
        <f t="shared" si="44"/>
        <v>920000</v>
      </c>
      <c r="W173" s="10">
        <f t="shared" si="36"/>
        <v>0</v>
      </c>
      <c r="X173" s="10">
        <f t="shared" si="33"/>
        <v>0</v>
      </c>
    </row>
    <row r="174" spans="1:25" s="9" customFormat="1" ht="13.5" customHeight="1" x14ac:dyDescent="0.2">
      <c r="A174" s="64">
        <f t="shared" si="34"/>
        <v>170</v>
      </c>
      <c r="B174" s="77" t="s">
        <v>888</v>
      </c>
      <c r="C174" s="66" t="s">
        <v>889</v>
      </c>
      <c r="D174" s="175">
        <v>5500000</v>
      </c>
      <c r="E174" s="175"/>
      <c r="F174" s="67">
        <f t="shared" si="38"/>
        <v>5500000</v>
      </c>
      <c r="G174" s="110">
        <v>5499000</v>
      </c>
      <c r="H174" s="67">
        <f t="shared" si="24"/>
        <v>1000</v>
      </c>
      <c r="I174" s="68">
        <v>5</v>
      </c>
      <c r="J174" s="68">
        <v>0.2</v>
      </c>
      <c r="K174" s="68">
        <v>0</v>
      </c>
      <c r="L174" s="110">
        <f t="shared" si="39"/>
        <v>0</v>
      </c>
      <c r="M174" s="110">
        <f t="shared" si="25"/>
        <v>5499000</v>
      </c>
      <c r="N174" s="67">
        <f t="shared" si="40"/>
        <v>1000</v>
      </c>
      <c r="O174" s="111" t="s">
        <v>769</v>
      </c>
      <c r="P174" s="111">
        <v>1</v>
      </c>
      <c r="Q174" s="146"/>
      <c r="R174" s="23"/>
      <c r="S174" s="23">
        <f t="shared" si="41"/>
        <v>275000</v>
      </c>
      <c r="T174" s="23">
        <f t="shared" si="42"/>
        <v>-274000</v>
      </c>
      <c r="U174" s="23">
        <f t="shared" si="43"/>
        <v>0</v>
      </c>
      <c r="V174" s="10">
        <f t="shared" si="44"/>
        <v>1100000</v>
      </c>
      <c r="W174" s="10">
        <f t="shared" si="36"/>
        <v>0</v>
      </c>
      <c r="X174" s="10">
        <f t="shared" si="33"/>
        <v>0</v>
      </c>
    </row>
    <row r="175" spans="1:25" s="9" customFormat="1" ht="13.5" customHeight="1" x14ac:dyDescent="0.2">
      <c r="A175" s="64">
        <f t="shared" si="34"/>
        <v>171</v>
      </c>
      <c r="B175" s="77" t="s">
        <v>890</v>
      </c>
      <c r="C175" s="66" t="s">
        <v>891</v>
      </c>
      <c r="D175" s="175">
        <v>75623260</v>
      </c>
      <c r="E175" s="175"/>
      <c r="F175" s="67">
        <f t="shared" si="38"/>
        <v>75623260</v>
      </c>
      <c r="G175" s="110">
        <v>75622260</v>
      </c>
      <c r="H175" s="67">
        <f t="shared" si="24"/>
        <v>1000</v>
      </c>
      <c r="I175" s="68">
        <v>5</v>
      </c>
      <c r="J175" s="68">
        <v>0.2</v>
      </c>
      <c r="K175" s="68">
        <v>0</v>
      </c>
      <c r="L175" s="110">
        <f t="shared" si="39"/>
        <v>0</v>
      </c>
      <c r="M175" s="110">
        <f t="shared" si="25"/>
        <v>75622260</v>
      </c>
      <c r="N175" s="67">
        <f t="shared" si="40"/>
        <v>1000</v>
      </c>
      <c r="O175" s="111" t="s">
        <v>892</v>
      </c>
      <c r="P175" s="111">
        <v>2</v>
      </c>
      <c r="Q175" s="146" t="s">
        <v>880</v>
      </c>
      <c r="R175" s="23"/>
      <c r="S175" s="23">
        <f t="shared" si="41"/>
        <v>3781163</v>
      </c>
      <c r="T175" s="23">
        <f t="shared" si="42"/>
        <v>-3780163</v>
      </c>
      <c r="U175" s="23">
        <f t="shared" si="43"/>
        <v>0</v>
      </c>
      <c r="V175" s="10">
        <f t="shared" si="44"/>
        <v>15124652</v>
      </c>
      <c r="W175" s="10">
        <f t="shared" si="36"/>
        <v>0</v>
      </c>
      <c r="X175" s="10">
        <f t="shared" si="33"/>
        <v>0</v>
      </c>
    </row>
    <row r="176" spans="1:25" s="9" customFormat="1" ht="13.5" customHeight="1" x14ac:dyDescent="0.2">
      <c r="A176" s="64">
        <f t="shared" si="34"/>
        <v>172</v>
      </c>
      <c r="B176" s="77" t="s">
        <v>799</v>
      </c>
      <c r="C176" s="66" t="s">
        <v>314</v>
      </c>
      <c r="D176" s="175">
        <v>197000000</v>
      </c>
      <c r="E176" s="175"/>
      <c r="F176" s="67">
        <f t="shared" si="38"/>
        <v>197000000</v>
      </c>
      <c r="G176" s="110">
        <v>196999000</v>
      </c>
      <c r="H176" s="67">
        <f t="shared" si="24"/>
        <v>1000</v>
      </c>
      <c r="I176" s="68">
        <v>5</v>
      </c>
      <c r="J176" s="68">
        <v>0.2</v>
      </c>
      <c r="K176" s="68">
        <v>0</v>
      </c>
      <c r="L176" s="110">
        <f t="shared" si="39"/>
        <v>0</v>
      </c>
      <c r="M176" s="110">
        <f t="shared" si="25"/>
        <v>196999000</v>
      </c>
      <c r="N176" s="67">
        <f t="shared" si="40"/>
        <v>1000</v>
      </c>
      <c r="O176" s="111" t="s">
        <v>800</v>
      </c>
      <c r="P176" s="111">
        <v>1</v>
      </c>
      <c r="Q176" s="146" t="s">
        <v>880</v>
      </c>
      <c r="R176" s="23" t="s">
        <v>893</v>
      </c>
      <c r="S176" s="23">
        <f t="shared" si="41"/>
        <v>9850000</v>
      </c>
      <c r="T176" s="23">
        <f t="shared" si="42"/>
        <v>-9849000</v>
      </c>
      <c r="U176" s="23">
        <f t="shared" si="43"/>
        <v>0</v>
      </c>
      <c r="V176" s="10">
        <f t="shared" si="44"/>
        <v>39400000</v>
      </c>
      <c r="W176" s="10">
        <f t="shared" si="36"/>
        <v>0</v>
      </c>
      <c r="X176" s="10">
        <f t="shared" si="33"/>
        <v>0</v>
      </c>
    </row>
    <row r="177" spans="1:25" s="9" customFormat="1" ht="13.5" customHeight="1" x14ac:dyDescent="0.2">
      <c r="A177" s="64">
        <f t="shared" si="34"/>
        <v>173</v>
      </c>
      <c r="B177" s="77" t="s">
        <v>894</v>
      </c>
      <c r="C177" s="66" t="s">
        <v>314</v>
      </c>
      <c r="D177" s="175">
        <v>10800000</v>
      </c>
      <c r="E177" s="175"/>
      <c r="F177" s="67">
        <f t="shared" si="38"/>
        <v>10800000</v>
      </c>
      <c r="G177" s="110">
        <v>10799000</v>
      </c>
      <c r="H177" s="67">
        <f>+F177-G177</f>
        <v>1000</v>
      </c>
      <c r="I177" s="68">
        <v>5</v>
      </c>
      <c r="J177" s="68">
        <v>0.2</v>
      </c>
      <c r="K177" s="68">
        <v>0</v>
      </c>
      <c r="L177" s="110">
        <f t="shared" si="39"/>
        <v>0</v>
      </c>
      <c r="M177" s="110">
        <f t="shared" ref="M177:M196" si="45">+G177+L177</f>
        <v>10799000</v>
      </c>
      <c r="N177" s="67">
        <f t="shared" si="40"/>
        <v>1000</v>
      </c>
      <c r="O177" s="111" t="s">
        <v>895</v>
      </c>
      <c r="P177" s="111">
        <v>1</v>
      </c>
      <c r="Q177" s="146"/>
      <c r="R177" s="23"/>
      <c r="S177" s="23">
        <f t="shared" si="41"/>
        <v>540000</v>
      </c>
      <c r="T177" s="23">
        <f t="shared" si="42"/>
        <v>-539000</v>
      </c>
      <c r="U177" s="23">
        <f t="shared" si="43"/>
        <v>0</v>
      </c>
      <c r="V177" s="10">
        <f t="shared" si="44"/>
        <v>2160000</v>
      </c>
      <c r="W177" s="10">
        <f t="shared" si="36"/>
        <v>0</v>
      </c>
      <c r="X177" s="10">
        <f t="shared" si="33"/>
        <v>0</v>
      </c>
    </row>
    <row r="178" spans="1:25" s="9" customFormat="1" ht="13.5" customHeight="1" x14ac:dyDescent="0.2">
      <c r="A178" s="292">
        <f t="shared" si="34"/>
        <v>174</v>
      </c>
      <c r="B178" s="293" t="s">
        <v>896</v>
      </c>
      <c r="C178" s="329" t="s">
        <v>314</v>
      </c>
      <c r="D178" s="310">
        <v>0</v>
      </c>
      <c r="E178" s="310"/>
      <c r="F178" s="295">
        <f t="shared" si="38"/>
        <v>0</v>
      </c>
      <c r="G178" s="287">
        <v>0</v>
      </c>
      <c r="H178" s="295"/>
      <c r="I178" s="296">
        <v>5</v>
      </c>
      <c r="J178" s="296">
        <v>0.2</v>
      </c>
      <c r="K178" s="296">
        <v>0</v>
      </c>
      <c r="L178" s="287"/>
      <c r="M178" s="287">
        <f t="shared" si="45"/>
        <v>0</v>
      </c>
      <c r="N178" s="295">
        <f t="shared" si="40"/>
        <v>0</v>
      </c>
      <c r="O178" s="297" t="s">
        <v>735</v>
      </c>
      <c r="P178" s="297"/>
      <c r="Q178" s="344"/>
      <c r="R178" s="290"/>
      <c r="S178" s="290">
        <f t="shared" si="41"/>
        <v>0</v>
      </c>
      <c r="T178" s="290">
        <f t="shared" si="42"/>
        <v>0</v>
      </c>
      <c r="U178" s="290"/>
      <c r="V178" s="291">
        <f t="shared" si="44"/>
        <v>0</v>
      </c>
      <c r="W178" s="10">
        <f t="shared" si="36"/>
        <v>0</v>
      </c>
      <c r="X178" s="10">
        <f t="shared" si="33"/>
        <v>0</v>
      </c>
    </row>
    <row r="179" spans="1:25" s="9" customFormat="1" ht="13.5" customHeight="1" x14ac:dyDescent="0.2">
      <c r="A179" s="64">
        <f t="shared" si="34"/>
        <v>175</v>
      </c>
      <c r="B179" s="77" t="s">
        <v>817</v>
      </c>
      <c r="C179" s="66" t="s">
        <v>314</v>
      </c>
      <c r="D179" s="175">
        <v>1015000</v>
      </c>
      <c r="E179" s="175"/>
      <c r="F179" s="67">
        <f t="shared" si="38"/>
        <v>1015000</v>
      </c>
      <c r="G179" s="110">
        <v>1014000</v>
      </c>
      <c r="H179" s="67">
        <f t="shared" ref="H179:H188" si="46">+F179-G179</f>
        <v>1000</v>
      </c>
      <c r="I179" s="68">
        <v>5</v>
      </c>
      <c r="J179" s="68">
        <v>0.2</v>
      </c>
      <c r="K179" s="68">
        <v>0</v>
      </c>
      <c r="L179" s="110">
        <f t="shared" ref="L179:L188" si="47">ROUND(IF(F179*J179*K179/12&gt;=H179,H179-1000,F179*J179*K179/12),0)</f>
        <v>0</v>
      </c>
      <c r="M179" s="110">
        <f t="shared" si="45"/>
        <v>1014000</v>
      </c>
      <c r="N179" s="67">
        <f t="shared" si="40"/>
        <v>1000</v>
      </c>
      <c r="O179" s="111" t="s">
        <v>819</v>
      </c>
      <c r="P179" s="111">
        <v>1</v>
      </c>
      <c r="Q179" s="146"/>
      <c r="R179" s="23"/>
      <c r="S179" s="23">
        <f t="shared" si="41"/>
        <v>50750</v>
      </c>
      <c r="T179" s="23">
        <f t="shared" si="42"/>
        <v>-49750</v>
      </c>
      <c r="U179" s="23">
        <f t="shared" ref="U179:U188" si="48">N179-1000</f>
        <v>0</v>
      </c>
      <c r="V179" s="10">
        <f t="shared" si="44"/>
        <v>203000</v>
      </c>
      <c r="W179" s="10">
        <f t="shared" si="36"/>
        <v>0</v>
      </c>
      <c r="X179" s="10">
        <f t="shared" si="33"/>
        <v>0</v>
      </c>
    </row>
    <row r="180" spans="1:25" s="9" customFormat="1" ht="13.5" customHeight="1" x14ac:dyDescent="0.2">
      <c r="A180" s="64">
        <f t="shared" si="34"/>
        <v>176</v>
      </c>
      <c r="B180" s="77" t="s">
        <v>719</v>
      </c>
      <c r="C180" s="66" t="s">
        <v>314</v>
      </c>
      <c r="D180" s="175">
        <v>3300000</v>
      </c>
      <c r="E180" s="175"/>
      <c r="F180" s="67">
        <f t="shared" si="38"/>
        <v>3300000</v>
      </c>
      <c r="G180" s="110">
        <v>3299000</v>
      </c>
      <c r="H180" s="67">
        <f t="shared" si="46"/>
        <v>1000</v>
      </c>
      <c r="I180" s="68">
        <v>5</v>
      </c>
      <c r="J180" s="68">
        <v>0.2</v>
      </c>
      <c r="K180" s="68">
        <v>0</v>
      </c>
      <c r="L180" s="110">
        <f t="shared" si="47"/>
        <v>0</v>
      </c>
      <c r="M180" s="110">
        <f t="shared" si="45"/>
        <v>3299000</v>
      </c>
      <c r="N180" s="67">
        <f t="shared" si="40"/>
        <v>1000</v>
      </c>
      <c r="O180" s="111" t="s">
        <v>819</v>
      </c>
      <c r="P180" s="111">
        <v>3</v>
      </c>
      <c r="Q180" s="146"/>
      <c r="R180" s="23"/>
      <c r="S180" s="23">
        <f t="shared" si="41"/>
        <v>165000</v>
      </c>
      <c r="T180" s="23">
        <f t="shared" si="42"/>
        <v>-164000</v>
      </c>
      <c r="U180" s="23">
        <f t="shared" si="48"/>
        <v>0</v>
      </c>
      <c r="V180" s="10">
        <f t="shared" si="44"/>
        <v>660000</v>
      </c>
      <c r="W180" s="10">
        <f t="shared" si="36"/>
        <v>0</v>
      </c>
      <c r="X180" s="10">
        <f t="shared" si="33"/>
        <v>0</v>
      </c>
    </row>
    <row r="181" spans="1:25" s="190" customFormat="1" ht="13.5" customHeight="1" x14ac:dyDescent="0.2">
      <c r="A181" s="272">
        <f t="shared" si="34"/>
        <v>177</v>
      </c>
      <c r="B181" s="357" t="s">
        <v>897</v>
      </c>
      <c r="C181" s="358" t="s">
        <v>314</v>
      </c>
      <c r="D181" s="359">
        <v>61000000</v>
      </c>
      <c r="E181" s="359"/>
      <c r="F181" s="184">
        <f t="shared" si="38"/>
        <v>61000000</v>
      </c>
      <c r="G181" s="185">
        <v>60999000</v>
      </c>
      <c r="H181" s="184">
        <f t="shared" si="46"/>
        <v>1000</v>
      </c>
      <c r="I181" s="186">
        <v>5</v>
      </c>
      <c r="J181" s="186">
        <v>0.2</v>
      </c>
      <c r="K181" s="68">
        <v>0</v>
      </c>
      <c r="L181" s="185">
        <f t="shared" si="47"/>
        <v>0</v>
      </c>
      <c r="M181" s="185">
        <f t="shared" si="45"/>
        <v>60999000</v>
      </c>
      <c r="N181" s="184">
        <f t="shared" si="40"/>
        <v>1000</v>
      </c>
      <c r="O181" s="187" t="s">
        <v>898</v>
      </c>
      <c r="P181" s="187">
        <v>1</v>
      </c>
      <c r="Q181" s="360" t="s">
        <v>880</v>
      </c>
      <c r="R181" s="189"/>
      <c r="S181" s="189">
        <f t="shared" si="41"/>
        <v>3050000</v>
      </c>
      <c r="T181" s="189">
        <f t="shared" si="42"/>
        <v>-3049000</v>
      </c>
      <c r="U181" s="189">
        <f t="shared" si="48"/>
        <v>0</v>
      </c>
      <c r="V181" s="279">
        <f t="shared" si="44"/>
        <v>12200000</v>
      </c>
      <c r="W181" s="10">
        <f t="shared" si="36"/>
        <v>0</v>
      </c>
      <c r="X181" s="10">
        <f t="shared" si="33"/>
        <v>0</v>
      </c>
      <c r="Y181" s="9"/>
    </row>
    <row r="182" spans="1:25" s="9" customFormat="1" ht="13.5" customHeight="1" x14ac:dyDescent="0.2">
      <c r="A182" s="64">
        <f t="shared" si="34"/>
        <v>178</v>
      </c>
      <c r="B182" s="77" t="s">
        <v>899</v>
      </c>
      <c r="C182" s="163">
        <v>38922</v>
      </c>
      <c r="D182" s="175">
        <v>400000</v>
      </c>
      <c r="E182" s="175"/>
      <c r="F182" s="67">
        <f t="shared" si="38"/>
        <v>400000</v>
      </c>
      <c r="G182" s="110">
        <v>399000</v>
      </c>
      <c r="H182" s="67">
        <f t="shared" si="46"/>
        <v>1000</v>
      </c>
      <c r="I182" s="68">
        <v>5</v>
      </c>
      <c r="J182" s="68">
        <v>0.2</v>
      </c>
      <c r="K182" s="68">
        <v>0</v>
      </c>
      <c r="L182" s="110">
        <f t="shared" si="47"/>
        <v>0</v>
      </c>
      <c r="M182" s="110">
        <f t="shared" si="45"/>
        <v>399000</v>
      </c>
      <c r="N182" s="67">
        <f t="shared" si="40"/>
        <v>1000</v>
      </c>
      <c r="O182" s="111" t="s">
        <v>900</v>
      </c>
      <c r="P182" s="111">
        <v>1</v>
      </c>
      <c r="Q182" s="70"/>
      <c r="R182" s="23"/>
      <c r="S182" s="23">
        <f t="shared" si="41"/>
        <v>20000</v>
      </c>
      <c r="T182" s="23">
        <f t="shared" si="42"/>
        <v>-19000</v>
      </c>
      <c r="U182" s="23">
        <f t="shared" si="48"/>
        <v>0</v>
      </c>
      <c r="V182" s="10">
        <f t="shared" si="44"/>
        <v>80000</v>
      </c>
      <c r="W182" s="10">
        <f t="shared" si="36"/>
        <v>0</v>
      </c>
      <c r="X182" s="10">
        <f t="shared" si="33"/>
        <v>0</v>
      </c>
    </row>
    <row r="183" spans="1:25" s="9" customFormat="1" ht="13.5" customHeight="1" x14ac:dyDescent="0.2">
      <c r="A183" s="64">
        <f t="shared" si="34"/>
        <v>179</v>
      </c>
      <c r="B183" s="77" t="s">
        <v>901</v>
      </c>
      <c r="C183" s="163">
        <v>38939</v>
      </c>
      <c r="D183" s="175">
        <v>2000000</v>
      </c>
      <c r="E183" s="175"/>
      <c r="F183" s="67">
        <f t="shared" si="38"/>
        <v>2000000</v>
      </c>
      <c r="G183" s="110">
        <v>1999000</v>
      </c>
      <c r="H183" s="67">
        <f t="shared" si="46"/>
        <v>1000</v>
      </c>
      <c r="I183" s="68">
        <v>5</v>
      </c>
      <c r="J183" s="68">
        <v>0.2</v>
      </c>
      <c r="K183" s="68">
        <v>0</v>
      </c>
      <c r="L183" s="110">
        <f t="shared" si="47"/>
        <v>0</v>
      </c>
      <c r="M183" s="110">
        <f t="shared" si="45"/>
        <v>1999000</v>
      </c>
      <c r="N183" s="67">
        <f t="shared" si="40"/>
        <v>1000</v>
      </c>
      <c r="O183" s="111" t="s">
        <v>774</v>
      </c>
      <c r="P183" s="111">
        <v>1</v>
      </c>
      <c r="Q183" s="70"/>
      <c r="R183" s="23"/>
      <c r="S183" s="23">
        <f t="shared" si="41"/>
        <v>100000</v>
      </c>
      <c r="T183" s="23">
        <f t="shared" si="42"/>
        <v>-99000</v>
      </c>
      <c r="U183" s="23">
        <f t="shared" si="48"/>
        <v>0</v>
      </c>
      <c r="V183" s="10">
        <f t="shared" si="44"/>
        <v>400000</v>
      </c>
      <c r="W183" s="10">
        <f t="shared" si="36"/>
        <v>0</v>
      </c>
      <c r="X183" s="10">
        <f t="shared" si="33"/>
        <v>0</v>
      </c>
    </row>
    <row r="184" spans="1:25" s="9" customFormat="1" ht="13.5" customHeight="1" x14ac:dyDescent="0.2">
      <c r="A184" s="64">
        <f t="shared" si="34"/>
        <v>180</v>
      </c>
      <c r="B184" s="77" t="s">
        <v>202</v>
      </c>
      <c r="C184" s="163">
        <v>38947</v>
      </c>
      <c r="D184" s="175">
        <v>11000000</v>
      </c>
      <c r="E184" s="175"/>
      <c r="F184" s="67">
        <f t="shared" si="38"/>
        <v>11000000</v>
      </c>
      <c r="G184" s="110">
        <v>10999000</v>
      </c>
      <c r="H184" s="67">
        <f t="shared" si="46"/>
        <v>1000</v>
      </c>
      <c r="I184" s="68">
        <v>5</v>
      </c>
      <c r="J184" s="68">
        <v>0.2</v>
      </c>
      <c r="K184" s="68">
        <v>0</v>
      </c>
      <c r="L184" s="110">
        <f t="shared" si="47"/>
        <v>0</v>
      </c>
      <c r="M184" s="110">
        <f t="shared" si="45"/>
        <v>10999000</v>
      </c>
      <c r="N184" s="67">
        <f t="shared" si="40"/>
        <v>1000</v>
      </c>
      <c r="O184" s="111" t="s">
        <v>306</v>
      </c>
      <c r="P184" s="111">
        <v>1</v>
      </c>
      <c r="Q184" s="70"/>
      <c r="R184" s="23"/>
      <c r="S184" s="23">
        <f t="shared" si="41"/>
        <v>550000</v>
      </c>
      <c r="T184" s="23">
        <f t="shared" si="42"/>
        <v>-549000</v>
      </c>
      <c r="U184" s="23">
        <f t="shared" si="48"/>
        <v>0</v>
      </c>
      <c r="V184" s="10">
        <f t="shared" si="44"/>
        <v>2200000</v>
      </c>
      <c r="W184" s="10">
        <f t="shared" si="36"/>
        <v>0</v>
      </c>
      <c r="X184" s="10">
        <f t="shared" si="33"/>
        <v>0</v>
      </c>
    </row>
    <row r="185" spans="1:25" s="9" customFormat="1" ht="13.5" customHeight="1" x14ac:dyDescent="0.2">
      <c r="A185" s="64">
        <f t="shared" si="34"/>
        <v>181</v>
      </c>
      <c r="B185" s="77" t="s">
        <v>902</v>
      </c>
      <c r="C185" s="163">
        <v>38965</v>
      </c>
      <c r="D185" s="175">
        <v>2000000</v>
      </c>
      <c r="E185" s="175"/>
      <c r="F185" s="67">
        <f t="shared" si="38"/>
        <v>2000000</v>
      </c>
      <c r="G185" s="110">
        <v>1999000</v>
      </c>
      <c r="H185" s="67">
        <f t="shared" si="46"/>
        <v>1000</v>
      </c>
      <c r="I185" s="68">
        <v>5</v>
      </c>
      <c r="J185" s="68">
        <v>0.2</v>
      </c>
      <c r="K185" s="68">
        <v>0</v>
      </c>
      <c r="L185" s="110">
        <f t="shared" si="47"/>
        <v>0</v>
      </c>
      <c r="M185" s="110">
        <f t="shared" si="45"/>
        <v>1999000</v>
      </c>
      <c r="N185" s="67">
        <f t="shared" si="40"/>
        <v>1000</v>
      </c>
      <c r="O185" s="111" t="s">
        <v>903</v>
      </c>
      <c r="P185" s="111">
        <v>1</v>
      </c>
      <c r="Q185" s="70"/>
      <c r="R185" s="23"/>
      <c r="S185" s="23">
        <f t="shared" si="41"/>
        <v>100000</v>
      </c>
      <c r="T185" s="23">
        <f t="shared" si="42"/>
        <v>-99000</v>
      </c>
      <c r="U185" s="23">
        <f t="shared" si="48"/>
        <v>0</v>
      </c>
      <c r="V185" s="10">
        <f t="shared" si="44"/>
        <v>400000</v>
      </c>
      <c r="W185" s="10">
        <f t="shared" si="36"/>
        <v>0</v>
      </c>
      <c r="X185" s="10">
        <f t="shared" si="33"/>
        <v>0</v>
      </c>
    </row>
    <row r="186" spans="1:25" s="9" customFormat="1" ht="13.5" customHeight="1" x14ac:dyDescent="0.2">
      <c r="A186" s="64">
        <f t="shared" si="34"/>
        <v>182</v>
      </c>
      <c r="B186" s="77" t="s">
        <v>719</v>
      </c>
      <c r="C186" s="163">
        <v>38992</v>
      </c>
      <c r="D186" s="175">
        <v>10000000</v>
      </c>
      <c r="E186" s="175"/>
      <c r="F186" s="67">
        <f t="shared" si="38"/>
        <v>10000000</v>
      </c>
      <c r="G186" s="110">
        <v>9999000</v>
      </c>
      <c r="H186" s="67">
        <f t="shared" si="46"/>
        <v>1000</v>
      </c>
      <c r="I186" s="68">
        <v>5</v>
      </c>
      <c r="J186" s="68">
        <v>0.2</v>
      </c>
      <c r="K186" s="68">
        <v>0</v>
      </c>
      <c r="L186" s="110">
        <f t="shared" si="47"/>
        <v>0</v>
      </c>
      <c r="M186" s="110">
        <f t="shared" si="45"/>
        <v>9999000</v>
      </c>
      <c r="N186" s="67">
        <f t="shared" si="40"/>
        <v>1000</v>
      </c>
      <c r="O186" s="111" t="s">
        <v>819</v>
      </c>
      <c r="P186" s="111">
        <v>10</v>
      </c>
      <c r="Q186" s="70"/>
      <c r="R186" s="23"/>
      <c r="S186" s="23">
        <f t="shared" si="41"/>
        <v>500000</v>
      </c>
      <c r="T186" s="23">
        <f t="shared" si="42"/>
        <v>-499000</v>
      </c>
      <c r="U186" s="23">
        <f t="shared" si="48"/>
        <v>0</v>
      </c>
      <c r="V186" s="10">
        <f t="shared" si="44"/>
        <v>2000000</v>
      </c>
      <c r="W186" s="10">
        <f t="shared" si="36"/>
        <v>0</v>
      </c>
      <c r="X186" s="10">
        <f t="shared" si="33"/>
        <v>0</v>
      </c>
    </row>
    <row r="187" spans="1:25" s="9" customFormat="1" ht="13.5" customHeight="1" x14ac:dyDescent="0.2">
      <c r="A187" s="64">
        <f t="shared" si="34"/>
        <v>183</v>
      </c>
      <c r="B187" s="77" t="s">
        <v>904</v>
      </c>
      <c r="C187" s="163">
        <v>39008</v>
      </c>
      <c r="D187" s="175">
        <v>2000000</v>
      </c>
      <c r="E187" s="175"/>
      <c r="F187" s="67">
        <f t="shared" si="38"/>
        <v>2000000</v>
      </c>
      <c r="G187" s="110">
        <v>1999000</v>
      </c>
      <c r="H187" s="67">
        <f t="shared" si="46"/>
        <v>1000</v>
      </c>
      <c r="I187" s="68">
        <v>5</v>
      </c>
      <c r="J187" s="68">
        <v>0.2</v>
      </c>
      <c r="K187" s="68">
        <v>0</v>
      </c>
      <c r="L187" s="110">
        <f t="shared" si="47"/>
        <v>0</v>
      </c>
      <c r="M187" s="110">
        <f t="shared" si="45"/>
        <v>1999000</v>
      </c>
      <c r="N187" s="67">
        <f t="shared" si="40"/>
        <v>1000</v>
      </c>
      <c r="O187" s="111" t="s">
        <v>774</v>
      </c>
      <c r="P187" s="111">
        <v>1</v>
      </c>
      <c r="Q187" s="70"/>
      <c r="R187" s="23"/>
      <c r="S187" s="23">
        <f t="shared" si="41"/>
        <v>100000</v>
      </c>
      <c r="T187" s="23">
        <f t="shared" si="42"/>
        <v>-99000</v>
      </c>
      <c r="U187" s="23">
        <f t="shared" si="48"/>
        <v>0</v>
      </c>
      <c r="V187" s="10">
        <f t="shared" si="44"/>
        <v>400000</v>
      </c>
      <c r="W187" s="10">
        <f t="shared" si="36"/>
        <v>0</v>
      </c>
      <c r="X187" s="10">
        <f t="shared" si="33"/>
        <v>0</v>
      </c>
    </row>
    <row r="188" spans="1:25" s="9" customFormat="1" ht="13.5" customHeight="1" x14ac:dyDescent="0.2">
      <c r="A188" s="64">
        <f t="shared" si="34"/>
        <v>184</v>
      </c>
      <c r="B188" s="77" t="s">
        <v>905</v>
      </c>
      <c r="C188" s="163">
        <v>39014</v>
      </c>
      <c r="D188" s="175">
        <v>6500000</v>
      </c>
      <c r="E188" s="175"/>
      <c r="F188" s="67">
        <f t="shared" si="38"/>
        <v>6500000</v>
      </c>
      <c r="G188" s="110">
        <v>6499000</v>
      </c>
      <c r="H188" s="67">
        <f t="shared" si="46"/>
        <v>1000</v>
      </c>
      <c r="I188" s="68">
        <v>5</v>
      </c>
      <c r="J188" s="68">
        <v>0.2</v>
      </c>
      <c r="K188" s="68">
        <v>0</v>
      </c>
      <c r="L188" s="110">
        <f t="shared" si="47"/>
        <v>0</v>
      </c>
      <c r="M188" s="110">
        <f t="shared" si="45"/>
        <v>6499000</v>
      </c>
      <c r="N188" s="67">
        <f t="shared" si="40"/>
        <v>1000</v>
      </c>
      <c r="O188" s="111" t="s">
        <v>906</v>
      </c>
      <c r="P188" s="111">
        <v>1</v>
      </c>
      <c r="Q188" s="70"/>
      <c r="R188" s="23"/>
      <c r="S188" s="23">
        <f t="shared" si="41"/>
        <v>325000</v>
      </c>
      <c r="T188" s="23">
        <f t="shared" si="42"/>
        <v>-324000</v>
      </c>
      <c r="U188" s="23">
        <f t="shared" si="48"/>
        <v>0</v>
      </c>
      <c r="V188" s="10">
        <f t="shared" si="44"/>
        <v>1300000</v>
      </c>
      <c r="W188" s="10">
        <f t="shared" si="36"/>
        <v>0</v>
      </c>
      <c r="X188" s="10">
        <f t="shared" si="33"/>
        <v>0</v>
      </c>
    </row>
    <row r="189" spans="1:25" s="9" customFormat="1" ht="13.5" customHeight="1" x14ac:dyDescent="0.2">
      <c r="A189" s="292">
        <f t="shared" si="34"/>
        <v>185</v>
      </c>
      <c r="B189" s="293" t="s">
        <v>896</v>
      </c>
      <c r="C189" s="294">
        <v>39017</v>
      </c>
      <c r="D189" s="310">
        <v>0</v>
      </c>
      <c r="E189" s="310"/>
      <c r="F189" s="295">
        <f t="shared" si="38"/>
        <v>0</v>
      </c>
      <c r="G189" s="287">
        <v>0</v>
      </c>
      <c r="H189" s="295"/>
      <c r="I189" s="296">
        <v>5</v>
      </c>
      <c r="J189" s="296">
        <v>0.2</v>
      </c>
      <c r="K189" s="296">
        <v>0</v>
      </c>
      <c r="L189" s="287"/>
      <c r="M189" s="287">
        <f t="shared" si="45"/>
        <v>0</v>
      </c>
      <c r="N189" s="295">
        <f t="shared" si="40"/>
        <v>0</v>
      </c>
      <c r="O189" s="297" t="s">
        <v>786</v>
      </c>
      <c r="P189" s="297">
        <v>1</v>
      </c>
      <c r="Q189" s="298"/>
      <c r="R189" s="290"/>
      <c r="S189" s="290">
        <f t="shared" si="41"/>
        <v>0</v>
      </c>
      <c r="T189" s="290">
        <f t="shared" si="42"/>
        <v>0</v>
      </c>
      <c r="U189" s="290"/>
      <c r="V189" s="291">
        <f t="shared" si="44"/>
        <v>0</v>
      </c>
      <c r="W189" s="10">
        <f t="shared" si="36"/>
        <v>0</v>
      </c>
      <c r="X189" s="10">
        <f t="shared" si="33"/>
        <v>0</v>
      </c>
    </row>
    <row r="190" spans="1:25" s="9" customFormat="1" ht="13.5" customHeight="1" x14ac:dyDescent="0.2">
      <c r="A190" s="64">
        <f t="shared" si="34"/>
        <v>186</v>
      </c>
      <c r="B190" s="77" t="s">
        <v>817</v>
      </c>
      <c r="C190" s="163">
        <v>39021</v>
      </c>
      <c r="D190" s="175">
        <v>590000</v>
      </c>
      <c r="E190" s="175"/>
      <c r="F190" s="67">
        <f t="shared" si="38"/>
        <v>590000</v>
      </c>
      <c r="G190" s="110">
        <v>589000</v>
      </c>
      <c r="H190" s="67">
        <f t="shared" ref="H190:H196" si="49">+F190-G190</f>
        <v>1000</v>
      </c>
      <c r="I190" s="68">
        <v>5</v>
      </c>
      <c r="J190" s="68">
        <v>0.2</v>
      </c>
      <c r="K190" s="68">
        <v>0</v>
      </c>
      <c r="L190" s="110">
        <f t="shared" ref="L190:L196" si="50">ROUND(IF(F190*J190*K190/12&gt;=H190,H190-1000,F190*J190*K190/12),0)</f>
        <v>0</v>
      </c>
      <c r="M190" s="110">
        <f t="shared" si="45"/>
        <v>589000</v>
      </c>
      <c r="N190" s="67">
        <f t="shared" si="40"/>
        <v>1000</v>
      </c>
      <c r="O190" s="111" t="s">
        <v>819</v>
      </c>
      <c r="P190" s="111">
        <v>1</v>
      </c>
      <c r="Q190" s="70"/>
      <c r="R190" s="23"/>
      <c r="S190" s="23">
        <f t="shared" si="41"/>
        <v>29500</v>
      </c>
      <c r="T190" s="23">
        <f t="shared" si="42"/>
        <v>-28500</v>
      </c>
      <c r="U190" s="23">
        <f t="shared" ref="U190:U196" si="51">N190-1000</f>
        <v>0</v>
      </c>
      <c r="V190" s="10">
        <f t="shared" si="44"/>
        <v>118000</v>
      </c>
      <c r="W190" s="10">
        <f t="shared" si="36"/>
        <v>0</v>
      </c>
      <c r="X190" s="10">
        <f t="shared" si="33"/>
        <v>0</v>
      </c>
    </row>
    <row r="191" spans="1:25" s="9" customFormat="1" ht="13.5" customHeight="1" x14ac:dyDescent="0.2">
      <c r="A191" s="64">
        <f t="shared" si="34"/>
        <v>187</v>
      </c>
      <c r="B191" s="77" t="s">
        <v>907</v>
      </c>
      <c r="C191" s="163">
        <v>39080</v>
      </c>
      <c r="D191" s="175">
        <v>300000000</v>
      </c>
      <c r="E191" s="175"/>
      <c r="F191" s="67">
        <f t="shared" si="38"/>
        <v>300000000</v>
      </c>
      <c r="G191" s="110">
        <v>299999000</v>
      </c>
      <c r="H191" s="67">
        <f t="shared" si="49"/>
        <v>1000</v>
      </c>
      <c r="I191" s="68">
        <v>5</v>
      </c>
      <c r="J191" s="68">
        <v>0.2</v>
      </c>
      <c r="K191" s="68">
        <v>0</v>
      </c>
      <c r="L191" s="110">
        <f t="shared" si="50"/>
        <v>0</v>
      </c>
      <c r="M191" s="110">
        <f t="shared" si="45"/>
        <v>299999000</v>
      </c>
      <c r="N191" s="67">
        <f t="shared" si="40"/>
        <v>1000</v>
      </c>
      <c r="O191" s="111" t="s">
        <v>758</v>
      </c>
      <c r="P191" s="111">
        <v>1</v>
      </c>
      <c r="Q191" s="70"/>
      <c r="R191" s="23"/>
      <c r="S191" s="23">
        <f t="shared" si="41"/>
        <v>15000000</v>
      </c>
      <c r="T191" s="23">
        <f t="shared" si="42"/>
        <v>-14999000</v>
      </c>
      <c r="U191" s="23">
        <f t="shared" si="51"/>
        <v>0</v>
      </c>
      <c r="V191" s="10">
        <f t="shared" si="44"/>
        <v>60000000</v>
      </c>
      <c r="W191" s="10">
        <f t="shared" si="36"/>
        <v>0</v>
      </c>
      <c r="X191" s="10">
        <f t="shared" si="33"/>
        <v>0</v>
      </c>
    </row>
    <row r="192" spans="1:25" s="9" customFormat="1" ht="13.5" customHeight="1" x14ac:dyDescent="0.2">
      <c r="A192" s="64">
        <f t="shared" si="34"/>
        <v>188</v>
      </c>
      <c r="B192" s="77" t="s">
        <v>908</v>
      </c>
      <c r="C192" s="163">
        <v>39087</v>
      </c>
      <c r="D192" s="175">
        <v>63800000</v>
      </c>
      <c r="E192" s="175"/>
      <c r="F192" s="67">
        <f t="shared" si="38"/>
        <v>63800000</v>
      </c>
      <c r="G192" s="110">
        <v>63799000</v>
      </c>
      <c r="H192" s="67">
        <f t="shared" si="49"/>
        <v>1000</v>
      </c>
      <c r="I192" s="68">
        <v>5</v>
      </c>
      <c r="J192" s="68">
        <v>0.2</v>
      </c>
      <c r="K192" s="68">
        <v>0</v>
      </c>
      <c r="L192" s="110">
        <f t="shared" si="50"/>
        <v>0</v>
      </c>
      <c r="M192" s="110">
        <f t="shared" si="45"/>
        <v>63799000</v>
      </c>
      <c r="N192" s="67">
        <f t="shared" si="40"/>
        <v>1000</v>
      </c>
      <c r="O192" s="111" t="s">
        <v>909</v>
      </c>
      <c r="P192" s="111">
        <v>4</v>
      </c>
      <c r="Q192" s="70"/>
      <c r="R192" s="23"/>
      <c r="S192" s="23">
        <f t="shared" si="41"/>
        <v>3190000</v>
      </c>
      <c r="T192" s="23">
        <f t="shared" si="42"/>
        <v>-3189000</v>
      </c>
      <c r="U192" s="23">
        <f t="shared" si="51"/>
        <v>0</v>
      </c>
      <c r="V192" s="10">
        <f t="shared" si="44"/>
        <v>12760000</v>
      </c>
      <c r="W192" s="10">
        <f t="shared" si="36"/>
        <v>0</v>
      </c>
      <c r="X192" s="10">
        <f t="shared" si="33"/>
        <v>0</v>
      </c>
    </row>
    <row r="193" spans="1:24" s="9" customFormat="1" ht="13.5" customHeight="1" x14ac:dyDescent="0.2">
      <c r="A193" s="64">
        <f t="shared" si="34"/>
        <v>189</v>
      </c>
      <c r="B193" s="77" t="s">
        <v>910</v>
      </c>
      <c r="C193" s="163">
        <v>39092</v>
      </c>
      <c r="D193" s="175">
        <v>90000000</v>
      </c>
      <c r="E193" s="175"/>
      <c r="F193" s="67">
        <f t="shared" si="38"/>
        <v>90000000</v>
      </c>
      <c r="G193" s="110">
        <v>89999000</v>
      </c>
      <c r="H193" s="67">
        <f t="shared" si="49"/>
        <v>1000</v>
      </c>
      <c r="I193" s="68">
        <v>5</v>
      </c>
      <c r="J193" s="68">
        <v>0.2</v>
      </c>
      <c r="K193" s="68">
        <v>0</v>
      </c>
      <c r="L193" s="110">
        <f t="shared" si="50"/>
        <v>0</v>
      </c>
      <c r="M193" s="110">
        <f t="shared" si="45"/>
        <v>89999000</v>
      </c>
      <c r="N193" s="67">
        <f t="shared" si="40"/>
        <v>1000</v>
      </c>
      <c r="O193" s="111" t="s">
        <v>849</v>
      </c>
      <c r="P193" s="111">
        <v>1</v>
      </c>
      <c r="Q193" s="70"/>
      <c r="R193" s="23"/>
      <c r="S193" s="23">
        <f t="shared" si="41"/>
        <v>4500000</v>
      </c>
      <c r="T193" s="23">
        <f t="shared" si="42"/>
        <v>-4499000</v>
      </c>
      <c r="U193" s="23">
        <f t="shared" si="51"/>
        <v>0</v>
      </c>
      <c r="V193" s="10">
        <f t="shared" si="44"/>
        <v>18000000</v>
      </c>
      <c r="W193" s="10">
        <f t="shared" si="36"/>
        <v>0</v>
      </c>
      <c r="X193" s="10">
        <f t="shared" si="33"/>
        <v>0</v>
      </c>
    </row>
    <row r="194" spans="1:24" s="9" customFormat="1" ht="13.5" customHeight="1" x14ac:dyDescent="0.2">
      <c r="A194" s="64">
        <f t="shared" si="34"/>
        <v>190</v>
      </c>
      <c r="B194" s="77" t="s">
        <v>911</v>
      </c>
      <c r="C194" s="163">
        <v>39094</v>
      </c>
      <c r="D194" s="175">
        <v>10000000</v>
      </c>
      <c r="E194" s="175"/>
      <c r="F194" s="67">
        <f t="shared" si="38"/>
        <v>10000000</v>
      </c>
      <c r="G194" s="110">
        <v>9999000</v>
      </c>
      <c r="H194" s="67">
        <f t="shared" si="49"/>
        <v>1000</v>
      </c>
      <c r="I194" s="68">
        <v>5</v>
      </c>
      <c r="J194" s="68">
        <v>0.2</v>
      </c>
      <c r="K194" s="68">
        <v>0</v>
      </c>
      <c r="L194" s="110">
        <f t="shared" si="50"/>
        <v>0</v>
      </c>
      <c r="M194" s="110">
        <f t="shared" si="45"/>
        <v>9999000</v>
      </c>
      <c r="N194" s="67">
        <f t="shared" si="40"/>
        <v>1000</v>
      </c>
      <c r="O194" s="111" t="s">
        <v>912</v>
      </c>
      <c r="P194" s="111">
        <v>1</v>
      </c>
      <c r="Q194" s="70"/>
      <c r="R194" s="23"/>
      <c r="S194" s="23">
        <f t="shared" si="41"/>
        <v>500000</v>
      </c>
      <c r="T194" s="23">
        <f t="shared" si="42"/>
        <v>-499000</v>
      </c>
      <c r="U194" s="23">
        <f t="shared" si="51"/>
        <v>0</v>
      </c>
      <c r="V194" s="10">
        <f t="shared" si="44"/>
        <v>2000000</v>
      </c>
      <c r="W194" s="10">
        <f t="shared" si="36"/>
        <v>0</v>
      </c>
      <c r="X194" s="10">
        <f t="shared" si="33"/>
        <v>0</v>
      </c>
    </row>
    <row r="195" spans="1:24" s="9" customFormat="1" ht="13.5" customHeight="1" x14ac:dyDescent="0.2">
      <c r="A195" s="64">
        <f t="shared" si="34"/>
        <v>191</v>
      </c>
      <c r="B195" s="77" t="s">
        <v>913</v>
      </c>
      <c r="C195" s="163">
        <v>39114</v>
      </c>
      <c r="D195" s="175">
        <v>68400000</v>
      </c>
      <c r="E195" s="175"/>
      <c r="F195" s="67">
        <f t="shared" si="38"/>
        <v>68400000</v>
      </c>
      <c r="G195" s="110">
        <v>68399000</v>
      </c>
      <c r="H195" s="67">
        <f t="shared" si="49"/>
        <v>1000</v>
      </c>
      <c r="I195" s="68">
        <v>5</v>
      </c>
      <c r="J195" s="68">
        <v>0.2</v>
      </c>
      <c r="K195" s="68">
        <v>0</v>
      </c>
      <c r="L195" s="110">
        <f t="shared" si="50"/>
        <v>0</v>
      </c>
      <c r="M195" s="110">
        <f t="shared" si="45"/>
        <v>68399000</v>
      </c>
      <c r="N195" s="67">
        <f t="shared" si="40"/>
        <v>1000</v>
      </c>
      <c r="O195" s="111" t="s">
        <v>914</v>
      </c>
      <c r="P195" s="111">
        <v>1</v>
      </c>
      <c r="Q195" s="70"/>
      <c r="R195" s="23"/>
      <c r="S195" s="23">
        <f t="shared" si="41"/>
        <v>3420000</v>
      </c>
      <c r="T195" s="23">
        <f t="shared" si="42"/>
        <v>-3419000</v>
      </c>
      <c r="U195" s="23">
        <f t="shared" si="51"/>
        <v>0</v>
      </c>
      <c r="V195" s="10">
        <f t="shared" si="44"/>
        <v>13680000</v>
      </c>
      <c r="W195" s="10">
        <f t="shared" si="36"/>
        <v>0</v>
      </c>
      <c r="X195" s="10">
        <f t="shared" si="33"/>
        <v>0</v>
      </c>
    </row>
    <row r="196" spans="1:24" s="9" customFormat="1" ht="13.5" customHeight="1" x14ac:dyDescent="0.2">
      <c r="A196" s="64">
        <f t="shared" si="34"/>
        <v>192</v>
      </c>
      <c r="B196" s="77" t="s">
        <v>915</v>
      </c>
      <c r="C196" s="163">
        <v>39114</v>
      </c>
      <c r="D196" s="175">
        <v>137200000</v>
      </c>
      <c r="E196" s="175"/>
      <c r="F196" s="67">
        <f t="shared" si="38"/>
        <v>137200000</v>
      </c>
      <c r="G196" s="110">
        <v>137199000</v>
      </c>
      <c r="H196" s="67">
        <f t="shared" si="49"/>
        <v>1000</v>
      </c>
      <c r="I196" s="68">
        <v>5</v>
      </c>
      <c r="J196" s="68">
        <v>0.2</v>
      </c>
      <c r="K196" s="68">
        <v>0</v>
      </c>
      <c r="L196" s="110">
        <f t="shared" si="50"/>
        <v>0</v>
      </c>
      <c r="M196" s="110">
        <f t="shared" si="45"/>
        <v>137199000</v>
      </c>
      <c r="N196" s="67">
        <f t="shared" si="40"/>
        <v>1000</v>
      </c>
      <c r="O196" s="111" t="s">
        <v>914</v>
      </c>
      <c r="P196" s="111">
        <v>1</v>
      </c>
      <c r="Q196" s="70"/>
      <c r="R196" s="23"/>
      <c r="S196" s="23">
        <f t="shared" si="41"/>
        <v>6860000</v>
      </c>
      <c r="T196" s="23">
        <f t="shared" si="42"/>
        <v>-6859000</v>
      </c>
      <c r="U196" s="23">
        <f t="shared" si="51"/>
        <v>0</v>
      </c>
      <c r="V196" s="10">
        <f t="shared" si="44"/>
        <v>27440000</v>
      </c>
      <c r="W196" s="10">
        <f t="shared" si="36"/>
        <v>0</v>
      </c>
      <c r="X196" s="10">
        <f t="shared" si="33"/>
        <v>0</v>
      </c>
    </row>
    <row r="197" spans="1:24" s="9" customFormat="1" ht="13.5" customHeight="1" x14ac:dyDescent="0.2">
      <c r="A197" s="311">
        <f t="shared" si="34"/>
        <v>193</v>
      </c>
      <c r="B197" s="312" t="s">
        <v>916</v>
      </c>
      <c r="C197" s="313">
        <v>39114</v>
      </c>
      <c r="D197" s="314">
        <v>0</v>
      </c>
      <c r="E197" s="314">
        <v>0</v>
      </c>
      <c r="F197" s="315">
        <f t="shared" si="38"/>
        <v>0</v>
      </c>
      <c r="G197" s="316">
        <v>0</v>
      </c>
      <c r="H197" s="315">
        <v>0</v>
      </c>
      <c r="I197" s="317">
        <v>5</v>
      </c>
      <c r="J197" s="317">
        <v>0.2</v>
      </c>
      <c r="K197" s="317">
        <v>0</v>
      </c>
      <c r="L197" s="316">
        <f>ROUND(IF(F197*J197*K197/12&gt;=H197,H197-1000,F197*J197*K197/12),0)+1000</f>
        <v>0</v>
      </c>
      <c r="M197" s="316">
        <v>0</v>
      </c>
      <c r="N197" s="315">
        <v>0</v>
      </c>
      <c r="O197" s="318" t="s">
        <v>914</v>
      </c>
      <c r="P197" s="318">
        <v>1</v>
      </c>
      <c r="Q197" s="319" t="s">
        <v>917</v>
      </c>
      <c r="R197" s="320"/>
      <c r="S197" s="320">
        <f t="shared" si="41"/>
        <v>0</v>
      </c>
      <c r="T197" s="320">
        <f t="shared" si="42"/>
        <v>0</v>
      </c>
      <c r="U197" s="320">
        <f>N197</f>
        <v>0</v>
      </c>
      <c r="V197" s="321">
        <f t="shared" si="44"/>
        <v>0</v>
      </c>
      <c r="W197" s="10">
        <f t="shared" si="36"/>
        <v>0</v>
      </c>
      <c r="X197" s="10">
        <f t="shared" ref="X197:X260" si="52">L197-W197</f>
        <v>0</v>
      </c>
    </row>
    <row r="198" spans="1:24" s="9" customFormat="1" ht="13.5" customHeight="1" x14ac:dyDescent="0.2">
      <c r="A198" s="64">
        <f t="shared" ref="A198:A261" si="53">+A197+1</f>
        <v>194</v>
      </c>
      <c r="B198" s="77" t="s">
        <v>719</v>
      </c>
      <c r="C198" s="163">
        <v>39172</v>
      </c>
      <c r="D198" s="175">
        <v>740000</v>
      </c>
      <c r="E198" s="175"/>
      <c r="F198" s="67">
        <f t="shared" si="38"/>
        <v>740000</v>
      </c>
      <c r="G198" s="110">
        <v>739000</v>
      </c>
      <c r="H198" s="67">
        <f t="shared" ref="H198:H204" si="54">+F198-G198</f>
        <v>1000</v>
      </c>
      <c r="I198" s="68">
        <v>5</v>
      </c>
      <c r="J198" s="68">
        <v>0.2</v>
      </c>
      <c r="K198" s="68">
        <v>0</v>
      </c>
      <c r="L198" s="110">
        <f t="shared" ref="L198:L204" si="55">ROUND(IF(F198*J198*K198/12&gt;=H198,H198-1000,F198*J198*K198/12),0)</f>
        <v>0</v>
      </c>
      <c r="M198" s="110">
        <f t="shared" ref="M198:M204" si="56">+G198+L198</f>
        <v>739000</v>
      </c>
      <c r="N198" s="67">
        <f t="shared" ref="N198:N208" si="57">+F198-M198</f>
        <v>1000</v>
      </c>
      <c r="O198" s="111" t="s">
        <v>819</v>
      </c>
      <c r="P198" s="111">
        <v>1</v>
      </c>
      <c r="Q198" s="70"/>
      <c r="R198" s="23"/>
      <c r="S198" s="23">
        <f t="shared" si="41"/>
        <v>37000</v>
      </c>
      <c r="T198" s="23">
        <f t="shared" si="42"/>
        <v>-36000</v>
      </c>
      <c r="U198" s="23">
        <f t="shared" ref="U198:U204" si="58">N198-1000</f>
        <v>0</v>
      </c>
      <c r="V198" s="10">
        <f t="shared" si="44"/>
        <v>148000</v>
      </c>
      <c r="W198" s="10">
        <f t="shared" si="36"/>
        <v>0</v>
      </c>
      <c r="X198" s="10">
        <f t="shared" si="52"/>
        <v>0</v>
      </c>
    </row>
    <row r="199" spans="1:24" s="9" customFormat="1" ht="13.5" customHeight="1" x14ac:dyDescent="0.2">
      <c r="A199" s="64">
        <f t="shared" si="53"/>
        <v>195</v>
      </c>
      <c r="B199" s="77" t="s">
        <v>918</v>
      </c>
      <c r="C199" s="163">
        <v>39204</v>
      </c>
      <c r="D199" s="175">
        <v>11000000</v>
      </c>
      <c r="E199" s="175"/>
      <c r="F199" s="67">
        <f t="shared" si="38"/>
        <v>11000000</v>
      </c>
      <c r="G199" s="110">
        <v>10999000</v>
      </c>
      <c r="H199" s="67">
        <f t="shared" si="54"/>
        <v>1000</v>
      </c>
      <c r="I199" s="68">
        <v>5</v>
      </c>
      <c r="J199" s="68">
        <v>0.2</v>
      </c>
      <c r="K199" s="68">
        <v>0</v>
      </c>
      <c r="L199" s="110">
        <f t="shared" si="55"/>
        <v>0</v>
      </c>
      <c r="M199" s="110">
        <f t="shared" si="56"/>
        <v>10999000</v>
      </c>
      <c r="N199" s="67">
        <f t="shared" si="57"/>
        <v>1000</v>
      </c>
      <c r="O199" s="111" t="s">
        <v>919</v>
      </c>
      <c r="P199" s="111">
        <v>1</v>
      </c>
      <c r="Q199" s="70"/>
      <c r="R199" s="23"/>
      <c r="S199" s="23">
        <f t="shared" si="41"/>
        <v>550000</v>
      </c>
      <c r="T199" s="23">
        <f t="shared" si="42"/>
        <v>-549000</v>
      </c>
      <c r="U199" s="23">
        <f t="shared" si="58"/>
        <v>0</v>
      </c>
      <c r="V199" s="10">
        <f t="shared" si="44"/>
        <v>2200000</v>
      </c>
      <c r="W199" s="10">
        <f t="shared" ref="W199:W209" si="59">ROUND(IF(H199&lt;=1000,0,V199/12*3),0)</f>
        <v>0</v>
      </c>
      <c r="X199" s="10">
        <f t="shared" si="52"/>
        <v>0</v>
      </c>
    </row>
    <row r="200" spans="1:24" s="9" customFormat="1" ht="13.5" customHeight="1" x14ac:dyDescent="0.2">
      <c r="A200" s="64">
        <f t="shared" si="53"/>
        <v>196</v>
      </c>
      <c r="B200" s="77" t="s">
        <v>920</v>
      </c>
      <c r="C200" s="163">
        <v>39227</v>
      </c>
      <c r="D200" s="175">
        <v>48000000</v>
      </c>
      <c r="E200" s="175"/>
      <c r="F200" s="67">
        <f t="shared" si="38"/>
        <v>48000000</v>
      </c>
      <c r="G200" s="110">
        <v>47999000</v>
      </c>
      <c r="H200" s="67">
        <f t="shared" si="54"/>
        <v>1000</v>
      </c>
      <c r="I200" s="68">
        <v>5</v>
      </c>
      <c r="J200" s="68">
        <v>0.2</v>
      </c>
      <c r="K200" s="68">
        <v>0</v>
      </c>
      <c r="L200" s="110">
        <f t="shared" si="55"/>
        <v>0</v>
      </c>
      <c r="M200" s="110">
        <f t="shared" si="56"/>
        <v>47999000</v>
      </c>
      <c r="N200" s="67">
        <f t="shared" si="57"/>
        <v>1000</v>
      </c>
      <c r="O200" s="111" t="s">
        <v>914</v>
      </c>
      <c r="P200" s="111">
        <v>1</v>
      </c>
      <c r="Q200" s="70"/>
      <c r="R200" s="23"/>
      <c r="S200" s="23">
        <f t="shared" si="41"/>
        <v>2400000</v>
      </c>
      <c r="T200" s="23">
        <f t="shared" si="42"/>
        <v>-2399000</v>
      </c>
      <c r="U200" s="23">
        <f t="shared" si="58"/>
        <v>0</v>
      </c>
      <c r="V200" s="10">
        <f t="shared" si="44"/>
        <v>9600000</v>
      </c>
      <c r="W200" s="10">
        <f t="shared" si="59"/>
        <v>0</v>
      </c>
      <c r="X200" s="10">
        <f t="shared" si="52"/>
        <v>0</v>
      </c>
    </row>
    <row r="201" spans="1:24" s="9" customFormat="1" ht="13.5" customHeight="1" x14ac:dyDescent="0.2">
      <c r="A201" s="64">
        <f t="shared" si="53"/>
        <v>197</v>
      </c>
      <c r="B201" s="77" t="s">
        <v>229</v>
      </c>
      <c r="C201" s="163">
        <v>39234</v>
      </c>
      <c r="D201" s="175">
        <v>1300000</v>
      </c>
      <c r="E201" s="175"/>
      <c r="F201" s="67">
        <f t="shared" si="38"/>
        <v>1300000</v>
      </c>
      <c r="G201" s="110">
        <v>1299000</v>
      </c>
      <c r="H201" s="67">
        <f t="shared" si="54"/>
        <v>1000</v>
      </c>
      <c r="I201" s="68">
        <v>5</v>
      </c>
      <c r="J201" s="68">
        <v>0.2</v>
      </c>
      <c r="K201" s="68">
        <v>0</v>
      </c>
      <c r="L201" s="110">
        <f t="shared" si="55"/>
        <v>0</v>
      </c>
      <c r="M201" s="110">
        <f t="shared" si="56"/>
        <v>1299000</v>
      </c>
      <c r="N201" s="67">
        <f t="shared" si="57"/>
        <v>1000</v>
      </c>
      <c r="O201" s="111" t="s">
        <v>921</v>
      </c>
      <c r="P201" s="111">
        <v>1</v>
      </c>
      <c r="Q201" s="70"/>
      <c r="R201" s="23"/>
      <c r="S201" s="23">
        <f t="shared" si="41"/>
        <v>65000</v>
      </c>
      <c r="T201" s="23">
        <f t="shared" si="42"/>
        <v>-64000</v>
      </c>
      <c r="U201" s="23">
        <f t="shared" si="58"/>
        <v>0</v>
      </c>
      <c r="V201" s="10">
        <f t="shared" si="44"/>
        <v>260000</v>
      </c>
      <c r="W201" s="10">
        <f t="shared" si="59"/>
        <v>0</v>
      </c>
      <c r="X201" s="10">
        <f t="shared" si="52"/>
        <v>0</v>
      </c>
    </row>
    <row r="202" spans="1:24" s="9" customFormat="1" ht="13.5" customHeight="1" x14ac:dyDescent="0.2">
      <c r="A202" s="64">
        <f t="shared" si="53"/>
        <v>198</v>
      </c>
      <c r="B202" s="77" t="s">
        <v>411</v>
      </c>
      <c r="C202" s="163">
        <v>39240</v>
      </c>
      <c r="D202" s="175">
        <v>46400000</v>
      </c>
      <c r="E202" s="175"/>
      <c r="F202" s="67">
        <f t="shared" si="38"/>
        <v>46400000</v>
      </c>
      <c r="G202" s="110">
        <v>46399000</v>
      </c>
      <c r="H202" s="67">
        <f t="shared" si="54"/>
        <v>1000</v>
      </c>
      <c r="I202" s="68">
        <v>5</v>
      </c>
      <c r="J202" s="68">
        <v>0.2</v>
      </c>
      <c r="K202" s="68">
        <v>0</v>
      </c>
      <c r="L202" s="110">
        <f t="shared" si="55"/>
        <v>0</v>
      </c>
      <c r="M202" s="110">
        <f t="shared" si="56"/>
        <v>46399000</v>
      </c>
      <c r="N202" s="67">
        <f t="shared" si="57"/>
        <v>1000</v>
      </c>
      <c r="O202" s="111" t="s">
        <v>412</v>
      </c>
      <c r="P202" s="111">
        <v>4</v>
      </c>
      <c r="Q202" s="70"/>
      <c r="R202" s="23"/>
      <c r="S202" s="23">
        <f t="shared" si="41"/>
        <v>2320000</v>
      </c>
      <c r="T202" s="23">
        <f t="shared" si="42"/>
        <v>-2319000</v>
      </c>
      <c r="U202" s="23">
        <f t="shared" si="58"/>
        <v>0</v>
      </c>
      <c r="V202" s="10">
        <f t="shared" si="44"/>
        <v>9280000</v>
      </c>
      <c r="W202" s="10">
        <f t="shared" si="59"/>
        <v>0</v>
      </c>
      <c r="X202" s="10">
        <f t="shared" si="52"/>
        <v>0</v>
      </c>
    </row>
    <row r="203" spans="1:24" s="9" customFormat="1" ht="13.5" customHeight="1" x14ac:dyDescent="0.2">
      <c r="A203" s="64">
        <f t="shared" si="53"/>
        <v>199</v>
      </c>
      <c r="B203" s="77" t="s">
        <v>229</v>
      </c>
      <c r="C203" s="163">
        <v>39255</v>
      </c>
      <c r="D203" s="175">
        <v>5000000</v>
      </c>
      <c r="E203" s="175"/>
      <c r="F203" s="67">
        <f t="shared" si="38"/>
        <v>5000000</v>
      </c>
      <c r="G203" s="110">
        <v>4999000</v>
      </c>
      <c r="H203" s="67">
        <f t="shared" si="54"/>
        <v>1000</v>
      </c>
      <c r="I203" s="68">
        <v>5</v>
      </c>
      <c r="J203" s="68">
        <v>0.2</v>
      </c>
      <c r="K203" s="68">
        <v>0</v>
      </c>
      <c r="L203" s="110">
        <f t="shared" si="55"/>
        <v>0</v>
      </c>
      <c r="M203" s="110">
        <f t="shared" si="56"/>
        <v>4999000</v>
      </c>
      <c r="N203" s="67">
        <f t="shared" si="57"/>
        <v>1000</v>
      </c>
      <c r="O203" s="111" t="s">
        <v>921</v>
      </c>
      <c r="P203" s="111">
        <v>1</v>
      </c>
      <c r="Q203" s="70"/>
      <c r="R203" s="23"/>
      <c r="S203" s="23">
        <f t="shared" si="41"/>
        <v>250000</v>
      </c>
      <c r="T203" s="23">
        <f t="shared" si="42"/>
        <v>-249000</v>
      </c>
      <c r="U203" s="23">
        <f t="shared" si="58"/>
        <v>0</v>
      </c>
      <c r="V203" s="10">
        <f t="shared" si="44"/>
        <v>1000000</v>
      </c>
      <c r="W203" s="10">
        <f t="shared" si="59"/>
        <v>0</v>
      </c>
      <c r="X203" s="10">
        <f t="shared" si="52"/>
        <v>0</v>
      </c>
    </row>
    <row r="204" spans="1:24" s="9" customFormat="1" ht="13.5" customHeight="1" x14ac:dyDescent="0.2">
      <c r="A204" s="64">
        <f t="shared" si="53"/>
        <v>200</v>
      </c>
      <c r="B204" s="77" t="s">
        <v>922</v>
      </c>
      <c r="C204" s="163">
        <v>39295</v>
      </c>
      <c r="D204" s="175">
        <v>600000</v>
      </c>
      <c r="E204" s="175"/>
      <c r="F204" s="67">
        <f t="shared" si="38"/>
        <v>600000</v>
      </c>
      <c r="G204" s="110">
        <v>599000</v>
      </c>
      <c r="H204" s="67">
        <f t="shared" si="54"/>
        <v>1000</v>
      </c>
      <c r="I204" s="68">
        <v>5</v>
      </c>
      <c r="J204" s="68">
        <v>0.2</v>
      </c>
      <c r="K204" s="68">
        <v>0</v>
      </c>
      <c r="L204" s="110">
        <f t="shared" si="55"/>
        <v>0</v>
      </c>
      <c r="M204" s="110">
        <f t="shared" si="56"/>
        <v>599000</v>
      </c>
      <c r="N204" s="67">
        <f t="shared" si="57"/>
        <v>1000</v>
      </c>
      <c r="O204" s="230" t="s">
        <v>923</v>
      </c>
      <c r="P204" s="111">
        <v>1</v>
      </c>
      <c r="Q204" s="70"/>
      <c r="R204" s="23"/>
      <c r="S204" s="23">
        <f t="shared" si="41"/>
        <v>30000</v>
      </c>
      <c r="T204" s="23">
        <f t="shared" si="42"/>
        <v>-29000</v>
      </c>
      <c r="U204" s="23">
        <f t="shared" si="58"/>
        <v>0</v>
      </c>
      <c r="V204" s="10">
        <f t="shared" si="44"/>
        <v>120000</v>
      </c>
      <c r="W204" s="10">
        <f t="shared" si="59"/>
        <v>0</v>
      </c>
      <c r="X204" s="10">
        <f t="shared" si="52"/>
        <v>0</v>
      </c>
    </row>
    <row r="205" spans="1:24" s="9" customFormat="1" ht="13.5" customHeight="1" x14ac:dyDescent="0.2">
      <c r="A205" s="292">
        <f t="shared" si="53"/>
        <v>201</v>
      </c>
      <c r="B205" s="361" t="s">
        <v>924</v>
      </c>
      <c r="C205" s="362">
        <v>39300</v>
      </c>
      <c r="D205" s="363">
        <v>0</v>
      </c>
      <c r="E205" s="363"/>
      <c r="F205" s="364">
        <f t="shared" si="38"/>
        <v>0</v>
      </c>
      <c r="G205" s="365"/>
      <c r="H205" s="364"/>
      <c r="I205" s="366">
        <v>5</v>
      </c>
      <c r="J205" s="366">
        <v>0.2</v>
      </c>
      <c r="K205" s="296">
        <v>0</v>
      </c>
      <c r="L205" s="287"/>
      <c r="M205" s="365"/>
      <c r="N205" s="364">
        <f t="shared" si="57"/>
        <v>0</v>
      </c>
      <c r="O205" s="367" t="s">
        <v>925</v>
      </c>
      <c r="P205" s="367">
        <v>1</v>
      </c>
      <c r="Q205" s="368"/>
      <c r="R205" s="290"/>
      <c r="S205" s="290">
        <f t="shared" si="41"/>
        <v>0</v>
      </c>
      <c r="T205" s="290">
        <f t="shared" si="42"/>
        <v>0</v>
      </c>
      <c r="U205" s="290"/>
      <c r="V205" s="291">
        <f t="shared" si="44"/>
        <v>0</v>
      </c>
      <c r="W205" s="10">
        <f t="shared" si="59"/>
        <v>0</v>
      </c>
      <c r="X205" s="10">
        <f t="shared" si="52"/>
        <v>0</v>
      </c>
    </row>
    <row r="206" spans="1:24" s="9" customFormat="1" ht="13.5" customHeight="1" x14ac:dyDescent="0.25">
      <c r="A206" s="64">
        <f t="shared" si="53"/>
        <v>202</v>
      </c>
      <c r="B206" s="71" t="s">
        <v>926</v>
      </c>
      <c r="C206" s="369">
        <v>39311</v>
      </c>
      <c r="D206" s="370">
        <v>49255429</v>
      </c>
      <c r="E206" s="370"/>
      <c r="F206" s="370">
        <f t="shared" si="38"/>
        <v>49255429</v>
      </c>
      <c r="G206" s="370">
        <v>49254429</v>
      </c>
      <c r="H206" s="370">
        <f>+F206-G206</f>
        <v>1000</v>
      </c>
      <c r="I206" s="371">
        <v>5</v>
      </c>
      <c r="J206" s="371">
        <v>0.2</v>
      </c>
      <c r="K206" s="68">
        <v>0</v>
      </c>
      <c r="L206" s="110">
        <f>ROUND(IF(F206*J206*K206/12&gt;=H206,H206-1000,F206*J206*K206/12),0)</f>
        <v>0</v>
      </c>
      <c r="M206" s="370">
        <f>+L206+G206</f>
        <v>49254429</v>
      </c>
      <c r="N206" s="67">
        <f t="shared" si="57"/>
        <v>1000</v>
      </c>
      <c r="O206" s="209" t="s">
        <v>909</v>
      </c>
      <c r="P206" s="209">
        <v>4</v>
      </c>
      <c r="Q206" s="76" t="s">
        <v>927</v>
      </c>
      <c r="R206" s="23"/>
      <c r="S206" s="23">
        <f t="shared" si="41"/>
        <v>2462771.4500000002</v>
      </c>
      <c r="T206" s="23">
        <f t="shared" si="42"/>
        <v>-2461771.4500000002</v>
      </c>
      <c r="U206" s="23">
        <f>N206-1000</f>
        <v>0</v>
      </c>
      <c r="V206" s="10">
        <f t="shared" si="44"/>
        <v>9851085.8000000007</v>
      </c>
      <c r="W206" s="10">
        <f t="shared" si="59"/>
        <v>0</v>
      </c>
      <c r="X206" s="10">
        <f t="shared" si="52"/>
        <v>0</v>
      </c>
    </row>
    <row r="207" spans="1:24" s="9" customFormat="1" ht="13.5" customHeight="1" x14ac:dyDescent="0.2">
      <c r="A207" s="64">
        <f t="shared" si="53"/>
        <v>203</v>
      </c>
      <c r="B207" s="71" t="s">
        <v>928</v>
      </c>
      <c r="C207" s="148">
        <v>39373</v>
      </c>
      <c r="D207" s="73">
        <v>820000</v>
      </c>
      <c r="E207" s="73"/>
      <c r="F207" s="73">
        <f t="shared" si="38"/>
        <v>820000</v>
      </c>
      <c r="G207" s="140">
        <v>819000</v>
      </c>
      <c r="H207" s="73">
        <f>+F207-G207</f>
        <v>1000</v>
      </c>
      <c r="I207" s="74">
        <v>5</v>
      </c>
      <c r="J207" s="74">
        <v>0.2</v>
      </c>
      <c r="K207" s="68">
        <v>0</v>
      </c>
      <c r="L207" s="110">
        <f>ROUND(IF(F207*J207*K207/12&gt;=H207,H207-1000,F207*J207*K207/12),0)</f>
        <v>0</v>
      </c>
      <c r="M207" s="110">
        <f>+G207+L207</f>
        <v>819000</v>
      </c>
      <c r="N207" s="67">
        <f t="shared" si="57"/>
        <v>1000</v>
      </c>
      <c r="O207" s="75" t="s">
        <v>929</v>
      </c>
      <c r="P207" s="209">
        <v>1</v>
      </c>
      <c r="Q207" s="76"/>
      <c r="R207" s="23"/>
      <c r="S207" s="23">
        <f t="shared" si="41"/>
        <v>41000</v>
      </c>
      <c r="T207" s="23">
        <f t="shared" si="42"/>
        <v>-40000</v>
      </c>
      <c r="U207" s="23">
        <f>N207-1000</f>
        <v>0</v>
      </c>
      <c r="V207" s="10">
        <f t="shared" si="44"/>
        <v>164000</v>
      </c>
      <c r="W207" s="10">
        <f t="shared" si="59"/>
        <v>0</v>
      </c>
      <c r="X207" s="10">
        <f t="shared" si="52"/>
        <v>0</v>
      </c>
    </row>
    <row r="208" spans="1:24" s="9" customFormat="1" ht="13.5" customHeight="1" x14ac:dyDescent="0.2">
      <c r="A208" s="64">
        <f t="shared" si="53"/>
        <v>204</v>
      </c>
      <c r="B208" s="71" t="s">
        <v>907</v>
      </c>
      <c r="C208" s="148">
        <v>39412</v>
      </c>
      <c r="D208" s="372">
        <v>335000000</v>
      </c>
      <c r="E208" s="372"/>
      <c r="F208" s="73">
        <f t="shared" si="38"/>
        <v>335000000</v>
      </c>
      <c r="G208" s="140">
        <v>334999000</v>
      </c>
      <c r="H208" s="73">
        <f>+F208-G208</f>
        <v>1000</v>
      </c>
      <c r="I208" s="74">
        <v>5</v>
      </c>
      <c r="J208" s="74">
        <v>0.2</v>
      </c>
      <c r="K208" s="68">
        <v>0</v>
      </c>
      <c r="L208" s="110">
        <f>ROUND(IF(F208*J208*K208/12&gt;=H208,H208-1000,F208*J208*K208/12),0)</f>
        <v>0</v>
      </c>
      <c r="M208" s="110">
        <f>+G208+L208</f>
        <v>334999000</v>
      </c>
      <c r="N208" s="67">
        <f t="shared" si="57"/>
        <v>1000</v>
      </c>
      <c r="O208" s="209" t="s">
        <v>930</v>
      </c>
      <c r="P208" s="209">
        <v>1</v>
      </c>
      <c r="Q208" s="76"/>
      <c r="R208" s="23"/>
      <c r="S208" s="23">
        <f t="shared" si="41"/>
        <v>16750000</v>
      </c>
      <c r="T208" s="23">
        <f t="shared" si="42"/>
        <v>-16749000</v>
      </c>
      <c r="U208" s="23">
        <f>N208-1000</f>
        <v>0</v>
      </c>
      <c r="V208" s="10">
        <f t="shared" si="44"/>
        <v>67000000</v>
      </c>
      <c r="W208" s="10">
        <f t="shared" si="59"/>
        <v>0</v>
      </c>
      <c r="X208" s="10">
        <f t="shared" si="52"/>
        <v>0</v>
      </c>
    </row>
    <row r="209" spans="1:25" s="9" customFormat="1" ht="13.5" customHeight="1" x14ac:dyDescent="0.2">
      <c r="A209" s="78">
        <f t="shared" si="53"/>
        <v>205</v>
      </c>
      <c r="B209" s="373" t="s">
        <v>931</v>
      </c>
      <c r="C209" s="374">
        <v>39444</v>
      </c>
      <c r="D209" s="375"/>
      <c r="E209" s="375"/>
      <c r="F209" s="376"/>
      <c r="G209" s="377"/>
      <c r="H209" s="376"/>
      <c r="I209" s="113">
        <v>5</v>
      </c>
      <c r="J209" s="113">
        <v>0.2</v>
      </c>
      <c r="K209" s="86">
        <v>0</v>
      </c>
      <c r="L209" s="112"/>
      <c r="M209" s="377"/>
      <c r="N209" s="376">
        <v>0</v>
      </c>
      <c r="O209" s="378" t="s">
        <v>886</v>
      </c>
      <c r="P209" s="378">
        <v>1</v>
      </c>
      <c r="Q209" s="379"/>
      <c r="R209" s="380"/>
      <c r="S209" s="380">
        <f t="shared" si="41"/>
        <v>0</v>
      </c>
      <c r="T209" s="380">
        <f t="shared" si="42"/>
        <v>0</v>
      </c>
      <c r="U209" s="380"/>
      <c r="V209" s="381">
        <f t="shared" si="44"/>
        <v>0</v>
      </c>
      <c r="W209" s="10">
        <f t="shared" si="59"/>
        <v>0</v>
      </c>
      <c r="X209" s="10">
        <f t="shared" si="52"/>
        <v>0</v>
      </c>
    </row>
    <row r="210" spans="1:25" s="9" customFormat="1" ht="13.5" customHeight="1" x14ac:dyDescent="0.2">
      <c r="A210" s="64">
        <f t="shared" si="53"/>
        <v>206</v>
      </c>
      <c r="B210" s="77" t="s">
        <v>932</v>
      </c>
      <c r="C210" s="163">
        <v>39483</v>
      </c>
      <c r="D210" s="175">
        <v>10000000</v>
      </c>
      <c r="E210" s="175"/>
      <c r="F210" s="73">
        <f t="shared" ref="F210:F273" si="60">+D210+E210</f>
        <v>10000000</v>
      </c>
      <c r="G210" s="140">
        <v>9999000</v>
      </c>
      <c r="H210" s="73">
        <f t="shared" ref="H210:H223" si="61">+F210-G210</f>
        <v>1000</v>
      </c>
      <c r="I210" s="68">
        <v>5</v>
      </c>
      <c r="J210" s="74">
        <v>0.2</v>
      </c>
      <c r="K210" s="68">
        <v>0</v>
      </c>
      <c r="L210" s="110">
        <f t="shared" ref="L210:L223" si="62">ROUND(IF(F210*J210*K210/12&gt;=H210,H210-1000,F210*J210*K210/12),0)</f>
        <v>0</v>
      </c>
      <c r="M210" s="140">
        <f t="shared" ref="M210:M229" si="63">+G210+L210</f>
        <v>9999000</v>
      </c>
      <c r="N210" s="73">
        <f t="shared" ref="N210:N223" si="64">+F210-M210</f>
        <v>1000</v>
      </c>
      <c r="O210" s="111" t="s">
        <v>909</v>
      </c>
      <c r="P210" s="111">
        <v>2</v>
      </c>
      <c r="Q210" s="70"/>
      <c r="R210" s="23"/>
      <c r="S210" s="23">
        <f t="shared" si="41"/>
        <v>500000</v>
      </c>
      <c r="T210" s="23">
        <f t="shared" si="42"/>
        <v>-499000</v>
      </c>
      <c r="U210" s="23">
        <f t="shared" ref="U210:U229" si="65">N210-1000</f>
        <v>0</v>
      </c>
      <c r="V210" s="10">
        <f t="shared" si="44"/>
        <v>2000000</v>
      </c>
      <c r="W210" s="10">
        <f>ROUND(IF(H210&lt;=1000,0,V210/12*1),0)</f>
        <v>0</v>
      </c>
      <c r="X210" s="10">
        <f t="shared" si="52"/>
        <v>0</v>
      </c>
      <c r="Y210" s="9" t="b">
        <f t="shared" ref="Y210:Y273" si="66">L210=W210</f>
        <v>1</v>
      </c>
    </row>
    <row r="211" spans="1:25" s="9" customFormat="1" ht="13.5" customHeight="1" x14ac:dyDescent="0.2">
      <c r="A211" s="64">
        <f t="shared" si="53"/>
        <v>207</v>
      </c>
      <c r="B211" s="382" t="s">
        <v>933</v>
      </c>
      <c r="C211" s="208">
        <v>39501</v>
      </c>
      <c r="D211" s="383">
        <v>10000000</v>
      </c>
      <c r="E211" s="383"/>
      <c r="F211" s="73">
        <f t="shared" si="60"/>
        <v>10000000</v>
      </c>
      <c r="G211" s="140">
        <v>9999000</v>
      </c>
      <c r="H211" s="73">
        <f t="shared" si="61"/>
        <v>1000</v>
      </c>
      <c r="I211" s="92">
        <v>5</v>
      </c>
      <c r="J211" s="74">
        <v>0.2</v>
      </c>
      <c r="K211" s="68">
        <v>0</v>
      </c>
      <c r="L211" s="110">
        <f t="shared" si="62"/>
        <v>0</v>
      </c>
      <c r="M211" s="140">
        <f t="shared" si="63"/>
        <v>9999000</v>
      </c>
      <c r="N211" s="73">
        <f t="shared" si="64"/>
        <v>1000</v>
      </c>
      <c r="O211" s="122" t="s">
        <v>934</v>
      </c>
      <c r="P211" s="122">
        <v>1</v>
      </c>
      <c r="Q211" s="94"/>
      <c r="R211" s="23"/>
      <c r="S211" s="23">
        <f t="shared" si="41"/>
        <v>500000</v>
      </c>
      <c r="T211" s="23">
        <f t="shared" si="42"/>
        <v>-499000</v>
      </c>
      <c r="U211" s="23">
        <f t="shared" si="65"/>
        <v>0</v>
      </c>
      <c r="V211" s="10">
        <f t="shared" si="44"/>
        <v>2000000</v>
      </c>
      <c r="W211" s="10">
        <f>ROUND(IF(H211&lt;=1000,0,V211/12*1),0)</f>
        <v>0</v>
      </c>
      <c r="X211" s="10">
        <f t="shared" si="52"/>
        <v>0</v>
      </c>
      <c r="Y211" s="9" t="b">
        <f t="shared" si="66"/>
        <v>1</v>
      </c>
    </row>
    <row r="212" spans="1:25" s="9" customFormat="1" ht="13.5" customHeight="1" x14ac:dyDescent="0.2">
      <c r="A212" s="107">
        <f t="shared" si="53"/>
        <v>208</v>
      </c>
      <c r="B212" s="71" t="s">
        <v>229</v>
      </c>
      <c r="C212" s="148">
        <v>39534</v>
      </c>
      <c r="D212" s="372">
        <v>1295000</v>
      </c>
      <c r="E212" s="372"/>
      <c r="F212" s="73">
        <f t="shared" si="60"/>
        <v>1295000</v>
      </c>
      <c r="G212" s="140">
        <v>1294000</v>
      </c>
      <c r="H212" s="73">
        <f t="shared" si="61"/>
        <v>1000</v>
      </c>
      <c r="I212" s="74">
        <v>5</v>
      </c>
      <c r="J212" s="74">
        <v>0.2</v>
      </c>
      <c r="K212" s="68">
        <v>0</v>
      </c>
      <c r="L212" s="110">
        <f t="shared" si="62"/>
        <v>0</v>
      </c>
      <c r="M212" s="140">
        <f t="shared" si="63"/>
        <v>1294000</v>
      </c>
      <c r="N212" s="73">
        <f t="shared" si="64"/>
        <v>1000</v>
      </c>
      <c r="O212" s="209" t="s">
        <v>921</v>
      </c>
      <c r="P212" s="209">
        <v>1</v>
      </c>
      <c r="Q212" s="76"/>
      <c r="R212" s="23"/>
      <c r="S212" s="23">
        <f t="shared" si="41"/>
        <v>64750</v>
      </c>
      <c r="T212" s="23">
        <f t="shared" si="42"/>
        <v>-63750</v>
      </c>
      <c r="U212" s="23">
        <f t="shared" si="65"/>
        <v>0</v>
      </c>
      <c r="V212" s="10">
        <f t="shared" si="44"/>
        <v>259000</v>
      </c>
      <c r="W212" s="10">
        <f>ROUND(IF(H212&lt;=1000,0,V212/12*2),0)</f>
        <v>0</v>
      </c>
      <c r="X212" s="10">
        <f t="shared" si="52"/>
        <v>0</v>
      </c>
      <c r="Y212" s="9" t="b">
        <f t="shared" si="66"/>
        <v>1</v>
      </c>
    </row>
    <row r="213" spans="1:25" s="9" customFormat="1" ht="13.5" customHeight="1" x14ac:dyDescent="0.2">
      <c r="A213" s="107">
        <f t="shared" si="53"/>
        <v>209</v>
      </c>
      <c r="B213" s="77" t="s">
        <v>935</v>
      </c>
      <c r="C213" s="163">
        <v>39548</v>
      </c>
      <c r="D213" s="175">
        <v>3150000</v>
      </c>
      <c r="E213" s="175"/>
      <c r="F213" s="67">
        <f t="shared" si="60"/>
        <v>3150000</v>
      </c>
      <c r="G213" s="110">
        <v>3149000</v>
      </c>
      <c r="H213" s="67">
        <f t="shared" si="61"/>
        <v>1000</v>
      </c>
      <c r="I213" s="74">
        <v>5</v>
      </c>
      <c r="J213" s="74">
        <v>0.2</v>
      </c>
      <c r="K213" s="68">
        <v>0</v>
      </c>
      <c r="L213" s="110">
        <f t="shared" si="62"/>
        <v>0</v>
      </c>
      <c r="M213" s="110">
        <f t="shared" si="63"/>
        <v>3149000</v>
      </c>
      <c r="N213" s="67">
        <f t="shared" si="64"/>
        <v>1000</v>
      </c>
      <c r="O213" s="111" t="s">
        <v>909</v>
      </c>
      <c r="P213" s="111">
        <v>1</v>
      </c>
      <c r="Q213" s="70"/>
      <c r="R213" s="23"/>
      <c r="S213" s="23">
        <f t="shared" si="41"/>
        <v>157500</v>
      </c>
      <c r="T213" s="23">
        <f t="shared" si="42"/>
        <v>-156500</v>
      </c>
      <c r="U213" s="23">
        <f t="shared" si="65"/>
        <v>0</v>
      </c>
      <c r="V213" s="10">
        <f t="shared" si="44"/>
        <v>630000</v>
      </c>
      <c r="W213" s="10">
        <f t="shared" ref="W213:W229" si="67">ROUND(IF(H213&lt;=1000,0,V213/12*3),0)</f>
        <v>0</v>
      </c>
      <c r="X213" s="10">
        <f t="shared" si="52"/>
        <v>0</v>
      </c>
      <c r="Y213" s="9" t="b">
        <f t="shared" si="66"/>
        <v>1</v>
      </c>
    </row>
    <row r="214" spans="1:25" s="9" customFormat="1" ht="13.5" customHeight="1" x14ac:dyDescent="0.2">
      <c r="A214" s="107">
        <f t="shared" si="53"/>
        <v>210</v>
      </c>
      <c r="B214" s="71" t="s">
        <v>936</v>
      </c>
      <c r="C214" s="208">
        <v>39562</v>
      </c>
      <c r="D214" s="383">
        <v>1800000</v>
      </c>
      <c r="E214" s="383"/>
      <c r="F214" s="91">
        <f t="shared" si="60"/>
        <v>1800000</v>
      </c>
      <c r="G214" s="121">
        <v>1799000</v>
      </c>
      <c r="H214" s="91">
        <f t="shared" si="61"/>
        <v>1000</v>
      </c>
      <c r="I214" s="74">
        <v>5</v>
      </c>
      <c r="J214" s="74">
        <v>0.2</v>
      </c>
      <c r="K214" s="68">
        <v>0</v>
      </c>
      <c r="L214" s="110">
        <f t="shared" si="62"/>
        <v>0</v>
      </c>
      <c r="M214" s="110">
        <f t="shared" si="63"/>
        <v>1799000</v>
      </c>
      <c r="N214" s="67">
        <f t="shared" si="64"/>
        <v>1000</v>
      </c>
      <c r="O214" s="230" t="s">
        <v>937</v>
      </c>
      <c r="P214" s="122">
        <v>1</v>
      </c>
      <c r="Q214" s="94"/>
      <c r="R214" s="23"/>
      <c r="S214" s="23">
        <f t="shared" si="41"/>
        <v>90000</v>
      </c>
      <c r="T214" s="23">
        <f t="shared" si="42"/>
        <v>-89000</v>
      </c>
      <c r="U214" s="23">
        <f t="shared" si="65"/>
        <v>0</v>
      </c>
      <c r="V214" s="10">
        <f t="shared" si="44"/>
        <v>360000</v>
      </c>
      <c r="W214" s="10">
        <f t="shared" si="67"/>
        <v>0</v>
      </c>
      <c r="X214" s="10">
        <f t="shared" si="52"/>
        <v>0</v>
      </c>
      <c r="Y214" s="9" t="b">
        <f t="shared" si="66"/>
        <v>1</v>
      </c>
    </row>
    <row r="215" spans="1:25" s="9" customFormat="1" ht="13.5" customHeight="1" x14ac:dyDescent="0.2">
      <c r="A215" s="107">
        <f t="shared" si="53"/>
        <v>211</v>
      </c>
      <c r="B215" s="77" t="s">
        <v>938</v>
      </c>
      <c r="C215" s="163">
        <v>39927</v>
      </c>
      <c r="D215" s="175">
        <v>18000000</v>
      </c>
      <c r="E215" s="175"/>
      <c r="F215" s="67">
        <f t="shared" si="60"/>
        <v>18000000</v>
      </c>
      <c r="G215" s="110">
        <v>17999000</v>
      </c>
      <c r="H215" s="67">
        <f t="shared" si="61"/>
        <v>1000</v>
      </c>
      <c r="I215" s="74">
        <v>5</v>
      </c>
      <c r="J215" s="74">
        <v>0.2</v>
      </c>
      <c r="K215" s="68">
        <v>0</v>
      </c>
      <c r="L215" s="110">
        <f t="shared" si="62"/>
        <v>0</v>
      </c>
      <c r="M215" s="110">
        <f t="shared" si="63"/>
        <v>17999000</v>
      </c>
      <c r="N215" s="67">
        <f t="shared" si="64"/>
        <v>1000</v>
      </c>
      <c r="O215" s="230" t="s">
        <v>306</v>
      </c>
      <c r="P215" s="111">
        <v>1</v>
      </c>
      <c r="Q215" s="70"/>
      <c r="R215" s="23"/>
      <c r="S215" s="23">
        <f t="shared" si="41"/>
        <v>900000</v>
      </c>
      <c r="T215" s="23">
        <f t="shared" si="42"/>
        <v>-899000</v>
      </c>
      <c r="U215" s="23">
        <f t="shared" si="65"/>
        <v>0</v>
      </c>
      <c r="V215" s="10">
        <f t="shared" si="44"/>
        <v>3600000</v>
      </c>
      <c r="W215" s="10">
        <f t="shared" si="67"/>
        <v>0</v>
      </c>
      <c r="X215" s="10">
        <f t="shared" si="52"/>
        <v>0</v>
      </c>
      <c r="Y215" s="9" t="b">
        <f t="shared" si="66"/>
        <v>1</v>
      </c>
    </row>
    <row r="216" spans="1:25" s="9" customFormat="1" ht="13.5" customHeight="1" x14ac:dyDescent="0.2">
      <c r="A216" s="107">
        <f t="shared" si="53"/>
        <v>212</v>
      </c>
      <c r="B216" s="77" t="s">
        <v>939</v>
      </c>
      <c r="C216" s="163">
        <v>39931</v>
      </c>
      <c r="D216" s="175">
        <v>28500000</v>
      </c>
      <c r="E216" s="175"/>
      <c r="F216" s="67">
        <f t="shared" si="60"/>
        <v>28500000</v>
      </c>
      <c r="G216" s="110">
        <v>28499000</v>
      </c>
      <c r="H216" s="67">
        <f t="shared" si="61"/>
        <v>1000</v>
      </c>
      <c r="I216" s="74">
        <v>5</v>
      </c>
      <c r="J216" s="74">
        <v>0.2</v>
      </c>
      <c r="K216" s="68">
        <v>0</v>
      </c>
      <c r="L216" s="110">
        <f t="shared" si="62"/>
        <v>0</v>
      </c>
      <c r="M216" s="110">
        <f t="shared" si="63"/>
        <v>28499000</v>
      </c>
      <c r="N216" s="67">
        <f t="shared" si="64"/>
        <v>1000</v>
      </c>
      <c r="O216" s="230" t="s">
        <v>940</v>
      </c>
      <c r="P216" s="111">
        <v>1</v>
      </c>
      <c r="Q216" s="70"/>
      <c r="R216" s="23"/>
      <c r="S216" s="23">
        <f t="shared" si="41"/>
        <v>1425000</v>
      </c>
      <c r="T216" s="23">
        <f t="shared" si="42"/>
        <v>-1424000</v>
      </c>
      <c r="U216" s="23">
        <f t="shared" si="65"/>
        <v>0</v>
      </c>
      <c r="V216" s="10">
        <f t="shared" si="44"/>
        <v>5700000</v>
      </c>
      <c r="W216" s="10">
        <f t="shared" si="67"/>
        <v>0</v>
      </c>
      <c r="X216" s="10">
        <f t="shared" si="52"/>
        <v>0</v>
      </c>
      <c r="Y216" s="9" t="b">
        <f t="shared" si="66"/>
        <v>1</v>
      </c>
    </row>
    <row r="217" spans="1:25" s="9" customFormat="1" ht="13.5" customHeight="1" x14ac:dyDescent="0.2">
      <c r="A217" s="107">
        <f t="shared" si="53"/>
        <v>213</v>
      </c>
      <c r="B217" s="77" t="s">
        <v>941</v>
      </c>
      <c r="C217" s="163">
        <v>39932</v>
      </c>
      <c r="D217" s="175">
        <v>60000000</v>
      </c>
      <c r="E217" s="175"/>
      <c r="F217" s="67">
        <f t="shared" si="60"/>
        <v>60000000</v>
      </c>
      <c r="G217" s="110">
        <v>59999000</v>
      </c>
      <c r="H217" s="67">
        <f t="shared" si="61"/>
        <v>1000</v>
      </c>
      <c r="I217" s="74">
        <v>5</v>
      </c>
      <c r="J217" s="74">
        <v>0.2</v>
      </c>
      <c r="K217" s="68">
        <v>0</v>
      </c>
      <c r="L217" s="110">
        <f t="shared" si="62"/>
        <v>0</v>
      </c>
      <c r="M217" s="110">
        <f t="shared" si="63"/>
        <v>59999000</v>
      </c>
      <c r="N217" s="67">
        <f t="shared" si="64"/>
        <v>1000</v>
      </c>
      <c r="O217" s="209" t="s">
        <v>909</v>
      </c>
      <c r="P217" s="111">
        <v>1</v>
      </c>
      <c r="Q217" s="70"/>
      <c r="R217" s="23"/>
      <c r="S217" s="23">
        <f t="shared" si="41"/>
        <v>3000000</v>
      </c>
      <c r="T217" s="23">
        <f t="shared" si="42"/>
        <v>-2999000</v>
      </c>
      <c r="U217" s="23">
        <f t="shared" si="65"/>
        <v>0</v>
      </c>
      <c r="V217" s="10">
        <f t="shared" si="44"/>
        <v>12000000</v>
      </c>
      <c r="W217" s="10">
        <f t="shared" si="67"/>
        <v>0</v>
      </c>
      <c r="X217" s="10">
        <f t="shared" si="52"/>
        <v>0</v>
      </c>
      <c r="Y217" s="9" t="b">
        <f t="shared" si="66"/>
        <v>1</v>
      </c>
    </row>
    <row r="218" spans="1:25" s="9" customFormat="1" ht="13.5" customHeight="1" x14ac:dyDescent="0.2">
      <c r="A218" s="107">
        <f t="shared" si="53"/>
        <v>214</v>
      </c>
      <c r="B218" s="77" t="s">
        <v>942</v>
      </c>
      <c r="C218" s="163">
        <v>39933</v>
      </c>
      <c r="D218" s="175">
        <v>9700000</v>
      </c>
      <c r="E218" s="175"/>
      <c r="F218" s="67">
        <f t="shared" si="60"/>
        <v>9700000</v>
      </c>
      <c r="G218" s="110">
        <v>9699000</v>
      </c>
      <c r="H218" s="67">
        <f t="shared" si="61"/>
        <v>1000</v>
      </c>
      <c r="I218" s="74">
        <v>5</v>
      </c>
      <c r="J218" s="74">
        <v>0.2</v>
      </c>
      <c r="K218" s="68">
        <v>0</v>
      </c>
      <c r="L218" s="110">
        <f t="shared" si="62"/>
        <v>0</v>
      </c>
      <c r="M218" s="110">
        <f t="shared" si="63"/>
        <v>9699000</v>
      </c>
      <c r="N218" s="67">
        <f t="shared" si="64"/>
        <v>1000</v>
      </c>
      <c r="O218" s="230" t="s">
        <v>934</v>
      </c>
      <c r="P218" s="111">
        <v>1</v>
      </c>
      <c r="Q218" s="70"/>
      <c r="R218" s="23"/>
      <c r="S218" s="23">
        <f t="shared" si="41"/>
        <v>485000</v>
      </c>
      <c r="T218" s="23">
        <f t="shared" si="42"/>
        <v>-484000</v>
      </c>
      <c r="U218" s="23">
        <f t="shared" si="65"/>
        <v>0</v>
      </c>
      <c r="V218" s="10">
        <f t="shared" si="44"/>
        <v>1940000</v>
      </c>
      <c r="W218" s="10">
        <f t="shared" si="67"/>
        <v>0</v>
      </c>
      <c r="X218" s="10">
        <f t="shared" si="52"/>
        <v>0</v>
      </c>
      <c r="Y218" s="9" t="b">
        <f t="shared" si="66"/>
        <v>1</v>
      </c>
    </row>
    <row r="219" spans="1:25" s="9" customFormat="1" ht="13.5" customHeight="1" x14ac:dyDescent="0.2">
      <c r="A219" s="107">
        <f t="shared" si="53"/>
        <v>215</v>
      </c>
      <c r="B219" s="77" t="s">
        <v>943</v>
      </c>
      <c r="C219" s="163">
        <v>39933</v>
      </c>
      <c r="D219" s="175">
        <v>1950000</v>
      </c>
      <c r="E219" s="175"/>
      <c r="F219" s="67">
        <f t="shared" si="60"/>
        <v>1950000</v>
      </c>
      <c r="G219" s="110">
        <v>1949000</v>
      </c>
      <c r="H219" s="67">
        <f t="shared" si="61"/>
        <v>1000</v>
      </c>
      <c r="I219" s="74">
        <v>5</v>
      </c>
      <c r="J219" s="74">
        <v>0.2</v>
      </c>
      <c r="K219" s="68">
        <v>0</v>
      </c>
      <c r="L219" s="110">
        <f t="shared" si="62"/>
        <v>0</v>
      </c>
      <c r="M219" s="110">
        <f t="shared" si="63"/>
        <v>1949000</v>
      </c>
      <c r="N219" s="67">
        <f t="shared" si="64"/>
        <v>1000</v>
      </c>
      <c r="O219" s="230" t="s">
        <v>819</v>
      </c>
      <c r="P219" s="111">
        <v>1</v>
      </c>
      <c r="Q219" s="70"/>
      <c r="R219" s="23"/>
      <c r="S219" s="23">
        <f t="shared" si="41"/>
        <v>97500</v>
      </c>
      <c r="T219" s="23">
        <f t="shared" si="42"/>
        <v>-96500</v>
      </c>
      <c r="U219" s="23">
        <f t="shared" si="65"/>
        <v>0</v>
      </c>
      <c r="V219" s="10">
        <f t="shared" si="44"/>
        <v>390000</v>
      </c>
      <c r="W219" s="10">
        <f t="shared" si="67"/>
        <v>0</v>
      </c>
      <c r="X219" s="10">
        <f t="shared" si="52"/>
        <v>0</v>
      </c>
      <c r="Y219" s="9" t="b">
        <f t="shared" si="66"/>
        <v>1</v>
      </c>
    </row>
    <row r="220" spans="1:25" s="9" customFormat="1" ht="13.5" customHeight="1" x14ac:dyDescent="0.2">
      <c r="A220" s="107">
        <f t="shared" si="53"/>
        <v>216</v>
      </c>
      <c r="B220" s="77" t="s">
        <v>759</v>
      </c>
      <c r="C220" s="163">
        <v>39946</v>
      </c>
      <c r="D220" s="175">
        <v>610000</v>
      </c>
      <c r="E220" s="175"/>
      <c r="F220" s="67">
        <f t="shared" si="60"/>
        <v>610000</v>
      </c>
      <c r="G220" s="110">
        <v>609000</v>
      </c>
      <c r="H220" s="67">
        <f t="shared" si="61"/>
        <v>1000</v>
      </c>
      <c r="I220" s="74">
        <v>5</v>
      </c>
      <c r="J220" s="74">
        <v>0.2</v>
      </c>
      <c r="K220" s="68">
        <v>0</v>
      </c>
      <c r="L220" s="110">
        <f t="shared" si="62"/>
        <v>0</v>
      </c>
      <c r="M220" s="110">
        <f t="shared" si="63"/>
        <v>609000</v>
      </c>
      <c r="N220" s="67">
        <f t="shared" si="64"/>
        <v>1000</v>
      </c>
      <c r="O220" s="230" t="s">
        <v>761</v>
      </c>
      <c r="P220" s="111">
        <v>1</v>
      </c>
      <c r="Q220" s="70"/>
      <c r="R220" s="23"/>
      <c r="S220" s="23">
        <f t="shared" si="41"/>
        <v>30500</v>
      </c>
      <c r="T220" s="23">
        <f t="shared" si="42"/>
        <v>-29500</v>
      </c>
      <c r="U220" s="23">
        <f t="shared" si="65"/>
        <v>0</v>
      </c>
      <c r="V220" s="10">
        <f t="shared" si="44"/>
        <v>122000</v>
      </c>
      <c r="W220" s="10">
        <f t="shared" si="67"/>
        <v>0</v>
      </c>
      <c r="X220" s="10">
        <f t="shared" si="52"/>
        <v>0</v>
      </c>
      <c r="Y220" s="9" t="b">
        <f t="shared" si="66"/>
        <v>1</v>
      </c>
    </row>
    <row r="221" spans="1:25" s="9" customFormat="1" ht="13.5" customHeight="1" x14ac:dyDescent="0.2">
      <c r="A221" s="107">
        <f t="shared" si="53"/>
        <v>217</v>
      </c>
      <c r="B221" s="382" t="s">
        <v>944</v>
      </c>
      <c r="C221" s="208">
        <v>39964</v>
      </c>
      <c r="D221" s="383">
        <v>74000000</v>
      </c>
      <c r="E221" s="383"/>
      <c r="F221" s="91">
        <f t="shared" si="60"/>
        <v>74000000</v>
      </c>
      <c r="G221" s="121">
        <v>73999000</v>
      </c>
      <c r="H221" s="91">
        <f t="shared" si="61"/>
        <v>1000</v>
      </c>
      <c r="I221" s="74">
        <v>5</v>
      </c>
      <c r="J221" s="74">
        <v>0.2</v>
      </c>
      <c r="K221" s="68">
        <v>0</v>
      </c>
      <c r="L221" s="110">
        <f t="shared" si="62"/>
        <v>0</v>
      </c>
      <c r="M221" s="140">
        <f t="shared" si="63"/>
        <v>73999000</v>
      </c>
      <c r="N221" s="73">
        <f t="shared" si="64"/>
        <v>1000</v>
      </c>
      <c r="O221" s="233" t="s">
        <v>206</v>
      </c>
      <c r="P221" s="122">
        <v>2</v>
      </c>
      <c r="Q221" s="94"/>
      <c r="R221" s="23"/>
      <c r="S221" s="23">
        <f t="shared" si="41"/>
        <v>3700000</v>
      </c>
      <c r="T221" s="23">
        <f t="shared" si="42"/>
        <v>-3699000</v>
      </c>
      <c r="U221" s="23">
        <f t="shared" si="65"/>
        <v>0</v>
      </c>
      <c r="V221" s="10">
        <f t="shared" si="44"/>
        <v>14800000</v>
      </c>
      <c r="W221" s="10">
        <f t="shared" si="67"/>
        <v>0</v>
      </c>
      <c r="X221" s="10">
        <f t="shared" si="52"/>
        <v>0</v>
      </c>
      <c r="Y221" s="9" t="b">
        <f t="shared" si="66"/>
        <v>1</v>
      </c>
    </row>
    <row r="222" spans="1:25" s="9" customFormat="1" ht="13.5" customHeight="1" x14ac:dyDescent="0.2">
      <c r="A222" s="64">
        <f t="shared" si="53"/>
        <v>218</v>
      </c>
      <c r="B222" s="77" t="s">
        <v>945</v>
      </c>
      <c r="C222" s="163">
        <v>40039</v>
      </c>
      <c r="D222" s="175">
        <v>9300000</v>
      </c>
      <c r="E222" s="175"/>
      <c r="F222" s="67">
        <f t="shared" si="60"/>
        <v>9300000</v>
      </c>
      <c r="G222" s="110">
        <v>9299000</v>
      </c>
      <c r="H222" s="67">
        <f t="shared" si="61"/>
        <v>1000</v>
      </c>
      <c r="I222" s="68">
        <v>5</v>
      </c>
      <c r="J222" s="68">
        <v>0.2</v>
      </c>
      <c r="K222" s="68">
        <v>0</v>
      </c>
      <c r="L222" s="110">
        <f t="shared" si="62"/>
        <v>0</v>
      </c>
      <c r="M222" s="110">
        <f t="shared" si="63"/>
        <v>9299000</v>
      </c>
      <c r="N222" s="67">
        <f t="shared" si="64"/>
        <v>1000</v>
      </c>
      <c r="O222" s="111" t="s">
        <v>934</v>
      </c>
      <c r="P222" s="111">
        <v>1</v>
      </c>
      <c r="Q222" s="70"/>
      <c r="R222" s="23"/>
      <c r="S222" s="23">
        <f t="shared" si="41"/>
        <v>465000</v>
      </c>
      <c r="T222" s="23">
        <f t="shared" si="42"/>
        <v>-464000</v>
      </c>
      <c r="U222" s="23">
        <f t="shared" si="65"/>
        <v>0</v>
      </c>
      <c r="V222" s="10">
        <f t="shared" si="44"/>
        <v>1860000</v>
      </c>
      <c r="W222" s="10">
        <f t="shared" si="67"/>
        <v>0</v>
      </c>
      <c r="X222" s="10">
        <f t="shared" si="52"/>
        <v>0</v>
      </c>
      <c r="Y222" s="9" t="b">
        <f t="shared" si="66"/>
        <v>1</v>
      </c>
    </row>
    <row r="223" spans="1:25" s="9" customFormat="1" ht="13.5" customHeight="1" x14ac:dyDescent="0.2">
      <c r="A223" s="64">
        <f t="shared" si="53"/>
        <v>219</v>
      </c>
      <c r="B223" s="77" t="s">
        <v>946</v>
      </c>
      <c r="C223" s="163">
        <v>40056</v>
      </c>
      <c r="D223" s="175">
        <v>11000000</v>
      </c>
      <c r="E223" s="175"/>
      <c r="F223" s="67">
        <f t="shared" si="60"/>
        <v>11000000</v>
      </c>
      <c r="G223" s="110">
        <v>10999000</v>
      </c>
      <c r="H223" s="67">
        <f t="shared" si="61"/>
        <v>1000</v>
      </c>
      <c r="I223" s="68">
        <v>5</v>
      </c>
      <c r="J223" s="68">
        <v>0.2</v>
      </c>
      <c r="K223" s="68">
        <v>0</v>
      </c>
      <c r="L223" s="110">
        <f t="shared" si="62"/>
        <v>0</v>
      </c>
      <c r="M223" s="110">
        <f t="shared" si="63"/>
        <v>10999000</v>
      </c>
      <c r="N223" s="67">
        <f t="shared" si="64"/>
        <v>1000</v>
      </c>
      <c r="O223" s="111" t="s">
        <v>699</v>
      </c>
      <c r="P223" s="111">
        <v>1</v>
      </c>
      <c r="Q223" s="70"/>
      <c r="R223" s="23"/>
      <c r="S223" s="23">
        <f t="shared" si="41"/>
        <v>550000</v>
      </c>
      <c r="T223" s="23">
        <f t="shared" si="42"/>
        <v>-549000</v>
      </c>
      <c r="U223" s="23">
        <f t="shared" si="65"/>
        <v>0</v>
      </c>
      <c r="V223" s="10">
        <f t="shared" si="44"/>
        <v>2200000</v>
      </c>
      <c r="W223" s="10">
        <f t="shared" si="67"/>
        <v>0</v>
      </c>
      <c r="X223" s="10">
        <f t="shared" si="52"/>
        <v>0</v>
      </c>
      <c r="Y223" s="9" t="b">
        <f t="shared" si="66"/>
        <v>1</v>
      </c>
    </row>
    <row r="224" spans="1:25" s="9" customFormat="1" ht="13.5" customHeight="1" x14ac:dyDescent="0.2">
      <c r="A224" s="384">
        <f t="shared" si="53"/>
        <v>220</v>
      </c>
      <c r="B224" s="385" t="s">
        <v>947</v>
      </c>
      <c r="C224" s="218">
        <v>40102</v>
      </c>
      <c r="D224" s="386">
        <v>0</v>
      </c>
      <c r="E224" s="387"/>
      <c r="F224" s="219">
        <f t="shared" si="60"/>
        <v>0</v>
      </c>
      <c r="G224" s="221">
        <v>0</v>
      </c>
      <c r="H224" s="219">
        <v>0</v>
      </c>
      <c r="I224" s="222">
        <v>5</v>
      </c>
      <c r="J224" s="222">
        <v>0.2</v>
      </c>
      <c r="K224" s="222">
        <v>0</v>
      </c>
      <c r="L224" s="221"/>
      <c r="M224" s="221">
        <f t="shared" si="63"/>
        <v>0</v>
      </c>
      <c r="N224" s="219">
        <v>0</v>
      </c>
      <c r="O224" s="388" t="s">
        <v>948</v>
      </c>
      <c r="P224" s="232">
        <v>2</v>
      </c>
      <c r="Q224" s="225" t="s">
        <v>949</v>
      </c>
      <c r="R224" s="23"/>
      <c r="S224" s="23">
        <f t="shared" si="41"/>
        <v>0</v>
      </c>
      <c r="T224" s="23">
        <f t="shared" si="42"/>
        <v>0</v>
      </c>
      <c r="U224" s="23">
        <f t="shared" si="65"/>
        <v>-1000</v>
      </c>
      <c r="V224" s="10">
        <f t="shared" si="44"/>
        <v>0</v>
      </c>
      <c r="W224" s="10">
        <f t="shared" si="67"/>
        <v>0</v>
      </c>
      <c r="X224" s="10">
        <f t="shared" si="52"/>
        <v>0</v>
      </c>
      <c r="Y224" s="9" t="b">
        <f t="shared" si="66"/>
        <v>1</v>
      </c>
    </row>
    <row r="225" spans="1:25" s="9" customFormat="1" ht="13.5" customHeight="1" x14ac:dyDescent="0.2">
      <c r="A225" s="64">
        <f t="shared" si="53"/>
        <v>221</v>
      </c>
      <c r="B225" s="206" t="s">
        <v>950</v>
      </c>
      <c r="C225" s="163">
        <v>40117</v>
      </c>
      <c r="D225" s="175">
        <v>20000000</v>
      </c>
      <c r="E225" s="389"/>
      <c r="F225" s="67">
        <f t="shared" si="60"/>
        <v>20000000</v>
      </c>
      <c r="G225" s="110">
        <v>19999000</v>
      </c>
      <c r="H225" s="67">
        <f>+F225-G225</f>
        <v>1000</v>
      </c>
      <c r="I225" s="68">
        <v>5</v>
      </c>
      <c r="J225" s="68">
        <v>0.2</v>
      </c>
      <c r="K225" s="68">
        <v>0</v>
      </c>
      <c r="L225" s="110">
        <f>ROUND(IF(F225*J225*K225/12&gt;=H225,H225-1000,F225*J225*K225/12),0)</f>
        <v>0</v>
      </c>
      <c r="M225" s="110">
        <f t="shared" si="63"/>
        <v>19999000</v>
      </c>
      <c r="N225" s="67">
        <f t="shared" ref="N225:N238" si="68">+F225-M225</f>
        <v>1000</v>
      </c>
      <c r="O225" s="145" t="s">
        <v>758</v>
      </c>
      <c r="P225" s="111">
        <v>1</v>
      </c>
      <c r="Q225" s="70"/>
      <c r="R225" s="23"/>
      <c r="S225" s="23">
        <f t="shared" si="41"/>
        <v>1000000</v>
      </c>
      <c r="T225" s="23">
        <f t="shared" si="42"/>
        <v>-999000</v>
      </c>
      <c r="U225" s="23">
        <f t="shared" si="65"/>
        <v>0</v>
      </c>
      <c r="V225" s="10">
        <f t="shared" si="44"/>
        <v>4000000</v>
      </c>
      <c r="W225" s="10">
        <f t="shared" si="67"/>
        <v>0</v>
      </c>
      <c r="X225" s="10">
        <f t="shared" si="52"/>
        <v>0</v>
      </c>
      <c r="Y225" s="9" t="b">
        <f t="shared" si="66"/>
        <v>1</v>
      </c>
    </row>
    <row r="226" spans="1:25" s="9" customFormat="1" ht="13.5" customHeight="1" x14ac:dyDescent="0.2">
      <c r="A226" s="64">
        <f t="shared" si="53"/>
        <v>222</v>
      </c>
      <c r="B226" s="206" t="s">
        <v>951</v>
      </c>
      <c r="C226" s="163">
        <v>40162</v>
      </c>
      <c r="D226" s="175">
        <v>30200000</v>
      </c>
      <c r="E226" s="389"/>
      <c r="F226" s="67">
        <f t="shared" si="60"/>
        <v>30200000</v>
      </c>
      <c r="G226" s="110">
        <v>30199000</v>
      </c>
      <c r="H226" s="67">
        <f>+F226-G226</f>
        <v>1000</v>
      </c>
      <c r="I226" s="68">
        <v>5</v>
      </c>
      <c r="J226" s="68">
        <v>0.2</v>
      </c>
      <c r="K226" s="68">
        <v>0</v>
      </c>
      <c r="L226" s="110">
        <f>ROUND(IF(F226*J226*K226/12&gt;=H226,H226-1000,F226*J226*K226/12),0)</f>
        <v>0</v>
      </c>
      <c r="M226" s="110">
        <f t="shared" si="63"/>
        <v>30199000</v>
      </c>
      <c r="N226" s="67">
        <f t="shared" si="68"/>
        <v>1000</v>
      </c>
      <c r="O226" s="145" t="s">
        <v>940</v>
      </c>
      <c r="P226" s="111">
        <v>1</v>
      </c>
      <c r="Q226" s="70"/>
      <c r="R226" s="23"/>
      <c r="S226" s="23">
        <f t="shared" si="41"/>
        <v>1510000</v>
      </c>
      <c r="T226" s="23">
        <f t="shared" si="42"/>
        <v>-1509000</v>
      </c>
      <c r="U226" s="23">
        <f t="shared" si="65"/>
        <v>0</v>
      </c>
      <c r="V226" s="10">
        <f t="shared" si="44"/>
        <v>6040000</v>
      </c>
      <c r="W226" s="10">
        <f t="shared" si="67"/>
        <v>0</v>
      </c>
      <c r="X226" s="10">
        <f t="shared" si="52"/>
        <v>0</v>
      </c>
      <c r="Y226" s="9" t="b">
        <f t="shared" si="66"/>
        <v>1</v>
      </c>
    </row>
    <row r="227" spans="1:25" s="9" customFormat="1" ht="13.5" customHeight="1" x14ac:dyDescent="0.2">
      <c r="A227" s="64">
        <f t="shared" si="53"/>
        <v>223</v>
      </c>
      <c r="B227" s="206" t="s">
        <v>952</v>
      </c>
      <c r="C227" s="163">
        <v>40162</v>
      </c>
      <c r="D227" s="175">
        <v>29800000</v>
      </c>
      <c r="E227" s="389"/>
      <c r="F227" s="67">
        <f t="shared" si="60"/>
        <v>29800000</v>
      </c>
      <c r="G227" s="110">
        <v>29799000</v>
      </c>
      <c r="H227" s="67">
        <f>+F227-G227</f>
        <v>1000</v>
      </c>
      <c r="I227" s="68">
        <v>5</v>
      </c>
      <c r="J227" s="68">
        <v>0.2</v>
      </c>
      <c r="K227" s="68">
        <v>0</v>
      </c>
      <c r="L227" s="110">
        <f>ROUND(IF(F227*J227*K227/12&gt;=H227,H227-1000,F227*J227*K227/12),0)</f>
        <v>0</v>
      </c>
      <c r="M227" s="110">
        <f t="shared" si="63"/>
        <v>29799000</v>
      </c>
      <c r="N227" s="67">
        <f t="shared" si="68"/>
        <v>1000</v>
      </c>
      <c r="O227" s="145" t="s">
        <v>940</v>
      </c>
      <c r="P227" s="111">
        <v>1</v>
      </c>
      <c r="Q227" s="70"/>
      <c r="R227" s="23"/>
      <c r="S227" s="23">
        <f t="shared" si="41"/>
        <v>1490000</v>
      </c>
      <c r="T227" s="23">
        <f t="shared" si="42"/>
        <v>-1489000</v>
      </c>
      <c r="U227" s="23">
        <f t="shared" si="65"/>
        <v>0</v>
      </c>
      <c r="V227" s="10">
        <f t="shared" si="44"/>
        <v>5960000</v>
      </c>
      <c r="W227" s="10">
        <f t="shared" si="67"/>
        <v>0</v>
      </c>
      <c r="X227" s="10">
        <f t="shared" si="52"/>
        <v>0</v>
      </c>
      <c r="Y227" s="9" t="b">
        <f t="shared" si="66"/>
        <v>1</v>
      </c>
    </row>
    <row r="228" spans="1:25" s="9" customFormat="1" ht="13.5" customHeight="1" x14ac:dyDescent="0.2">
      <c r="A228" s="64">
        <f t="shared" si="53"/>
        <v>224</v>
      </c>
      <c r="B228" s="206" t="s">
        <v>953</v>
      </c>
      <c r="C228" s="163">
        <v>40178</v>
      </c>
      <c r="D228" s="175">
        <v>77500000</v>
      </c>
      <c r="E228" s="389"/>
      <c r="F228" s="67">
        <f t="shared" si="60"/>
        <v>77500000</v>
      </c>
      <c r="G228" s="110">
        <v>77499000</v>
      </c>
      <c r="H228" s="67">
        <f>+F228-G228</f>
        <v>1000</v>
      </c>
      <c r="I228" s="68">
        <v>5</v>
      </c>
      <c r="J228" s="68">
        <v>0.2</v>
      </c>
      <c r="K228" s="68">
        <v>0</v>
      </c>
      <c r="L228" s="110">
        <f>ROUND(IF(F228*J228*K228/12&gt;=H228,H228-1000,F228*J228*K228/12),0)</f>
        <v>0</v>
      </c>
      <c r="M228" s="110">
        <f t="shared" si="63"/>
        <v>77499000</v>
      </c>
      <c r="N228" s="67">
        <f t="shared" si="68"/>
        <v>1000</v>
      </c>
      <c r="O228" s="145" t="s">
        <v>954</v>
      </c>
      <c r="P228" s="111">
        <v>1</v>
      </c>
      <c r="Q228" s="70"/>
      <c r="R228" s="23"/>
      <c r="S228" s="23">
        <f t="shared" si="41"/>
        <v>3875000</v>
      </c>
      <c r="T228" s="23">
        <f t="shared" si="42"/>
        <v>-3874000</v>
      </c>
      <c r="U228" s="23">
        <f t="shared" si="65"/>
        <v>0</v>
      </c>
      <c r="V228" s="10">
        <f t="shared" si="44"/>
        <v>15500000</v>
      </c>
      <c r="W228" s="10">
        <f t="shared" si="67"/>
        <v>0</v>
      </c>
      <c r="X228" s="10">
        <f t="shared" si="52"/>
        <v>0</v>
      </c>
      <c r="Y228" s="9" t="b">
        <f t="shared" si="66"/>
        <v>1</v>
      </c>
    </row>
    <row r="229" spans="1:25" s="9" customFormat="1" ht="13.5" customHeight="1" x14ac:dyDescent="0.2">
      <c r="A229" s="64">
        <f t="shared" si="53"/>
        <v>225</v>
      </c>
      <c r="B229" s="77" t="s">
        <v>947</v>
      </c>
      <c r="C229" s="163">
        <v>40199</v>
      </c>
      <c r="D229" s="175">
        <v>35000000</v>
      </c>
      <c r="E229" s="175"/>
      <c r="F229" s="67">
        <f t="shared" si="60"/>
        <v>35000000</v>
      </c>
      <c r="G229" s="110">
        <v>34999000</v>
      </c>
      <c r="H229" s="67">
        <f>+F229-G229</f>
        <v>1000</v>
      </c>
      <c r="I229" s="68">
        <v>5</v>
      </c>
      <c r="J229" s="68">
        <v>0.2</v>
      </c>
      <c r="K229" s="68">
        <v>0</v>
      </c>
      <c r="L229" s="110">
        <f>ROUND(IF(F229*J229*K229/12&gt;=H229,H229-1000,F229*J229*K229/12),0)</f>
        <v>0</v>
      </c>
      <c r="M229" s="110">
        <f t="shared" si="63"/>
        <v>34999000</v>
      </c>
      <c r="N229" s="67">
        <f t="shared" si="68"/>
        <v>1000</v>
      </c>
      <c r="O229" s="145" t="s">
        <v>948</v>
      </c>
      <c r="P229" s="111">
        <v>1</v>
      </c>
      <c r="Q229" s="70"/>
      <c r="R229" s="23"/>
      <c r="S229" s="23">
        <f t="shared" si="41"/>
        <v>1750000</v>
      </c>
      <c r="T229" s="23">
        <f t="shared" si="42"/>
        <v>-1749000</v>
      </c>
      <c r="U229" s="23">
        <f t="shared" si="65"/>
        <v>0</v>
      </c>
      <c r="V229" s="10">
        <f t="shared" si="44"/>
        <v>7000000</v>
      </c>
      <c r="W229" s="10">
        <f t="shared" si="67"/>
        <v>0</v>
      </c>
      <c r="X229" s="10">
        <f t="shared" si="52"/>
        <v>0</v>
      </c>
      <c r="Y229" s="9" t="b">
        <f t="shared" si="66"/>
        <v>1</v>
      </c>
    </row>
    <row r="230" spans="1:25" s="9" customFormat="1" ht="13.5" customHeight="1" x14ac:dyDescent="0.2">
      <c r="A230" s="390">
        <f t="shared" si="53"/>
        <v>226</v>
      </c>
      <c r="B230" s="391" t="s">
        <v>947</v>
      </c>
      <c r="C230" s="392">
        <v>40199</v>
      </c>
      <c r="D230" s="393">
        <v>0</v>
      </c>
      <c r="E230" s="393">
        <v>0</v>
      </c>
      <c r="F230" s="394">
        <f t="shared" si="60"/>
        <v>0</v>
      </c>
      <c r="G230" s="395">
        <v>0</v>
      </c>
      <c r="H230" s="394">
        <v>0</v>
      </c>
      <c r="I230" s="396">
        <v>5</v>
      </c>
      <c r="J230" s="396">
        <v>0.2</v>
      </c>
      <c r="K230" s="396">
        <v>0</v>
      </c>
      <c r="L230" s="395"/>
      <c r="M230" s="395">
        <v>0</v>
      </c>
      <c r="N230" s="394">
        <f t="shared" si="68"/>
        <v>0</v>
      </c>
      <c r="O230" s="397" t="s">
        <v>948</v>
      </c>
      <c r="P230" s="398">
        <v>5</v>
      </c>
      <c r="Q230" s="399" t="s">
        <v>955</v>
      </c>
      <c r="R230" s="23"/>
      <c r="S230" s="23">
        <v>0</v>
      </c>
      <c r="T230" s="23">
        <f t="shared" si="42"/>
        <v>0</v>
      </c>
      <c r="U230" s="23">
        <f>N230</f>
        <v>0</v>
      </c>
      <c r="V230" s="10">
        <f t="shared" si="44"/>
        <v>0</v>
      </c>
      <c r="W230" s="10">
        <v>0</v>
      </c>
      <c r="X230" s="10">
        <f t="shared" si="52"/>
        <v>0</v>
      </c>
      <c r="Y230" s="9" t="b">
        <f t="shared" si="66"/>
        <v>1</v>
      </c>
    </row>
    <row r="231" spans="1:25" s="9" customFormat="1" ht="13.5" customHeight="1" x14ac:dyDescent="0.2">
      <c r="A231" s="64">
        <f t="shared" si="53"/>
        <v>227</v>
      </c>
      <c r="B231" s="77" t="s">
        <v>956</v>
      </c>
      <c r="C231" s="163">
        <v>40199</v>
      </c>
      <c r="D231" s="175">
        <v>4700000</v>
      </c>
      <c r="E231" s="175"/>
      <c r="F231" s="67">
        <f t="shared" si="60"/>
        <v>4700000</v>
      </c>
      <c r="G231" s="110">
        <v>4699000</v>
      </c>
      <c r="H231" s="67">
        <f t="shared" ref="H231:H238" si="69">+F231-G231</f>
        <v>1000</v>
      </c>
      <c r="I231" s="68">
        <v>5</v>
      </c>
      <c r="J231" s="68">
        <v>0.2</v>
      </c>
      <c r="K231" s="68">
        <v>0</v>
      </c>
      <c r="L231" s="110">
        <f t="shared" ref="L231:L238" si="70">ROUND(IF(F231*J231*K231/12&gt;=H231,H231-1000,F231*J231*K231/12),0)</f>
        <v>0</v>
      </c>
      <c r="M231" s="110">
        <f t="shared" ref="M231:M260" si="71">+G231+L231</f>
        <v>4699000</v>
      </c>
      <c r="N231" s="67">
        <f t="shared" si="68"/>
        <v>1000</v>
      </c>
      <c r="O231" s="145" t="s">
        <v>948</v>
      </c>
      <c r="P231" s="111">
        <v>1</v>
      </c>
      <c r="Q231" s="70"/>
      <c r="R231" s="23"/>
      <c r="S231" s="23">
        <f t="shared" ref="S231:S294" si="72">D231*0.05</f>
        <v>235000</v>
      </c>
      <c r="T231" s="23">
        <f t="shared" ref="T231:T294" si="73">N231-S231</f>
        <v>-234000</v>
      </c>
      <c r="U231" s="23">
        <f t="shared" ref="U231:U294" si="74">N231-1000</f>
        <v>0</v>
      </c>
      <c r="V231" s="10">
        <f t="shared" ref="V231:V294" si="75">F231/I231</f>
        <v>940000</v>
      </c>
      <c r="W231" s="10">
        <f t="shared" ref="W231:W294" si="76">ROUND(IF(H231&lt;=1000,0,V231/12*3),0)</f>
        <v>0</v>
      </c>
      <c r="X231" s="10">
        <f t="shared" si="52"/>
        <v>0</v>
      </c>
      <c r="Y231" s="9" t="b">
        <f t="shared" si="66"/>
        <v>1</v>
      </c>
    </row>
    <row r="232" spans="1:25" s="9" customFormat="1" ht="13.5" customHeight="1" x14ac:dyDescent="0.2">
      <c r="A232" s="64">
        <f t="shared" si="53"/>
        <v>228</v>
      </c>
      <c r="B232" s="77" t="s">
        <v>957</v>
      </c>
      <c r="C232" s="163">
        <v>40199</v>
      </c>
      <c r="D232" s="175">
        <v>2000000</v>
      </c>
      <c r="E232" s="175"/>
      <c r="F232" s="67">
        <f t="shared" si="60"/>
        <v>2000000</v>
      </c>
      <c r="G232" s="110">
        <v>1999000</v>
      </c>
      <c r="H232" s="67">
        <f t="shared" si="69"/>
        <v>1000</v>
      </c>
      <c r="I232" s="68">
        <v>5</v>
      </c>
      <c r="J232" s="68">
        <v>0.2</v>
      </c>
      <c r="K232" s="68">
        <v>0</v>
      </c>
      <c r="L232" s="110">
        <f t="shared" si="70"/>
        <v>0</v>
      </c>
      <c r="M232" s="110">
        <f t="shared" si="71"/>
        <v>1999000</v>
      </c>
      <c r="N232" s="67">
        <f t="shared" si="68"/>
        <v>1000</v>
      </c>
      <c r="O232" s="145" t="s">
        <v>948</v>
      </c>
      <c r="P232" s="111">
        <v>1</v>
      </c>
      <c r="Q232" s="70"/>
      <c r="R232" s="23"/>
      <c r="S232" s="23">
        <f t="shared" si="72"/>
        <v>100000</v>
      </c>
      <c r="T232" s="23">
        <f t="shared" si="73"/>
        <v>-99000</v>
      </c>
      <c r="U232" s="23">
        <f t="shared" si="74"/>
        <v>0</v>
      </c>
      <c r="V232" s="10">
        <f t="shared" si="75"/>
        <v>400000</v>
      </c>
      <c r="W232" s="10">
        <f t="shared" si="76"/>
        <v>0</v>
      </c>
      <c r="X232" s="10">
        <f t="shared" si="52"/>
        <v>0</v>
      </c>
      <c r="Y232" s="9" t="b">
        <f t="shared" si="66"/>
        <v>1</v>
      </c>
    </row>
    <row r="233" spans="1:25" s="9" customFormat="1" ht="13.5" customHeight="1" x14ac:dyDescent="0.2">
      <c r="A233" s="64">
        <f t="shared" si="53"/>
        <v>229</v>
      </c>
      <c r="B233" s="77" t="s">
        <v>958</v>
      </c>
      <c r="C233" s="163">
        <v>40203</v>
      </c>
      <c r="D233" s="175">
        <v>1950000</v>
      </c>
      <c r="E233" s="175"/>
      <c r="F233" s="67">
        <f t="shared" si="60"/>
        <v>1950000</v>
      </c>
      <c r="G233" s="110">
        <v>1949000</v>
      </c>
      <c r="H233" s="67">
        <f t="shared" si="69"/>
        <v>1000</v>
      </c>
      <c r="I233" s="68">
        <v>5</v>
      </c>
      <c r="J233" s="68">
        <v>0.2</v>
      </c>
      <c r="K233" s="68">
        <v>0</v>
      </c>
      <c r="L233" s="110">
        <f t="shared" si="70"/>
        <v>0</v>
      </c>
      <c r="M233" s="110">
        <f t="shared" si="71"/>
        <v>1949000</v>
      </c>
      <c r="N233" s="67">
        <f t="shared" si="68"/>
        <v>1000</v>
      </c>
      <c r="O233" s="111" t="s">
        <v>959</v>
      </c>
      <c r="P233" s="111">
        <v>1</v>
      </c>
      <c r="Q233" s="70"/>
      <c r="R233" s="23"/>
      <c r="S233" s="23">
        <f t="shared" si="72"/>
        <v>97500</v>
      </c>
      <c r="T233" s="23">
        <f t="shared" si="73"/>
        <v>-96500</v>
      </c>
      <c r="U233" s="23">
        <f t="shared" si="74"/>
        <v>0</v>
      </c>
      <c r="V233" s="10">
        <f t="shared" si="75"/>
        <v>390000</v>
      </c>
      <c r="W233" s="10">
        <f t="shared" si="76"/>
        <v>0</v>
      </c>
      <c r="X233" s="10">
        <f t="shared" si="52"/>
        <v>0</v>
      </c>
      <c r="Y233" s="9" t="b">
        <f t="shared" si="66"/>
        <v>1</v>
      </c>
    </row>
    <row r="234" spans="1:25" s="9" customFormat="1" ht="13.5" customHeight="1" x14ac:dyDescent="0.2">
      <c r="A234" s="64">
        <f t="shared" si="53"/>
        <v>230</v>
      </c>
      <c r="B234" s="77" t="s">
        <v>960</v>
      </c>
      <c r="C234" s="163">
        <v>40207</v>
      </c>
      <c r="D234" s="175">
        <v>84800000</v>
      </c>
      <c r="E234" s="175"/>
      <c r="F234" s="67">
        <f t="shared" si="60"/>
        <v>84800000</v>
      </c>
      <c r="G234" s="110">
        <v>84799000</v>
      </c>
      <c r="H234" s="67">
        <f t="shared" si="69"/>
        <v>1000</v>
      </c>
      <c r="I234" s="68">
        <v>5</v>
      </c>
      <c r="J234" s="68">
        <v>0.2</v>
      </c>
      <c r="K234" s="68">
        <v>0</v>
      </c>
      <c r="L234" s="110">
        <f t="shared" si="70"/>
        <v>0</v>
      </c>
      <c r="M234" s="110">
        <f t="shared" si="71"/>
        <v>84799000</v>
      </c>
      <c r="N234" s="67">
        <f t="shared" si="68"/>
        <v>1000</v>
      </c>
      <c r="O234" s="111" t="s">
        <v>699</v>
      </c>
      <c r="P234" s="111">
        <v>16</v>
      </c>
      <c r="Q234" s="70"/>
      <c r="R234" s="23"/>
      <c r="S234" s="23">
        <f t="shared" si="72"/>
        <v>4240000</v>
      </c>
      <c r="T234" s="23">
        <f t="shared" si="73"/>
        <v>-4239000</v>
      </c>
      <c r="U234" s="23">
        <f t="shared" si="74"/>
        <v>0</v>
      </c>
      <c r="V234" s="10">
        <f t="shared" si="75"/>
        <v>16960000</v>
      </c>
      <c r="W234" s="10">
        <f t="shared" si="76"/>
        <v>0</v>
      </c>
      <c r="X234" s="10">
        <f t="shared" si="52"/>
        <v>0</v>
      </c>
      <c r="Y234" s="9" t="b">
        <f t="shared" si="66"/>
        <v>1</v>
      </c>
    </row>
    <row r="235" spans="1:25" s="9" customFormat="1" ht="13.5" customHeight="1" x14ac:dyDescent="0.2">
      <c r="A235" s="64">
        <f t="shared" si="53"/>
        <v>231</v>
      </c>
      <c r="B235" s="77" t="s">
        <v>961</v>
      </c>
      <c r="C235" s="163">
        <v>40207</v>
      </c>
      <c r="D235" s="175">
        <v>29000000</v>
      </c>
      <c r="E235" s="175"/>
      <c r="F235" s="67">
        <f t="shared" si="60"/>
        <v>29000000</v>
      </c>
      <c r="G235" s="110">
        <v>28999000</v>
      </c>
      <c r="H235" s="67">
        <f t="shared" si="69"/>
        <v>1000</v>
      </c>
      <c r="I235" s="68">
        <v>5</v>
      </c>
      <c r="J235" s="68">
        <v>0.2</v>
      </c>
      <c r="K235" s="68">
        <v>0</v>
      </c>
      <c r="L235" s="110">
        <f t="shared" si="70"/>
        <v>0</v>
      </c>
      <c r="M235" s="110">
        <f t="shared" si="71"/>
        <v>28999000</v>
      </c>
      <c r="N235" s="67">
        <f t="shared" si="68"/>
        <v>1000</v>
      </c>
      <c r="O235" s="111" t="s">
        <v>962</v>
      </c>
      <c r="P235" s="111">
        <v>1</v>
      </c>
      <c r="Q235" s="70"/>
      <c r="R235" s="23"/>
      <c r="S235" s="23">
        <f t="shared" si="72"/>
        <v>1450000</v>
      </c>
      <c r="T235" s="23">
        <f t="shared" si="73"/>
        <v>-1449000</v>
      </c>
      <c r="U235" s="23">
        <f t="shared" si="74"/>
        <v>0</v>
      </c>
      <c r="V235" s="10">
        <f t="shared" si="75"/>
        <v>5800000</v>
      </c>
      <c r="W235" s="10">
        <f t="shared" si="76"/>
        <v>0</v>
      </c>
      <c r="X235" s="10">
        <f t="shared" si="52"/>
        <v>0</v>
      </c>
      <c r="Y235" s="9" t="b">
        <f t="shared" si="66"/>
        <v>1</v>
      </c>
    </row>
    <row r="236" spans="1:25" s="9" customFormat="1" ht="13.5" customHeight="1" x14ac:dyDescent="0.2">
      <c r="A236" s="64">
        <f t="shared" si="53"/>
        <v>232</v>
      </c>
      <c r="B236" s="77" t="s">
        <v>958</v>
      </c>
      <c r="C236" s="163">
        <v>40211</v>
      </c>
      <c r="D236" s="175">
        <v>1950000</v>
      </c>
      <c r="E236" s="175"/>
      <c r="F236" s="67">
        <f t="shared" si="60"/>
        <v>1950000</v>
      </c>
      <c r="G236" s="110">
        <v>1949000</v>
      </c>
      <c r="H236" s="67">
        <f t="shared" si="69"/>
        <v>1000</v>
      </c>
      <c r="I236" s="68">
        <v>5</v>
      </c>
      <c r="J236" s="68">
        <v>0.2</v>
      </c>
      <c r="K236" s="68">
        <v>0</v>
      </c>
      <c r="L236" s="110">
        <f t="shared" si="70"/>
        <v>0</v>
      </c>
      <c r="M236" s="110">
        <f t="shared" si="71"/>
        <v>1949000</v>
      </c>
      <c r="N236" s="67">
        <f t="shared" si="68"/>
        <v>1000</v>
      </c>
      <c r="O236" s="111" t="s">
        <v>959</v>
      </c>
      <c r="P236" s="111">
        <v>1</v>
      </c>
      <c r="Q236" s="70"/>
      <c r="R236" s="23"/>
      <c r="S236" s="23">
        <f t="shared" si="72"/>
        <v>97500</v>
      </c>
      <c r="T236" s="23">
        <f t="shared" si="73"/>
        <v>-96500</v>
      </c>
      <c r="U236" s="23">
        <f t="shared" si="74"/>
        <v>0</v>
      </c>
      <c r="V236" s="10">
        <f t="shared" si="75"/>
        <v>390000</v>
      </c>
      <c r="W236" s="10">
        <f t="shared" si="76"/>
        <v>0</v>
      </c>
      <c r="X236" s="10">
        <f t="shared" si="52"/>
        <v>0</v>
      </c>
      <c r="Y236" s="9" t="b">
        <f t="shared" si="66"/>
        <v>1</v>
      </c>
    </row>
    <row r="237" spans="1:25" s="9" customFormat="1" ht="13.5" customHeight="1" x14ac:dyDescent="0.2">
      <c r="A237" s="64">
        <f t="shared" si="53"/>
        <v>233</v>
      </c>
      <c r="B237" s="77" t="s">
        <v>938</v>
      </c>
      <c r="C237" s="163">
        <v>40217</v>
      </c>
      <c r="D237" s="175">
        <v>18000000</v>
      </c>
      <c r="E237" s="175"/>
      <c r="F237" s="67">
        <f t="shared" si="60"/>
        <v>18000000</v>
      </c>
      <c r="G237" s="110">
        <v>17999000</v>
      </c>
      <c r="H237" s="67">
        <f t="shared" si="69"/>
        <v>1000</v>
      </c>
      <c r="I237" s="68">
        <v>5</v>
      </c>
      <c r="J237" s="68">
        <v>0.2</v>
      </c>
      <c r="K237" s="68">
        <v>0</v>
      </c>
      <c r="L237" s="110">
        <f t="shared" si="70"/>
        <v>0</v>
      </c>
      <c r="M237" s="110">
        <f t="shared" si="71"/>
        <v>17999000</v>
      </c>
      <c r="N237" s="67">
        <f t="shared" si="68"/>
        <v>1000</v>
      </c>
      <c r="O237" s="111" t="s">
        <v>306</v>
      </c>
      <c r="P237" s="111">
        <v>1</v>
      </c>
      <c r="Q237" s="70"/>
      <c r="R237" s="23"/>
      <c r="S237" s="23">
        <f t="shared" si="72"/>
        <v>900000</v>
      </c>
      <c r="T237" s="23">
        <f t="shared" si="73"/>
        <v>-899000</v>
      </c>
      <c r="U237" s="23">
        <f t="shared" si="74"/>
        <v>0</v>
      </c>
      <c r="V237" s="10">
        <f t="shared" si="75"/>
        <v>3600000</v>
      </c>
      <c r="W237" s="10">
        <f t="shared" si="76"/>
        <v>0</v>
      </c>
      <c r="X237" s="10">
        <f t="shared" si="52"/>
        <v>0</v>
      </c>
      <c r="Y237" s="9" t="b">
        <f t="shared" si="66"/>
        <v>1</v>
      </c>
    </row>
    <row r="238" spans="1:25" s="9" customFormat="1" ht="13.5" customHeight="1" x14ac:dyDescent="0.2">
      <c r="A238" s="64">
        <f t="shared" si="53"/>
        <v>234</v>
      </c>
      <c r="B238" s="206" t="s">
        <v>963</v>
      </c>
      <c r="C238" s="163">
        <v>40234</v>
      </c>
      <c r="D238" s="67">
        <v>62000000</v>
      </c>
      <c r="E238" s="235"/>
      <c r="F238" s="67">
        <f t="shared" si="60"/>
        <v>62000000</v>
      </c>
      <c r="G238" s="110">
        <v>61999000</v>
      </c>
      <c r="H238" s="67">
        <f t="shared" si="69"/>
        <v>1000</v>
      </c>
      <c r="I238" s="68">
        <v>5</v>
      </c>
      <c r="J238" s="68">
        <v>0.2</v>
      </c>
      <c r="K238" s="68">
        <v>0</v>
      </c>
      <c r="L238" s="110">
        <f t="shared" si="70"/>
        <v>0</v>
      </c>
      <c r="M238" s="110">
        <f t="shared" si="71"/>
        <v>61999000</v>
      </c>
      <c r="N238" s="67">
        <f t="shared" si="68"/>
        <v>1000</v>
      </c>
      <c r="O238" s="238" t="s">
        <v>352</v>
      </c>
      <c r="P238" s="111">
        <v>2</v>
      </c>
      <c r="Q238" s="70"/>
      <c r="R238" s="23"/>
      <c r="S238" s="23">
        <f t="shared" si="72"/>
        <v>3100000</v>
      </c>
      <c r="T238" s="23">
        <f t="shared" si="73"/>
        <v>-3099000</v>
      </c>
      <c r="U238" s="23">
        <f t="shared" si="74"/>
        <v>0</v>
      </c>
      <c r="V238" s="10">
        <f t="shared" si="75"/>
        <v>12400000</v>
      </c>
      <c r="W238" s="10">
        <f t="shared" si="76"/>
        <v>0</v>
      </c>
      <c r="X238" s="10">
        <f t="shared" si="52"/>
        <v>0</v>
      </c>
      <c r="Y238" s="9" t="b">
        <f t="shared" si="66"/>
        <v>1</v>
      </c>
    </row>
    <row r="239" spans="1:25" s="9" customFormat="1" ht="13.5" customHeight="1" x14ac:dyDescent="0.2">
      <c r="A239" s="384">
        <f t="shared" si="53"/>
        <v>235</v>
      </c>
      <c r="B239" s="385" t="s">
        <v>964</v>
      </c>
      <c r="C239" s="218">
        <v>40234</v>
      </c>
      <c r="D239" s="219">
        <v>0</v>
      </c>
      <c r="E239" s="400"/>
      <c r="F239" s="219">
        <f t="shared" si="60"/>
        <v>0</v>
      </c>
      <c r="G239" s="221">
        <v>0</v>
      </c>
      <c r="H239" s="219">
        <v>0</v>
      </c>
      <c r="I239" s="222">
        <v>5</v>
      </c>
      <c r="J239" s="222">
        <v>0.2</v>
      </c>
      <c r="K239" s="222">
        <v>0</v>
      </c>
      <c r="L239" s="221"/>
      <c r="M239" s="221">
        <f t="shared" si="71"/>
        <v>0</v>
      </c>
      <c r="N239" s="219">
        <v>0</v>
      </c>
      <c r="O239" s="401" t="s">
        <v>352</v>
      </c>
      <c r="P239" s="232">
        <v>3</v>
      </c>
      <c r="Q239" s="225" t="s">
        <v>949</v>
      </c>
      <c r="R239" s="23"/>
      <c r="S239" s="23">
        <f t="shared" si="72"/>
        <v>0</v>
      </c>
      <c r="T239" s="23">
        <f t="shared" si="73"/>
        <v>0</v>
      </c>
      <c r="U239" s="23">
        <f t="shared" si="74"/>
        <v>-1000</v>
      </c>
      <c r="V239" s="10">
        <f t="shared" si="75"/>
        <v>0</v>
      </c>
      <c r="W239" s="10">
        <f t="shared" si="76"/>
        <v>0</v>
      </c>
      <c r="X239" s="10">
        <f t="shared" si="52"/>
        <v>0</v>
      </c>
      <c r="Y239" s="9" t="b">
        <f t="shared" si="66"/>
        <v>1</v>
      </c>
    </row>
    <row r="240" spans="1:25" s="9" customFormat="1" ht="13.5" customHeight="1" x14ac:dyDescent="0.2">
      <c r="A240" s="402">
        <f t="shared" si="53"/>
        <v>236</v>
      </c>
      <c r="B240" s="403" t="s">
        <v>961</v>
      </c>
      <c r="C240" s="404">
        <v>40259</v>
      </c>
      <c r="D240" s="405">
        <v>0</v>
      </c>
      <c r="E240" s="405"/>
      <c r="F240" s="406">
        <f t="shared" si="60"/>
        <v>0</v>
      </c>
      <c r="G240" s="407"/>
      <c r="H240" s="406"/>
      <c r="I240" s="408">
        <v>5</v>
      </c>
      <c r="J240" s="408">
        <v>0.2</v>
      </c>
      <c r="K240" s="408">
        <v>0</v>
      </c>
      <c r="L240" s="407"/>
      <c r="M240" s="407"/>
      <c r="N240" s="406"/>
      <c r="O240" s="409" t="s">
        <v>962</v>
      </c>
      <c r="P240" s="409">
        <v>2</v>
      </c>
      <c r="Q240" s="410" t="s">
        <v>965</v>
      </c>
      <c r="R240" s="23"/>
      <c r="S240" s="23">
        <f t="shared" si="72"/>
        <v>0</v>
      </c>
      <c r="T240" s="23">
        <f t="shared" si="73"/>
        <v>0</v>
      </c>
      <c r="U240" s="23">
        <f t="shared" si="74"/>
        <v>-1000</v>
      </c>
      <c r="V240" s="10">
        <f t="shared" si="75"/>
        <v>0</v>
      </c>
      <c r="W240" s="10">
        <f t="shared" si="76"/>
        <v>0</v>
      </c>
      <c r="X240" s="10">
        <f t="shared" si="52"/>
        <v>0</v>
      </c>
      <c r="Y240" s="9" t="b">
        <f t="shared" si="66"/>
        <v>1</v>
      </c>
    </row>
    <row r="241" spans="1:25" s="9" customFormat="1" ht="13.5" customHeight="1" x14ac:dyDescent="0.2">
      <c r="A241" s="402">
        <f t="shared" si="53"/>
        <v>237</v>
      </c>
      <c r="B241" s="403" t="s">
        <v>966</v>
      </c>
      <c r="C241" s="404">
        <v>40259</v>
      </c>
      <c r="D241" s="405">
        <v>0</v>
      </c>
      <c r="E241" s="405"/>
      <c r="F241" s="406">
        <f t="shared" si="60"/>
        <v>0</v>
      </c>
      <c r="G241" s="407"/>
      <c r="H241" s="406"/>
      <c r="I241" s="408">
        <v>5</v>
      </c>
      <c r="J241" s="408">
        <v>0.2</v>
      </c>
      <c r="K241" s="408">
        <v>0</v>
      </c>
      <c r="L241" s="407"/>
      <c r="M241" s="407"/>
      <c r="N241" s="406"/>
      <c r="O241" s="409" t="s">
        <v>962</v>
      </c>
      <c r="P241" s="409">
        <v>1</v>
      </c>
      <c r="Q241" s="410" t="s">
        <v>965</v>
      </c>
      <c r="R241" s="23"/>
      <c r="S241" s="23">
        <f t="shared" si="72"/>
        <v>0</v>
      </c>
      <c r="T241" s="23">
        <f t="shared" si="73"/>
        <v>0</v>
      </c>
      <c r="U241" s="23">
        <f t="shared" si="74"/>
        <v>-1000</v>
      </c>
      <c r="V241" s="10">
        <f t="shared" si="75"/>
        <v>0</v>
      </c>
      <c r="W241" s="10">
        <f t="shared" si="76"/>
        <v>0</v>
      </c>
      <c r="X241" s="10">
        <f t="shared" si="52"/>
        <v>0</v>
      </c>
      <c r="Y241" s="9" t="b">
        <f t="shared" si="66"/>
        <v>1</v>
      </c>
    </row>
    <row r="242" spans="1:25" s="9" customFormat="1" ht="13.5" customHeight="1" x14ac:dyDescent="0.2">
      <c r="A242" s="322">
        <f t="shared" si="53"/>
        <v>238</v>
      </c>
      <c r="B242" s="323" t="s">
        <v>967</v>
      </c>
      <c r="C242" s="255">
        <v>40268</v>
      </c>
      <c r="D242" s="324">
        <v>359600000</v>
      </c>
      <c r="E242" s="324"/>
      <c r="F242" s="256">
        <f t="shared" si="60"/>
        <v>359600000</v>
      </c>
      <c r="G242" s="258">
        <v>359599000</v>
      </c>
      <c r="H242" s="256">
        <f t="shared" ref="H242:H260" si="77">+F242-G242</f>
        <v>1000</v>
      </c>
      <c r="I242" s="259">
        <v>5</v>
      </c>
      <c r="J242" s="259">
        <v>0.2</v>
      </c>
      <c r="K242" s="259">
        <v>0</v>
      </c>
      <c r="L242" s="258">
        <f t="shared" ref="L242:L260" si="78">ROUND(IF(F242*J242*K242/12&gt;=H242,H242-1000,F242*J242*K242/12),0)</f>
        <v>0</v>
      </c>
      <c r="M242" s="258">
        <f t="shared" si="71"/>
        <v>359599000</v>
      </c>
      <c r="N242" s="256">
        <f t="shared" ref="N242:N260" si="79">+F242-M242</f>
        <v>1000</v>
      </c>
      <c r="O242" s="325" t="s">
        <v>800</v>
      </c>
      <c r="P242" s="325">
        <v>1</v>
      </c>
      <c r="Q242" s="262" t="s">
        <v>806</v>
      </c>
      <c r="R242" s="23"/>
      <c r="S242" s="23">
        <f t="shared" si="72"/>
        <v>17980000</v>
      </c>
      <c r="T242" s="23">
        <f t="shared" si="73"/>
        <v>-17979000</v>
      </c>
      <c r="U242" s="23">
        <f t="shared" si="74"/>
        <v>0</v>
      </c>
      <c r="V242" s="10">
        <f t="shared" si="75"/>
        <v>71920000</v>
      </c>
      <c r="W242" s="10">
        <f t="shared" si="76"/>
        <v>0</v>
      </c>
      <c r="X242" s="10">
        <f t="shared" si="52"/>
        <v>0</v>
      </c>
      <c r="Y242" s="9" t="b">
        <f t="shared" si="66"/>
        <v>1</v>
      </c>
    </row>
    <row r="243" spans="1:25" s="9" customFormat="1" ht="13.5" customHeight="1" x14ac:dyDescent="0.2">
      <c r="A243" s="64">
        <f t="shared" si="53"/>
        <v>239</v>
      </c>
      <c r="B243" s="77" t="s">
        <v>968</v>
      </c>
      <c r="C243" s="163">
        <v>40268</v>
      </c>
      <c r="D243" s="175">
        <v>62000000</v>
      </c>
      <c r="E243" s="175"/>
      <c r="F243" s="67">
        <f t="shared" si="60"/>
        <v>62000000</v>
      </c>
      <c r="G243" s="110">
        <v>61999000</v>
      </c>
      <c r="H243" s="67">
        <f t="shared" si="77"/>
        <v>1000</v>
      </c>
      <c r="I243" s="68">
        <v>5</v>
      </c>
      <c r="J243" s="68">
        <v>0.2</v>
      </c>
      <c r="K243" s="68">
        <v>0</v>
      </c>
      <c r="L243" s="110">
        <f t="shared" si="78"/>
        <v>0</v>
      </c>
      <c r="M243" s="110">
        <f t="shared" si="71"/>
        <v>61999000</v>
      </c>
      <c r="N243" s="67">
        <f t="shared" si="79"/>
        <v>1000</v>
      </c>
      <c r="O243" s="111" t="s">
        <v>800</v>
      </c>
      <c r="P243" s="111">
        <v>1</v>
      </c>
      <c r="Q243" s="70"/>
      <c r="R243" s="23"/>
      <c r="S243" s="23">
        <f t="shared" si="72"/>
        <v>3100000</v>
      </c>
      <c r="T243" s="23">
        <f t="shared" si="73"/>
        <v>-3099000</v>
      </c>
      <c r="U243" s="23">
        <f t="shared" si="74"/>
        <v>0</v>
      </c>
      <c r="V243" s="10">
        <f t="shared" si="75"/>
        <v>12400000</v>
      </c>
      <c r="W243" s="10">
        <f t="shared" si="76"/>
        <v>0</v>
      </c>
      <c r="X243" s="10">
        <f t="shared" si="52"/>
        <v>0</v>
      </c>
      <c r="Y243" s="9" t="b">
        <f t="shared" si="66"/>
        <v>1</v>
      </c>
    </row>
    <row r="244" spans="1:25" s="9" customFormat="1" ht="13.5" customHeight="1" x14ac:dyDescent="0.2">
      <c r="A244" s="64">
        <f t="shared" si="53"/>
        <v>240</v>
      </c>
      <c r="B244" s="77" t="s">
        <v>969</v>
      </c>
      <c r="C244" s="163">
        <v>40268</v>
      </c>
      <c r="D244" s="175">
        <v>113200000</v>
      </c>
      <c r="E244" s="175"/>
      <c r="F244" s="67">
        <f t="shared" si="60"/>
        <v>113200000</v>
      </c>
      <c r="G244" s="110">
        <v>113199000</v>
      </c>
      <c r="H244" s="67">
        <f t="shared" si="77"/>
        <v>1000</v>
      </c>
      <c r="I244" s="68">
        <v>5</v>
      </c>
      <c r="J244" s="68">
        <v>0.2</v>
      </c>
      <c r="K244" s="68">
        <v>0</v>
      </c>
      <c r="L244" s="110">
        <f t="shared" si="78"/>
        <v>0</v>
      </c>
      <c r="M244" s="110">
        <f t="shared" si="71"/>
        <v>113199000</v>
      </c>
      <c r="N244" s="67">
        <f t="shared" si="79"/>
        <v>1000</v>
      </c>
      <c r="O244" s="111" t="s">
        <v>711</v>
      </c>
      <c r="P244" s="111">
        <v>2</v>
      </c>
      <c r="Q244" s="70"/>
      <c r="R244" s="23"/>
      <c r="S244" s="23">
        <f t="shared" si="72"/>
        <v>5660000</v>
      </c>
      <c r="T244" s="23">
        <f t="shared" si="73"/>
        <v>-5659000</v>
      </c>
      <c r="U244" s="23">
        <f t="shared" si="74"/>
        <v>0</v>
      </c>
      <c r="V244" s="10">
        <f t="shared" si="75"/>
        <v>22640000</v>
      </c>
      <c r="W244" s="10">
        <f t="shared" si="76"/>
        <v>0</v>
      </c>
      <c r="X244" s="10">
        <f t="shared" si="52"/>
        <v>0</v>
      </c>
      <c r="Y244" s="9" t="b">
        <f t="shared" si="66"/>
        <v>1</v>
      </c>
    </row>
    <row r="245" spans="1:25" s="9" customFormat="1" ht="13.5" customHeight="1" x14ac:dyDescent="0.2">
      <c r="A245" s="64">
        <f t="shared" si="53"/>
        <v>241</v>
      </c>
      <c r="B245" s="77" t="s">
        <v>970</v>
      </c>
      <c r="C245" s="163">
        <v>40329</v>
      </c>
      <c r="D245" s="175">
        <v>371000000</v>
      </c>
      <c r="E245" s="175"/>
      <c r="F245" s="67">
        <f t="shared" si="60"/>
        <v>371000000</v>
      </c>
      <c r="G245" s="110">
        <v>370999000</v>
      </c>
      <c r="H245" s="67">
        <f t="shared" si="77"/>
        <v>1000</v>
      </c>
      <c r="I245" s="68">
        <v>5</v>
      </c>
      <c r="J245" s="68">
        <v>0.2</v>
      </c>
      <c r="K245" s="68">
        <v>0</v>
      </c>
      <c r="L245" s="110">
        <f t="shared" si="78"/>
        <v>0</v>
      </c>
      <c r="M245" s="110">
        <f t="shared" si="71"/>
        <v>370999000</v>
      </c>
      <c r="N245" s="67">
        <f t="shared" si="79"/>
        <v>1000</v>
      </c>
      <c r="O245" s="111" t="s">
        <v>758</v>
      </c>
      <c r="P245" s="111">
        <v>1</v>
      </c>
      <c r="Q245" s="70"/>
      <c r="R245" s="23"/>
      <c r="S245" s="23">
        <f t="shared" si="72"/>
        <v>18550000</v>
      </c>
      <c r="T245" s="23">
        <f t="shared" si="73"/>
        <v>-18549000</v>
      </c>
      <c r="U245" s="23">
        <f t="shared" si="74"/>
        <v>0</v>
      </c>
      <c r="V245" s="10">
        <f t="shared" si="75"/>
        <v>74200000</v>
      </c>
      <c r="W245" s="10">
        <f t="shared" si="76"/>
        <v>0</v>
      </c>
      <c r="X245" s="10">
        <f t="shared" si="52"/>
        <v>0</v>
      </c>
      <c r="Y245" s="9" t="b">
        <f t="shared" si="66"/>
        <v>1</v>
      </c>
    </row>
    <row r="246" spans="1:25" s="9" customFormat="1" ht="13.5" customHeight="1" x14ac:dyDescent="0.2">
      <c r="A246" s="64">
        <f t="shared" si="53"/>
        <v>242</v>
      </c>
      <c r="B246" s="77" t="s">
        <v>971</v>
      </c>
      <c r="C246" s="163">
        <v>40329</v>
      </c>
      <c r="D246" s="175">
        <v>371000000</v>
      </c>
      <c r="E246" s="175"/>
      <c r="F246" s="67">
        <f t="shared" si="60"/>
        <v>371000000</v>
      </c>
      <c r="G246" s="110">
        <v>370999000</v>
      </c>
      <c r="H246" s="67">
        <f t="shared" si="77"/>
        <v>1000</v>
      </c>
      <c r="I246" s="68">
        <v>5</v>
      </c>
      <c r="J246" s="68">
        <v>0.2</v>
      </c>
      <c r="K246" s="68">
        <v>0</v>
      </c>
      <c r="L246" s="110">
        <f t="shared" si="78"/>
        <v>0</v>
      </c>
      <c r="M246" s="110">
        <f t="shared" si="71"/>
        <v>370999000</v>
      </c>
      <c r="N246" s="67">
        <f t="shared" si="79"/>
        <v>1000</v>
      </c>
      <c r="O246" s="111" t="s">
        <v>758</v>
      </c>
      <c r="P246" s="111">
        <v>1</v>
      </c>
      <c r="Q246" s="70"/>
      <c r="R246" s="23"/>
      <c r="S246" s="23">
        <f t="shared" si="72"/>
        <v>18550000</v>
      </c>
      <c r="T246" s="23">
        <f t="shared" si="73"/>
        <v>-18549000</v>
      </c>
      <c r="U246" s="23">
        <f t="shared" si="74"/>
        <v>0</v>
      </c>
      <c r="V246" s="10">
        <f t="shared" si="75"/>
        <v>74200000</v>
      </c>
      <c r="W246" s="10">
        <f t="shared" si="76"/>
        <v>0</v>
      </c>
      <c r="X246" s="10">
        <f t="shared" si="52"/>
        <v>0</v>
      </c>
      <c r="Y246" s="9" t="b">
        <f t="shared" si="66"/>
        <v>1</v>
      </c>
    </row>
    <row r="247" spans="1:25" s="9" customFormat="1" ht="13.5" customHeight="1" x14ac:dyDescent="0.2">
      <c r="A247" s="64">
        <f t="shared" si="53"/>
        <v>243</v>
      </c>
      <c r="B247" s="77" t="s">
        <v>972</v>
      </c>
      <c r="C247" s="163">
        <v>40330</v>
      </c>
      <c r="D247" s="175">
        <v>27700000</v>
      </c>
      <c r="E247" s="175"/>
      <c r="F247" s="67">
        <f t="shared" si="60"/>
        <v>27700000</v>
      </c>
      <c r="G247" s="110">
        <v>27699000</v>
      </c>
      <c r="H247" s="67">
        <f t="shared" si="77"/>
        <v>1000</v>
      </c>
      <c r="I247" s="68">
        <v>5</v>
      </c>
      <c r="J247" s="68">
        <v>0.2</v>
      </c>
      <c r="K247" s="68">
        <v>0</v>
      </c>
      <c r="L247" s="110">
        <f t="shared" si="78"/>
        <v>0</v>
      </c>
      <c r="M247" s="110">
        <f t="shared" si="71"/>
        <v>27699000</v>
      </c>
      <c r="N247" s="67">
        <f t="shared" si="79"/>
        <v>1000</v>
      </c>
      <c r="O247" s="111" t="s">
        <v>973</v>
      </c>
      <c r="P247" s="111">
        <v>1</v>
      </c>
      <c r="Q247" s="70"/>
      <c r="R247" s="23"/>
      <c r="S247" s="23">
        <f t="shared" si="72"/>
        <v>1385000</v>
      </c>
      <c r="T247" s="23">
        <f t="shared" si="73"/>
        <v>-1384000</v>
      </c>
      <c r="U247" s="23">
        <f t="shared" si="74"/>
        <v>0</v>
      </c>
      <c r="V247" s="10">
        <f t="shared" si="75"/>
        <v>5540000</v>
      </c>
      <c r="W247" s="10">
        <f t="shared" si="76"/>
        <v>0</v>
      </c>
      <c r="X247" s="10">
        <f t="shared" si="52"/>
        <v>0</v>
      </c>
      <c r="Y247" s="9" t="b">
        <f t="shared" si="66"/>
        <v>1</v>
      </c>
    </row>
    <row r="248" spans="1:25" s="9" customFormat="1" ht="13.5" customHeight="1" x14ac:dyDescent="0.2">
      <c r="A248" s="64">
        <f t="shared" si="53"/>
        <v>244</v>
      </c>
      <c r="B248" s="77" t="s">
        <v>865</v>
      </c>
      <c r="C248" s="163">
        <v>40343</v>
      </c>
      <c r="D248" s="175">
        <v>159000000</v>
      </c>
      <c r="E248" s="175"/>
      <c r="F248" s="67">
        <f t="shared" si="60"/>
        <v>159000000</v>
      </c>
      <c r="G248" s="110">
        <v>158999000</v>
      </c>
      <c r="H248" s="67">
        <f t="shared" si="77"/>
        <v>1000</v>
      </c>
      <c r="I248" s="68">
        <v>5</v>
      </c>
      <c r="J248" s="68">
        <v>0.2</v>
      </c>
      <c r="K248" s="68">
        <v>0</v>
      </c>
      <c r="L248" s="110">
        <f t="shared" si="78"/>
        <v>0</v>
      </c>
      <c r="M248" s="110">
        <f t="shared" si="71"/>
        <v>158999000</v>
      </c>
      <c r="N248" s="67">
        <f t="shared" si="79"/>
        <v>1000</v>
      </c>
      <c r="O248" s="111" t="s">
        <v>974</v>
      </c>
      <c r="P248" s="111">
        <v>1</v>
      </c>
      <c r="Q248" s="70"/>
      <c r="R248" s="23"/>
      <c r="S248" s="23">
        <f t="shared" si="72"/>
        <v>7950000</v>
      </c>
      <c r="T248" s="23">
        <f t="shared" si="73"/>
        <v>-7949000</v>
      </c>
      <c r="U248" s="23">
        <f t="shared" si="74"/>
        <v>0</v>
      </c>
      <c r="V248" s="10">
        <f t="shared" si="75"/>
        <v>31800000</v>
      </c>
      <c r="W248" s="10">
        <f t="shared" si="76"/>
        <v>0</v>
      </c>
      <c r="X248" s="10">
        <f t="shared" si="52"/>
        <v>0</v>
      </c>
      <c r="Y248" s="9" t="b">
        <f t="shared" si="66"/>
        <v>1</v>
      </c>
    </row>
    <row r="249" spans="1:25" s="9" customFormat="1" ht="13.5" customHeight="1" x14ac:dyDescent="0.2">
      <c r="A249" s="64">
        <f t="shared" si="53"/>
        <v>245</v>
      </c>
      <c r="B249" s="77" t="s">
        <v>865</v>
      </c>
      <c r="C249" s="163">
        <v>40343</v>
      </c>
      <c r="D249" s="175">
        <v>455000000</v>
      </c>
      <c r="E249" s="175"/>
      <c r="F249" s="67">
        <f t="shared" si="60"/>
        <v>455000000</v>
      </c>
      <c r="G249" s="110">
        <v>454999000</v>
      </c>
      <c r="H249" s="67">
        <f t="shared" si="77"/>
        <v>1000</v>
      </c>
      <c r="I249" s="68">
        <v>5</v>
      </c>
      <c r="J249" s="68">
        <v>0.2</v>
      </c>
      <c r="K249" s="68">
        <v>0</v>
      </c>
      <c r="L249" s="110">
        <f t="shared" si="78"/>
        <v>0</v>
      </c>
      <c r="M249" s="110">
        <f t="shared" si="71"/>
        <v>454999000</v>
      </c>
      <c r="N249" s="67">
        <f t="shared" si="79"/>
        <v>1000</v>
      </c>
      <c r="O249" s="111" t="s">
        <v>974</v>
      </c>
      <c r="P249" s="111">
        <v>3</v>
      </c>
      <c r="Q249" s="70"/>
      <c r="R249" s="23"/>
      <c r="S249" s="23">
        <f t="shared" si="72"/>
        <v>22750000</v>
      </c>
      <c r="T249" s="23">
        <f t="shared" si="73"/>
        <v>-22749000</v>
      </c>
      <c r="U249" s="23">
        <f t="shared" si="74"/>
        <v>0</v>
      </c>
      <c r="V249" s="10">
        <f t="shared" si="75"/>
        <v>91000000</v>
      </c>
      <c r="W249" s="10">
        <f t="shared" si="76"/>
        <v>0</v>
      </c>
      <c r="X249" s="10">
        <f t="shared" si="52"/>
        <v>0</v>
      </c>
      <c r="Y249" s="9" t="b">
        <f t="shared" si="66"/>
        <v>1</v>
      </c>
    </row>
    <row r="250" spans="1:25" s="9" customFormat="1" ht="13.5" customHeight="1" x14ac:dyDescent="0.2">
      <c r="A250" s="64">
        <f t="shared" si="53"/>
        <v>246</v>
      </c>
      <c r="B250" s="77" t="s">
        <v>945</v>
      </c>
      <c r="C250" s="163">
        <v>40354</v>
      </c>
      <c r="D250" s="175">
        <v>9090909</v>
      </c>
      <c r="E250" s="175"/>
      <c r="F250" s="67">
        <f t="shared" si="60"/>
        <v>9090909</v>
      </c>
      <c r="G250" s="110">
        <v>9089909</v>
      </c>
      <c r="H250" s="67">
        <f t="shared" si="77"/>
        <v>1000</v>
      </c>
      <c r="I250" s="68">
        <v>5</v>
      </c>
      <c r="J250" s="68">
        <v>0.2</v>
      </c>
      <c r="K250" s="68">
        <v>0</v>
      </c>
      <c r="L250" s="110">
        <f t="shared" si="78"/>
        <v>0</v>
      </c>
      <c r="M250" s="110">
        <f t="shared" si="71"/>
        <v>9089909</v>
      </c>
      <c r="N250" s="67">
        <f t="shared" si="79"/>
        <v>1000</v>
      </c>
      <c r="O250" s="111" t="s">
        <v>934</v>
      </c>
      <c r="P250" s="111">
        <v>1</v>
      </c>
      <c r="Q250" s="70"/>
      <c r="R250" s="23"/>
      <c r="S250" s="23">
        <f t="shared" si="72"/>
        <v>454545.45</v>
      </c>
      <c r="T250" s="23">
        <f t="shared" si="73"/>
        <v>-453545.45</v>
      </c>
      <c r="U250" s="23">
        <f t="shared" si="74"/>
        <v>0</v>
      </c>
      <c r="V250" s="10">
        <f t="shared" si="75"/>
        <v>1818181.8</v>
      </c>
      <c r="W250" s="10">
        <f t="shared" si="76"/>
        <v>0</v>
      </c>
      <c r="X250" s="10">
        <f t="shared" si="52"/>
        <v>0</v>
      </c>
      <c r="Y250" s="9" t="b">
        <f t="shared" si="66"/>
        <v>1</v>
      </c>
    </row>
    <row r="251" spans="1:25" s="9" customFormat="1" ht="13.5" customHeight="1" x14ac:dyDescent="0.2">
      <c r="A251" s="64">
        <f t="shared" si="53"/>
        <v>247</v>
      </c>
      <c r="B251" s="77" t="s">
        <v>944</v>
      </c>
      <c r="C251" s="163">
        <v>40358</v>
      </c>
      <c r="D251" s="175">
        <v>86000000</v>
      </c>
      <c r="E251" s="175"/>
      <c r="F251" s="67">
        <f t="shared" si="60"/>
        <v>86000000</v>
      </c>
      <c r="G251" s="110">
        <v>85999000</v>
      </c>
      <c r="H251" s="67">
        <f t="shared" si="77"/>
        <v>1000</v>
      </c>
      <c r="I251" s="68">
        <v>5</v>
      </c>
      <c r="J251" s="68">
        <v>0.2</v>
      </c>
      <c r="K251" s="68">
        <v>0</v>
      </c>
      <c r="L251" s="110">
        <f t="shared" si="78"/>
        <v>0</v>
      </c>
      <c r="M251" s="110">
        <f t="shared" si="71"/>
        <v>85999000</v>
      </c>
      <c r="N251" s="67">
        <f t="shared" si="79"/>
        <v>1000</v>
      </c>
      <c r="O251" s="111" t="s">
        <v>352</v>
      </c>
      <c r="P251" s="111">
        <v>2</v>
      </c>
      <c r="Q251" s="70"/>
      <c r="R251" s="23"/>
      <c r="S251" s="23">
        <f t="shared" si="72"/>
        <v>4300000</v>
      </c>
      <c r="T251" s="23">
        <f t="shared" si="73"/>
        <v>-4299000</v>
      </c>
      <c r="U251" s="23">
        <f t="shared" si="74"/>
        <v>0</v>
      </c>
      <c r="V251" s="10">
        <f t="shared" si="75"/>
        <v>17200000</v>
      </c>
      <c r="W251" s="10">
        <f t="shared" si="76"/>
        <v>0</v>
      </c>
      <c r="X251" s="10">
        <f t="shared" si="52"/>
        <v>0</v>
      </c>
      <c r="Y251" s="9" t="b">
        <f t="shared" si="66"/>
        <v>1</v>
      </c>
    </row>
    <row r="252" spans="1:25" s="9" customFormat="1" ht="13.5" customHeight="1" x14ac:dyDescent="0.2">
      <c r="A252" s="64">
        <f t="shared" si="53"/>
        <v>248</v>
      </c>
      <c r="B252" s="77" t="s">
        <v>975</v>
      </c>
      <c r="C252" s="163">
        <v>40358</v>
      </c>
      <c r="D252" s="175">
        <v>86000000</v>
      </c>
      <c r="E252" s="175"/>
      <c r="F252" s="67">
        <f t="shared" si="60"/>
        <v>86000000</v>
      </c>
      <c r="G252" s="110">
        <v>85999000</v>
      </c>
      <c r="H252" s="67">
        <f t="shared" si="77"/>
        <v>1000</v>
      </c>
      <c r="I252" s="68">
        <v>5</v>
      </c>
      <c r="J252" s="68">
        <v>0.2</v>
      </c>
      <c r="K252" s="68">
        <v>0</v>
      </c>
      <c r="L252" s="110">
        <f t="shared" si="78"/>
        <v>0</v>
      </c>
      <c r="M252" s="110">
        <f t="shared" si="71"/>
        <v>85999000</v>
      </c>
      <c r="N252" s="67">
        <f t="shared" si="79"/>
        <v>1000</v>
      </c>
      <c r="O252" s="111" t="s">
        <v>352</v>
      </c>
      <c r="P252" s="111">
        <v>2</v>
      </c>
      <c r="Q252" s="70"/>
      <c r="R252" s="23"/>
      <c r="S252" s="23">
        <f t="shared" si="72"/>
        <v>4300000</v>
      </c>
      <c r="T252" s="23">
        <f t="shared" si="73"/>
        <v>-4299000</v>
      </c>
      <c r="U252" s="23">
        <f t="shared" si="74"/>
        <v>0</v>
      </c>
      <c r="V252" s="10">
        <f t="shared" si="75"/>
        <v>17200000</v>
      </c>
      <c r="W252" s="10">
        <f t="shared" si="76"/>
        <v>0</v>
      </c>
      <c r="X252" s="10">
        <f t="shared" si="52"/>
        <v>0</v>
      </c>
      <c r="Y252" s="9" t="b">
        <f t="shared" si="66"/>
        <v>1</v>
      </c>
    </row>
    <row r="253" spans="1:25" s="9" customFormat="1" ht="13.5" customHeight="1" x14ac:dyDescent="0.2">
      <c r="A253" s="64">
        <f t="shared" si="53"/>
        <v>249</v>
      </c>
      <c r="B253" s="77" t="s">
        <v>944</v>
      </c>
      <c r="C253" s="163">
        <v>40359</v>
      </c>
      <c r="D253" s="175">
        <v>324000000</v>
      </c>
      <c r="E253" s="175"/>
      <c r="F253" s="67">
        <f t="shared" si="60"/>
        <v>324000000</v>
      </c>
      <c r="G253" s="110">
        <v>323999000</v>
      </c>
      <c r="H253" s="67">
        <f t="shared" si="77"/>
        <v>1000</v>
      </c>
      <c r="I253" s="68">
        <v>5</v>
      </c>
      <c r="J253" s="68">
        <v>0.2</v>
      </c>
      <c r="K253" s="68">
        <v>0</v>
      </c>
      <c r="L253" s="110">
        <f t="shared" si="78"/>
        <v>0</v>
      </c>
      <c r="M253" s="110">
        <f t="shared" si="71"/>
        <v>323999000</v>
      </c>
      <c r="N253" s="67">
        <f t="shared" si="79"/>
        <v>1000</v>
      </c>
      <c r="O253" s="111" t="s">
        <v>948</v>
      </c>
      <c r="P253" s="111">
        <v>8</v>
      </c>
      <c r="Q253" s="70"/>
      <c r="R253" s="23"/>
      <c r="S253" s="23">
        <f t="shared" si="72"/>
        <v>16200000</v>
      </c>
      <c r="T253" s="23">
        <f t="shared" si="73"/>
        <v>-16199000</v>
      </c>
      <c r="U253" s="23">
        <f t="shared" si="74"/>
        <v>0</v>
      </c>
      <c r="V253" s="10">
        <f t="shared" si="75"/>
        <v>64800000</v>
      </c>
      <c r="W253" s="10">
        <f t="shared" si="76"/>
        <v>0</v>
      </c>
      <c r="X253" s="10">
        <f t="shared" si="52"/>
        <v>0</v>
      </c>
      <c r="Y253" s="9" t="b">
        <f t="shared" si="66"/>
        <v>1</v>
      </c>
    </row>
    <row r="254" spans="1:25" s="9" customFormat="1" ht="13.5" customHeight="1" x14ac:dyDescent="0.2">
      <c r="A254" s="64">
        <f t="shared" si="53"/>
        <v>250</v>
      </c>
      <c r="B254" s="77" t="s">
        <v>385</v>
      </c>
      <c r="C254" s="163">
        <v>40359</v>
      </c>
      <c r="D254" s="175">
        <v>86000000</v>
      </c>
      <c r="E254" s="175"/>
      <c r="F254" s="67">
        <f t="shared" si="60"/>
        <v>86000000</v>
      </c>
      <c r="G254" s="110">
        <v>85999000</v>
      </c>
      <c r="H254" s="67">
        <f t="shared" si="77"/>
        <v>1000</v>
      </c>
      <c r="I254" s="68">
        <v>5</v>
      </c>
      <c r="J254" s="68">
        <v>0.2</v>
      </c>
      <c r="K254" s="68">
        <v>0</v>
      </c>
      <c r="L254" s="110">
        <f t="shared" si="78"/>
        <v>0</v>
      </c>
      <c r="M254" s="110">
        <f t="shared" si="71"/>
        <v>85999000</v>
      </c>
      <c r="N254" s="67">
        <f t="shared" si="79"/>
        <v>1000</v>
      </c>
      <c r="O254" s="111" t="s">
        <v>948</v>
      </c>
      <c r="P254" s="111">
        <v>2</v>
      </c>
      <c r="Q254" s="70"/>
      <c r="R254" s="23"/>
      <c r="S254" s="23">
        <f t="shared" si="72"/>
        <v>4300000</v>
      </c>
      <c r="T254" s="23">
        <f t="shared" si="73"/>
        <v>-4299000</v>
      </c>
      <c r="U254" s="23">
        <f t="shared" si="74"/>
        <v>0</v>
      </c>
      <c r="V254" s="10">
        <f t="shared" si="75"/>
        <v>17200000</v>
      </c>
      <c r="W254" s="10">
        <f t="shared" si="76"/>
        <v>0</v>
      </c>
      <c r="X254" s="10">
        <f t="shared" si="52"/>
        <v>0</v>
      </c>
      <c r="Y254" s="9" t="b">
        <f t="shared" si="66"/>
        <v>1</v>
      </c>
    </row>
    <row r="255" spans="1:25" s="9" customFormat="1" ht="13.5" customHeight="1" x14ac:dyDescent="0.2">
      <c r="A255" s="64">
        <f t="shared" si="53"/>
        <v>251</v>
      </c>
      <c r="B255" s="411" t="s">
        <v>976</v>
      </c>
      <c r="C255" s="412">
        <v>40372</v>
      </c>
      <c r="D255" s="372">
        <v>35500000</v>
      </c>
      <c r="E255" s="413"/>
      <c r="F255" s="73">
        <f t="shared" si="60"/>
        <v>35500000</v>
      </c>
      <c r="G255" s="110">
        <v>35499000</v>
      </c>
      <c r="H255" s="67">
        <f t="shared" si="77"/>
        <v>1000</v>
      </c>
      <c r="I255" s="68">
        <v>5</v>
      </c>
      <c r="J255" s="68">
        <v>0.2</v>
      </c>
      <c r="K255" s="68">
        <v>0</v>
      </c>
      <c r="L255" s="110">
        <f t="shared" si="78"/>
        <v>0</v>
      </c>
      <c r="M255" s="110">
        <f t="shared" si="71"/>
        <v>35499000</v>
      </c>
      <c r="N255" s="67">
        <f t="shared" si="79"/>
        <v>1000</v>
      </c>
      <c r="O255" s="145" t="s">
        <v>306</v>
      </c>
      <c r="P255" s="414">
        <v>1</v>
      </c>
      <c r="Q255" s="70"/>
      <c r="R255" s="23"/>
      <c r="S255" s="23">
        <f t="shared" si="72"/>
        <v>1775000</v>
      </c>
      <c r="T255" s="23">
        <f t="shared" si="73"/>
        <v>-1774000</v>
      </c>
      <c r="U255" s="23">
        <f t="shared" si="74"/>
        <v>0</v>
      </c>
      <c r="V255" s="10">
        <f t="shared" si="75"/>
        <v>7100000</v>
      </c>
      <c r="W255" s="10">
        <f t="shared" si="76"/>
        <v>0</v>
      </c>
      <c r="X255" s="10">
        <f t="shared" si="52"/>
        <v>0</v>
      </c>
      <c r="Y255" s="9" t="b">
        <f t="shared" si="66"/>
        <v>1</v>
      </c>
    </row>
    <row r="256" spans="1:25" s="9" customFormat="1" ht="13.5" customHeight="1" x14ac:dyDescent="0.2">
      <c r="A256" s="64">
        <f t="shared" si="53"/>
        <v>252</v>
      </c>
      <c r="B256" s="415" t="s">
        <v>957</v>
      </c>
      <c r="C256" s="369">
        <v>40372</v>
      </c>
      <c r="D256" s="175">
        <v>5000000</v>
      </c>
      <c r="E256" s="27"/>
      <c r="F256" s="67">
        <f t="shared" si="60"/>
        <v>5000000</v>
      </c>
      <c r="G256" s="110">
        <v>4999000</v>
      </c>
      <c r="H256" s="67">
        <f t="shared" si="77"/>
        <v>1000</v>
      </c>
      <c r="I256" s="68">
        <v>5</v>
      </c>
      <c r="J256" s="68">
        <v>0.2</v>
      </c>
      <c r="K256" s="68">
        <v>0</v>
      </c>
      <c r="L256" s="110">
        <f t="shared" si="78"/>
        <v>0</v>
      </c>
      <c r="M256" s="110">
        <f t="shared" si="71"/>
        <v>4999000</v>
      </c>
      <c r="N256" s="67">
        <f t="shared" si="79"/>
        <v>1000</v>
      </c>
      <c r="O256" s="145" t="s">
        <v>948</v>
      </c>
      <c r="P256" s="414">
        <v>1</v>
      </c>
      <c r="Q256" s="70"/>
      <c r="R256" s="23"/>
      <c r="S256" s="23">
        <f t="shared" si="72"/>
        <v>250000</v>
      </c>
      <c r="T256" s="23">
        <f t="shared" si="73"/>
        <v>-249000</v>
      </c>
      <c r="U256" s="23">
        <f t="shared" si="74"/>
        <v>0</v>
      </c>
      <c r="V256" s="10">
        <f t="shared" si="75"/>
        <v>1000000</v>
      </c>
      <c r="W256" s="10">
        <f t="shared" si="76"/>
        <v>0</v>
      </c>
      <c r="X256" s="10">
        <f t="shared" si="52"/>
        <v>0</v>
      </c>
      <c r="Y256" s="9" t="b">
        <f t="shared" si="66"/>
        <v>1</v>
      </c>
    </row>
    <row r="257" spans="1:25" s="9" customFormat="1" ht="13.5" customHeight="1" x14ac:dyDescent="0.2">
      <c r="A257" s="64">
        <f t="shared" si="53"/>
        <v>253</v>
      </c>
      <c r="B257" s="415" t="s">
        <v>741</v>
      </c>
      <c r="C257" s="369">
        <v>40372</v>
      </c>
      <c r="D257" s="175">
        <v>5500000</v>
      </c>
      <c r="E257" s="27"/>
      <c r="F257" s="67">
        <f t="shared" si="60"/>
        <v>5500000</v>
      </c>
      <c r="G257" s="110">
        <v>5499000</v>
      </c>
      <c r="H257" s="67">
        <f t="shared" si="77"/>
        <v>1000</v>
      </c>
      <c r="I257" s="68">
        <v>5</v>
      </c>
      <c r="J257" s="68">
        <v>0.2</v>
      </c>
      <c r="K257" s="68">
        <v>0</v>
      </c>
      <c r="L257" s="110">
        <f t="shared" si="78"/>
        <v>0</v>
      </c>
      <c r="M257" s="110">
        <f t="shared" si="71"/>
        <v>5499000</v>
      </c>
      <c r="N257" s="67">
        <f t="shared" si="79"/>
        <v>1000</v>
      </c>
      <c r="O257" s="145" t="s">
        <v>948</v>
      </c>
      <c r="P257" s="414">
        <v>1</v>
      </c>
      <c r="Q257" s="70"/>
      <c r="R257" s="23"/>
      <c r="S257" s="23">
        <f t="shared" si="72"/>
        <v>275000</v>
      </c>
      <c r="T257" s="23">
        <f t="shared" si="73"/>
        <v>-274000</v>
      </c>
      <c r="U257" s="23">
        <f t="shared" si="74"/>
        <v>0</v>
      </c>
      <c r="V257" s="10">
        <f t="shared" si="75"/>
        <v>1100000</v>
      </c>
      <c r="W257" s="10">
        <f t="shared" si="76"/>
        <v>0</v>
      </c>
      <c r="X257" s="10">
        <f t="shared" si="52"/>
        <v>0</v>
      </c>
      <c r="Y257" s="9" t="b">
        <f t="shared" si="66"/>
        <v>1</v>
      </c>
    </row>
    <row r="258" spans="1:25" s="9" customFormat="1" ht="13.5" customHeight="1" x14ac:dyDescent="0.2">
      <c r="A258" s="64">
        <f t="shared" si="53"/>
        <v>254</v>
      </c>
      <c r="B258" s="415" t="s">
        <v>977</v>
      </c>
      <c r="C258" s="369">
        <v>40374</v>
      </c>
      <c r="D258" s="175">
        <v>61000000</v>
      </c>
      <c r="E258" s="27"/>
      <c r="F258" s="67">
        <f t="shared" si="60"/>
        <v>61000000</v>
      </c>
      <c r="G258" s="110">
        <v>60999000</v>
      </c>
      <c r="H258" s="67">
        <f t="shared" si="77"/>
        <v>1000</v>
      </c>
      <c r="I258" s="68">
        <v>5</v>
      </c>
      <c r="J258" s="68">
        <v>0.2</v>
      </c>
      <c r="K258" s="68">
        <v>0</v>
      </c>
      <c r="L258" s="110">
        <f t="shared" si="78"/>
        <v>0</v>
      </c>
      <c r="M258" s="110">
        <f t="shared" si="71"/>
        <v>60999000</v>
      </c>
      <c r="N258" s="67">
        <f t="shared" si="79"/>
        <v>1000</v>
      </c>
      <c r="O258" s="145" t="s">
        <v>940</v>
      </c>
      <c r="P258" s="414">
        <v>2</v>
      </c>
      <c r="Q258" s="70"/>
      <c r="R258" s="23"/>
      <c r="S258" s="23">
        <f t="shared" si="72"/>
        <v>3050000</v>
      </c>
      <c r="T258" s="23">
        <f t="shared" si="73"/>
        <v>-3049000</v>
      </c>
      <c r="U258" s="23">
        <f t="shared" si="74"/>
        <v>0</v>
      </c>
      <c r="V258" s="10">
        <f t="shared" si="75"/>
        <v>12200000</v>
      </c>
      <c r="W258" s="10">
        <f t="shared" si="76"/>
        <v>0</v>
      </c>
      <c r="X258" s="10">
        <f t="shared" si="52"/>
        <v>0</v>
      </c>
      <c r="Y258" s="9" t="b">
        <f t="shared" si="66"/>
        <v>1</v>
      </c>
    </row>
    <row r="259" spans="1:25" s="9" customFormat="1" ht="13.5" customHeight="1" x14ac:dyDescent="0.2">
      <c r="A259" s="64">
        <f t="shared" si="53"/>
        <v>255</v>
      </c>
      <c r="B259" s="415" t="s">
        <v>966</v>
      </c>
      <c r="C259" s="369">
        <v>40374</v>
      </c>
      <c r="D259" s="175">
        <v>31000000</v>
      </c>
      <c r="E259" s="27"/>
      <c r="F259" s="67">
        <f t="shared" si="60"/>
        <v>31000000</v>
      </c>
      <c r="G259" s="110">
        <v>30999000</v>
      </c>
      <c r="H259" s="67">
        <f t="shared" si="77"/>
        <v>1000</v>
      </c>
      <c r="I259" s="68">
        <v>5</v>
      </c>
      <c r="J259" s="68">
        <v>0.2</v>
      </c>
      <c r="K259" s="68">
        <v>0</v>
      </c>
      <c r="L259" s="110">
        <f t="shared" si="78"/>
        <v>0</v>
      </c>
      <c r="M259" s="110">
        <f t="shared" si="71"/>
        <v>30999000</v>
      </c>
      <c r="N259" s="67">
        <f t="shared" si="79"/>
        <v>1000</v>
      </c>
      <c r="O259" s="145" t="s">
        <v>940</v>
      </c>
      <c r="P259" s="414">
        <v>1</v>
      </c>
      <c r="Q259" s="70"/>
      <c r="R259" s="23"/>
      <c r="S259" s="23">
        <f t="shared" si="72"/>
        <v>1550000</v>
      </c>
      <c r="T259" s="23">
        <f t="shared" si="73"/>
        <v>-1549000</v>
      </c>
      <c r="U259" s="23">
        <f t="shared" si="74"/>
        <v>0</v>
      </c>
      <c r="V259" s="10">
        <f t="shared" si="75"/>
        <v>6200000</v>
      </c>
      <c r="W259" s="10">
        <f t="shared" si="76"/>
        <v>0</v>
      </c>
      <c r="X259" s="10">
        <f t="shared" si="52"/>
        <v>0</v>
      </c>
      <c r="Y259" s="9" t="b">
        <f t="shared" si="66"/>
        <v>1</v>
      </c>
    </row>
    <row r="260" spans="1:25" s="9" customFormat="1" ht="13.5" customHeight="1" x14ac:dyDescent="0.2">
      <c r="A260" s="64">
        <f t="shared" si="53"/>
        <v>256</v>
      </c>
      <c r="B260" s="415" t="s">
        <v>978</v>
      </c>
      <c r="C260" s="369">
        <v>40380</v>
      </c>
      <c r="D260" s="175">
        <v>35000000</v>
      </c>
      <c r="E260" s="27"/>
      <c r="F260" s="67">
        <f t="shared" si="60"/>
        <v>35000000</v>
      </c>
      <c r="G260" s="110">
        <v>34999000</v>
      </c>
      <c r="H260" s="67">
        <f t="shared" si="77"/>
        <v>1000</v>
      </c>
      <c r="I260" s="68">
        <v>5</v>
      </c>
      <c r="J260" s="68">
        <v>0.2</v>
      </c>
      <c r="K260" s="68">
        <v>0</v>
      </c>
      <c r="L260" s="110">
        <f t="shared" si="78"/>
        <v>0</v>
      </c>
      <c r="M260" s="110">
        <f t="shared" si="71"/>
        <v>34999000</v>
      </c>
      <c r="N260" s="67">
        <f t="shared" si="79"/>
        <v>1000</v>
      </c>
      <c r="O260" s="145" t="s">
        <v>412</v>
      </c>
      <c r="P260" s="414">
        <v>1</v>
      </c>
      <c r="Q260" s="70"/>
      <c r="R260" s="23"/>
      <c r="S260" s="23">
        <f t="shared" si="72"/>
        <v>1750000</v>
      </c>
      <c r="T260" s="23">
        <f t="shared" si="73"/>
        <v>-1749000</v>
      </c>
      <c r="U260" s="23">
        <f t="shared" si="74"/>
        <v>0</v>
      </c>
      <c r="V260" s="10">
        <f t="shared" si="75"/>
        <v>7000000</v>
      </c>
      <c r="W260" s="10">
        <f t="shared" si="76"/>
        <v>0</v>
      </c>
      <c r="X260" s="10">
        <f t="shared" si="52"/>
        <v>0</v>
      </c>
      <c r="Y260" s="9" t="b">
        <f t="shared" si="66"/>
        <v>1</v>
      </c>
    </row>
    <row r="261" spans="1:25" s="9" customFormat="1" ht="13.5" customHeight="1" x14ac:dyDescent="0.2">
      <c r="A261" s="345">
        <f t="shared" si="53"/>
        <v>257</v>
      </c>
      <c r="B261" s="416" t="s">
        <v>979</v>
      </c>
      <c r="C261" s="417">
        <v>40380</v>
      </c>
      <c r="D261" s="348">
        <v>0</v>
      </c>
      <c r="E261" s="418"/>
      <c r="F261" s="67">
        <f t="shared" si="60"/>
        <v>0</v>
      </c>
      <c r="G261" s="350"/>
      <c r="H261" s="349"/>
      <c r="I261" s="351">
        <v>5</v>
      </c>
      <c r="J261" s="351">
        <v>0.2</v>
      </c>
      <c r="K261" s="68">
        <v>0</v>
      </c>
      <c r="L261" s="350">
        <v>0</v>
      </c>
      <c r="M261" s="350"/>
      <c r="N261" s="349"/>
      <c r="O261" s="419" t="s">
        <v>412</v>
      </c>
      <c r="P261" s="420">
        <v>1</v>
      </c>
      <c r="Q261" s="421" t="s">
        <v>403</v>
      </c>
      <c r="R261" s="23"/>
      <c r="S261" s="23">
        <f t="shared" si="72"/>
        <v>0</v>
      </c>
      <c r="T261" s="23">
        <f t="shared" si="73"/>
        <v>0</v>
      </c>
      <c r="U261" s="23">
        <f t="shared" si="74"/>
        <v>-1000</v>
      </c>
      <c r="V261" s="10">
        <f t="shared" si="75"/>
        <v>0</v>
      </c>
      <c r="W261" s="10">
        <f t="shared" si="76"/>
        <v>0</v>
      </c>
      <c r="X261" s="10">
        <f t="shared" ref="X261:X324" si="80">L261-W261</f>
        <v>0</v>
      </c>
      <c r="Y261" s="9" t="b">
        <f t="shared" si="66"/>
        <v>1</v>
      </c>
    </row>
    <row r="262" spans="1:25" s="9" customFormat="1" ht="13.5" customHeight="1" x14ac:dyDescent="0.2">
      <c r="A262" s="64">
        <f t="shared" ref="A262:A325" si="81">+A261+1</f>
        <v>258</v>
      </c>
      <c r="B262" s="415" t="s">
        <v>979</v>
      </c>
      <c r="C262" s="369">
        <v>40380</v>
      </c>
      <c r="D262" s="175">
        <v>33000000</v>
      </c>
      <c r="E262" s="27"/>
      <c r="F262" s="67">
        <f t="shared" si="60"/>
        <v>33000000</v>
      </c>
      <c r="G262" s="110">
        <v>32999000</v>
      </c>
      <c r="H262" s="67">
        <f t="shared" ref="H262:H325" si="82">+F262-G262</f>
        <v>1000</v>
      </c>
      <c r="I262" s="68">
        <v>5</v>
      </c>
      <c r="J262" s="68">
        <v>0.2</v>
      </c>
      <c r="K262" s="68">
        <v>0</v>
      </c>
      <c r="L262" s="110">
        <f t="shared" ref="L262:L304" si="83">ROUND(IF(F262*J262*K262/12&gt;=H262,H262-1000,F262*J262*K262/12),0)</f>
        <v>0</v>
      </c>
      <c r="M262" s="110">
        <f t="shared" ref="M262:M325" si="84">+G262+L262</f>
        <v>32999000</v>
      </c>
      <c r="N262" s="67">
        <f t="shared" ref="N262:N325" si="85">+F262-M262</f>
        <v>1000</v>
      </c>
      <c r="O262" s="145" t="s">
        <v>412</v>
      </c>
      <c r="P262" s="414">
        <v>1</v>
      </c>
      <c r="Q262" s="70"/>
      <c r="R262" s="23"/>
      <c r="S262" s="23">
        <f t="shared" si="72"/>
        <v>1650000</v>
      </c>
      <c r="T262" s="23">
        <f t="shared" si="73"/>
        <v>-1649000</v>
      </c>
      <c r="U262" s="23">
        <f t="shared" si="74"/>
        <v>0</v>
      </c>
      <c r="V262" s="10">
        <f t="shared" si="75"/>
        <v>6600000</v>
      </c>
      <c r="W262" s="10">
        <f t="shared" si="76"/>
        <v>0</v>
      </c>
      <c r="X262" s="10">
        <f t="shared" si="80"/>
        <v>0</v>
      </c>
      <c r="Y262" s="9" t="b">
        <f t="shared" si="66"/>
        <v>1</v>
      </c>
    </row>
    <row r="263" spans="1:25" s="9" customFormat="1" ht="13.5" customHeight="1" x14ac:dyDescent="0.2">
      <c r="A263" s="64">
        <f t="shared" si="81"/>
        <v>259</v>
      </c>
      <c r="B263" s="415" t="s">
        <v>980</v>
      </c>
      <c r="C263" s="369">
        <v>40388</v>
      </c>
      <c r="D263" s="175">
        <v>7700000</v>
      </c>
      <c r="E263" s="27"/>
      <c r="F263" s="67">
        <f t="shared" si="60"/>
        <v>7700000</v>
      </c>
      <c r="G263" s="110">
        <v>7699000</v>
      </c>
      <c r="H263" s="67">
        <f t="shared" si="82"/>
        <v>1000</v>
      </c>
      <c r="I263" s="68">
        <v>5</v>
      </c>
      <c r="J263" s="68">
        <v>0.2</v>
      </c>
      <c r="K263" s="68">
        <v>0</v>
      </c>
      <c r="L263" s="110">
        <f t="shared" si="83"/>
        <v>0</v>
      </c>
      <c r="M263" s="110">
        <f t="shared" si="84"/>
        <v>7699000</v>
      </c>
      <c r="N263" s="67">
        <f t="shared" si="85"/>
        <v>1000</v>
      </c>
      <c r="O263" s="145" t="s">
        <v>405</v>
      </c>
      <c r="P263" s="414">
        <v>1</v>
      </c>
      <c r="Q263" s="70"/>
      <c r="R263" s="23"/>
      <c r="S263" s="23">
        <f t="shared" si="72"/>
        <v>385000</v>
      </c>
      <c r="T263" s="23">
        <f t="shared" si="73"/>
        <v>-384000</v>
      </c>
      <c r="U263" s="23">
        <f t="shared" si="74"/>
        <v>0</v>
      </c>
      <c r="V263" s="10">
        <f t="shared" si="75"/>
        <v>1540000</v>
      </c>
      <c r="W263" s="10">
        <f t="shared" si="76"/>
        <v>0</v>
      </c>
      <c r="X263" s="10">
        <f t="shared" si="80"/>
        <v>0</v>
      </c>
      <c r="Y263" s="9" t="b">
        <f t="shared" si="66"/>
        <v>1</v>
      </c>
    </row>
    <row r="264" spans="1:25" s="9" customFormat="1" ht="13.5" customHeight="1" x14ac:dyDescent="0.2">
      <c r="A264" s="64">
        <f t="shared" si="81"/>
        <v>260</v>
      </c>
      <c r="B264" s="415" t="s">
        <v>981</v>
      </c>
      <c r="C264" s="369">
        <v>40389</v>
      </c>
      <c r="D264" s="175">
        <v>121500000</v>
      </c>
      <c r="E264" s="27"/>
      <c r="F264" s="67">
        <f t="shared" si="60"/>
        <v>121500000</v>
      </c>
      <c r="G264" s="110">
        <v>121499000</v>
      </c>
      <c r="H264" s="67">
        <f t="shared" si="82"/>
        <v>1000</v>
      </c>
      <c r="I264" s="68">
        <v>5</v>
      </c>
      <c r="J264" s="68">
        <v>0.2</v>
      </c>
      <c r="K264" s="68">
        <v>0</v>
      </c>
      <c r="L264" s="110">
        <f t="shared" si="83"/>
        <v>0</v>
      </c>
      <c r="M264" s="110">
        <f t="shared" si="84"/>
        <v>121499000</v>
      </c>
      <c r="N264" s="67">
        <f t="shared" si="85"/>
        <v>1000</v>
      </c>
      <c r="O264" s="145" t="s">
        <v>352</v>
      </c>
      <c r="P264" s="414">
        <v>3</v>
      </c>
      <c r="Q264" s="70"/>
      <c r="R264" s="23"/>
      <c r="S264" s="23">
        <f t="shared" si="72"/>
        <v>6075000</v>
      </c>
      <c r="T264" s="23">
        <f t="shared" si="73"/>
        <v>-6074000</v>
      </c>
      <c r="U264" s="23">
        <f t="shared" si="74"/>
        <v>0</v>
      </c>
      <c r="V264" s="10">
        <f t="shared" si="75"/>
        <v>24300000</v>
      </c>
      <c r="W264" s="10">
        <f t="shared" si="76"/>
        <v>0</v>
      </c>
      <c r="X264" s="10">
        <f t="shared" si="80"/>
        <v>0</v>
      </c>
      <c r="Y264" s="9" t="b">
        <f t="shared" si="66"/>
        <v>1</v>
      </c>
    </row>
    <row r="265" spans="1:25" s="9" customFormat="1" ht="13.5" customHeight="1" x14ac:dyDescent="0.2">
      <c r="A265" s="64">
        <f t="shared" si="81"/>
        <v>261</v>
      </c>
      <c r="B265" s="415" t="s">
        <v>982</v>
      </c>
      <c r="C265" s="369">
        <v>40389</v>
      </c>
      <c r="D265" s="175">
        <v>129000000</v>
      </c>
      <c r="E265" s="27"/>
      <c r="F265" s="67">
        <f t="shared" si="60"/>
        <v>129000000</v>
      </c>
      <c r="G265" s="110">
        <v>128999000</v>
      </c>
      <c r="H265" s="67">
        <f t="shared" si="82"/>
        <v>1000</v>
      </c>
      <c r="I265" s="68">
        <v>5</v>
      </c>
      <c r="J265" s="68">
        <v>0.2</v>
      </c>
      <c r="K265" s="68">
        <v>0</v>
      </c>
      <c r="L265" s="110">
        <f t="shared" si="83"/>
        <v>0</v>
      </c>
      <c r="M265" s="110">
        <f t="shared" si="84"/>
        <v>128999000</v>
      </c>
      <c r="N265" s="67">
        <f t="shared" si="85"/>
        <v>1000</v>
      </c>
      <c r="O265" s="145" t="s">
        <v>352</v>
      </c>
      <c r="P265" s="414">
        <v>3</v>
      </c>
      <c r="Q265" s="70"/>
      <c r="R265" s="23"/>
      <c r="S265" s="23">
        <f t="shared" si="72"/>
        <v>6450000</v>
      </c>
      <c r="T265" s="23">
        <f t="shared" si="73"/>
        <v>-6449000</v>
      </c>
      <c r="U265" s="23">
        <f t="shared" si="74"/>
        <v>0</v>
      </c>
      <c r="V265" s="10">
        <f t="shared" si="75"/>
        <v>25800000</v>
      </c>
      <c r="W265" s="10">
        <f t="shared" si="76"/>
        <v>0</v>
      </c>
      <c r="X265" s="10">
        <f t="shared" si="80"/>
        <v>0</v>
      </c>
      <c r="Y265" s="9" t="b">
        <f t="shared" si="66"/>
        <v>1</v>
      </c>
    </row>
    <row r="266" spans="1:25" s="9" customFormat="1" ht="13.5" customHeight="1" x14ac:dyDescent="0.2">
      <c r="A266" s="64">
        <f t="shared" si="81"/>
        <v>262</v>
      </c>
      <c r="B266" s="415" t="s">
        <v>983</v>
      </c>
      <c r="C266" s="369">
        <v>40406</v>
      </c>
      <c r="D266" s="175">
        <v>25000000</v>
      </c>
      <c r="E266" s="27"/>
      <c r="F266" s="67">
        <f t="shared" si="60"/>
        <v>25000000</v>
      </c>
      <c r="G266" s="110">
        <v>24999000</v>
      </c>
      <c r="H266" s="67">
        <f t="shared" si="82"/>
        <v>1000</v>
      </c>
      <c r="I266" s="68">
        <v>5</v>
      </c>
      <c r="J266" s="68">
        <v>0.2</v>
      </c>
      <c r="K266" s="68">
        <v>0</v>
      </c>
      <c r="L266" s="110">
        <f t="shared" si="83"/>
        <v>0</v>
      </c>
      <c r="M266" s="110">
        <f t="shared" si="84"/>
        <v>24999000</v>
      </c>
      <c r="N266" s="67">
        <f t="shared" si="85"/>
        <v>1000</v>
      </c>
      <c r="O266" s="145" t="s">
        <v>984</v>
      </c>
      <c r="P266" s="414">
        <v>1</v>
      </c>
      <c r="Q266" s="70"/>
      <c r="R266" s="23"/>
      <c r="S266" s="23">
        <f t="shared" si="72"/>
        <v>1250000</v>
      </c>
      <c r="T266" s="23">
        <f t="shared" si="73"/>
        <v>-1249000</v>
      </c>
      <c r="U266" s="23">
        <f t="shared" si="74"/>
        <v>0</v>
      </c>
      <c r="V266" s="10">
        <f t="shared" si="75"/>
        <v>5000000</v>
      </c>
      <c r="W266" s="10">
        <f t="shared" si="76"/>
        <v>0</v>
      </c>
      <c r="X266" s="10">
        <f t="shared" si="80"/>
        <v>0</v>
      </c>
      <c r="Y266" s="9" t="b">
        <f t="shared" si="66"/>
        <v>1</v>
      </c>
    </row>
    <row r="267" spans="1:25" s="9" customFormat="1" ht="13.5" customHeight="1" x14ac:dyDescent="0.2">
      <c r="A267" s="64">
        <f t="shared" si="81"/>
        <v>263</v>
      </c>
      <c r="B267" s="415" t="s">
        <v>958</v>
      </c>
      <c r="C267" s="369">
        <v>40416</v>
      </c>
      <c r="D267" s="175">
        <v>3900000</v>
      </c>
      <c r="E267" s="27"/>
      <c r="F267" s="67">
        <f t="shared" si="60"/>
        <v>3900000</v>
      </c>
      <c r="G267" s="110">
        <v>3899000</v>
      </c>
      <c r="H267" s="67">
        <f t="shared" si="82"/>
        <v>1000</v>
      </c>
      <c r="I267" s="68">
        <v>5</v>
      </c>
      <c r="J267" s="68">
        <v>0.2</v>
      </c>
      <c r="K267" s="68">
        <v>0</v>
      </c>
      <c r="L267" s="110">
        <f t="shared" si="83"/>
        <v>0</v>
      </c>
      <c r="M267" s="110">
        <f t="shared" si="84"/>
        <v>3899000</v>
      </c>
      <c r="N267" s="67">
        <f t="shared" si="85"/>
        <v>1000</v>
      </c>
      <c r="O267" s="145" t="s">
        <v>985</v>
      </c>
      <c r="P267" s="414">
        <v>2</v>
      </c>
      <c r="Q267" s="70"/>
      <c r="R267" s="23"/>
      <c r="S267" s="23">
        <f t="shared" si="72"/>
        <v>195000</v>
      </c>
      <c r="T267" s="23">
        <f t="shared" si="73"/>
        <v>-194000</v>
      </c>
      <c r="U267" s="23">
        <f t="shared" si="74"/>
        <v>0</v>
      </c>
      <c r="V267" s="10">
        <f t="shared" si="75"/>
        <v>780000</v>
      </c>
      <c r="W267" s="10">
        <f t="shared" si="76"/>
        <v>0</v>
      </c>
      <c r="X267" s="10">
        <f t="shared" si="80"/>
        <v>0</v>
      </c>
      <c r="Y267" s="9" t="b">
        <f t="shared" si="66"/>
        <v>1</v>
      </c>
    </row>
    <row r="268" spans="1:25" s="9" customFormat="1" ht="13.5" customHeight="1" x14ac:dyDescent="0.2">
      <c r="A268" s="64">
        <f t="shared" si="81"/>
        <v>264</v>
      </c>
      <c r="B268" s="415" t="s">
        <v>986</v>
      </c>
      <c r="C268" s="369">
        <v>40416</v>
      </c>
      <c r="D268" s="175">
        <v>3600000</v>
      </c>
      <c r="E268" s="27"/>
      <c r="F268" s="67">
        <f t="shared" si="60"/>
        <v>3600000</v>
      </c>
      <c r="G268" s="110">
        <v>3599000</v>
      </c>
      <c r="H268" s="67">
        <f t="shared" si="82"/>
        <v>1000</v>
      </c>
      <c r="I268" s="68">
        <v>5</v>
      </c>
      <c r="J268" s="68">
        <v>0.2</v>
      </c>
      <c r="K268" s="68">
        <v>0</v>
      </c>
      <c r="L268" s="110">
        <f t="shared" si="83"/>
        <v>0</v>
      </c>
      <c r="M268" s="110">
        <f t="shared" si="84"/>
        <v>3599000</v>
      </c>
      <c r="N268" s="67">
        <f t="shared" si="85"/>
        <v>1000</v>
      </c>
      <c r="O268" s="145" t="s">
        <v>985</v>
      </c>
      <c r="P268" s="414">
        <v>1</v>
      </c>
      <c r="Q268" s="70"/>
      <c r="R268" s="23"/>
      <c r="S268" s="23">
        <f t="shared" si="72"/>
        <v>180000</v>
      </c>
      <c r="T268" s="23">
        <f t="shared" si="73"/>
        <v>-179000</v>
      </c>
      <c r="U268" s="23">
        <f t="shared" si="74"/>
        <v>0</v>
      </c>
      <c r="V268" s="10">
        <f t="shared" si="75"/>
        <v>720000</v>
      </c>
      <c r="W268" s="10">
        <f t="shared" si="76"/>
        <v>0</v>
      </c>
      <c r="X268" s="10">
        <f t="shared" si="80"/>
        <v>0</v>
      </c>
      <c r="Y268" s="9" t="b">
        <f t="shared" si="66"/>
        <v>1</v>
      </c>
    </row>
    <row r="269" spans="1:25" s="9" customFormat="1" ht="13.5" customHeight="1" x14ac:dyDescent="0.2">
      <c r="A269" s="64">
        <f t="shared" si="81"/>
        <v>265</v>
      </c>
      <c r="B269" s="422" t="s">
        <v>865</v>
      </c>
      <c r="C269" s="423">
        <v>40418</v>
      </c>
      <c r="D269" s="424">
        <v>300000000</v>
      </c>
      <c r="E269" s="425"/>
      <c r="F269" s="426">
        <f t="shared" si="60"/>
        <v>300000000</v>
      </c>
      <c r="G269" s="110">
        <v>299999000</v>
      </c>
      <c r="H269" s="67">
        <f t="shared" si="82"/>
        <v>1000</v>
      </c>
      <c r="I269" s="68">
        <v>5</v>
      </c>
      <c r="J269" s="68">
        <v>0.2</v>
      </c>
      <c r="K269" s="68">
        <v>0</v>
      </c>
      <c r="L269" s="110">
        <f t="shared" si="83"/>
        <v>0</v>
      </c>
      <c r="M269" s="110">
        <f t="shared" si="84"/>
        <v>299999000</v>
      </c>
      <c r="N269" s="67">
        <f t="shared" si="85"/>
        <v>1000</v>
      </c>
      <c r="O269" s="145" t="s">
        <v>974</v>
      </c>
      <c r="P269" s="414">
        <v>2</v>
      </c>
      <c r="Q269" s="70"/>
      <c r="R269" s="23"/>
      <c r="S269" s="23">
        <f t="shared" si="72"/>
        <v>15000000</v>
      </c>
      <c r="T269" s="23">
        <f t="shared" si="73"/>
        <v>-14999000</v>
      </c>
      <c r="U269" s="23">
        <f t="shared" si="74"/>
        <v>0</v>
      </c>
      <c r="V269" s="10">
        <f t="shared" si="75"/>
        <v>60000000</v>
      </c>
      <c r="W269" s="10">
        <f t="shared" si="76"/>
        <v>0</v>
      </c>
      <c r="X269" s="10">
        <f t="shared" si="80"/>
        <v>0</v>
      </c>
      <c r="Y269" s="9" t="b">
        <f t="shared" si="66"/>
        <v>1</v>
      </c>
    </row>
    <row r="270" spans="1:25" s="9" customFormat="1" ht="13.5" customHeight="1" x14ac:dyDescent="0.2">
      <c r="A270" s="64">
        <f t="shared" si="81"/>
        <v>266</v>
      </c>
      <c r="B270" s="240" t="s">
        <v>987</v>
      </c>
      <c r="C270" s="163">
        <v>40491</v>
      </c>
      <c r="D270" s="67">
        <v>47080000</v>
      </c>
      <c r="E270" s="241"/>
      <c r="F270" s="67">
        <f t="shared" si="60"/>
        <v>47080000</v>
      </c>
      <c r="G270" s="110">
        <v>47079000</v>
      </c>
      <c r="H270" s="67">
        <f t="shared" si="82"/>
        <v>1000</v>
      </c>
      <c r="I270" s="68">
        <v>5</v>
      </c>
      <c r="J270" s="68">
        <v>0.2</v>
      </c>
      <c r="K270" s="68">
        <v>0</v>
      </c>
      <c r="L270" s="110">
        <f t="shared" si="83"/>
        <v>0</v>
      </c>
      <c r="M270" s="110">
        <f t="shared" si="84"/>
        <v>47079000</v>
      </c>
      <c r="N270" s="67">
        <f t="shared" si="85"/>
        <v>1000</v>
      </c>
      <c r="O270" s="246" t="s">
        <v>769</v>
      </c>
      <c r="P270" s="247">
        <v>1</v>
      </c>
      <c r="Q270" s="250" t="s">
        <v>988</v>
      </c>
      <c r="R270" s="23"/>
      <c r="S270" s="23">
        <f t="shared" si="72"/>
        <v>2354000</v>
      </c>
      <c r="T270" s="23">
        <f t="shared" si="73"/>
        <v>-2353000</v>
      </c>
      <c r="U270" s="23">
        <f t="shared" si="74"/>
        <v>0</v>
      </c>
      <c r="V270" s="10">
        <f t="shared" si="75"/>
        <v>9416000</v>
      </c>
      <c r="W270" s="10">
        <f t="shared" si="76"/>
        <v>0</v>
      </c>
      <c r="X270" s="10">
        <f t="shared" si="80"/>
        <v>0</v>
      </c>
      <c r="Y270" s="9" t="b">
        <f t="shared" si="66"/>
        <v>1</v>
      </c>
    </row>
    <row r="271" spans="1:25" s="9" customFormat="1" ht="13.5" customHeight="1" x14ac:dyDescent="0.2">
      <c r="A271" s="64">
        <f t="shared" si="81"/>
        <v>267</v>
      </c>
      <c r="B271" s="240" t="s">
        <v>989</v>
      </c>
      <c r="C271" s="163">
        <v>40498</v>
      </c>
      <c r="D271" s="67">
        <v>9600000</v>
      </c>
      <c r="E271" s="241"/>
      <c r="F271" s="67">
        <f t="shared" si="60"/>
        <v>9600000</v>
      </c>
      <c r="G271" s="110">
        <v>9599000</v>
      </c>
      <c r="H271" s="67">
        <f t="shared" si="82"/>
        <v>1000</v>
      </c>
      <c r="I271" s="68">
        <v>5</v>
      </c>
      <c r="J271" s="68">
        <v>0.2</v>
      </c>
      <c r="K271" s="68">
        <v>0</v>
      </c>
      <c r="L271" s="110">
        <f t="shared" si="83"/>
        <v>0</v>
      </c>
      <c r="M271" s="110">
        <f t="shared" si="84"/>
        <v>9599000</v>
      </c>
      <c r="N271" s="67">
        <f t="shared" si="85"/>
        <v>1000</v>
      </c>
      <c r="O271" s="246" t="s">
        <v>774</v>
      </c>
      <c r="P271" s="247">
        <v>3</v>
      </c>
      <c r="Q271" s="250" t="s">
        <v>988</v>
      </c>
      <c r="R271" s="23"/>
      <c r="S271" s="23">
        <f t="shared" si="72"/>
        <v>480000</v>
      </c>
      <c r="T271" s="23">
        <f t="shared" si="73"/>
        <v>-479000</v>
      </c>
      <c r="U271" s="23">
        <f t="shared" si="74"/>
        <v>0</v>
      </c>
      <c r="V271" s="10">
        <f t="shared" si="75"/>
        <v>1920000</v>
      </c>
      <c r="W271" s="10">
        <f t="shared" si="76"/>
        <v>0</v>
      </c>
      <c r="X271" s="10">
        <f t="shared" si="80"/>
        <v>0</v>
      </c>
      <c r="Y271" s="9" t="b">
        <f t="shared" si="66"/>
        <v>1</v>
      </c>
    </row>
    <row r="272" spans="1:25" s="9" customFormat="1" ht="13.5" customHeight="1" x14ac:dyDescent="0.2">
      <c r="A272" s="64">
        <f t="shared" si="81"/>
        <v>268</v>
      </c>
      <c r="B272" s="240" t="s">
        <v>990</v>
      </c>
      <c r="C272" s="163">
        <v>40500</v>
      </c>
      <c r="D272" s="67">
        <v>8340000</v>
      </c>
      <c r="E272" s="241"/>
      <c r="F272" s="67">
        <f t="shared" si="60"/>
        <v>8340000</v>
      </c>
      <c r="G272" s="110">
        <v>8339000</v>
      </c>
      <c r="H272" s="67">
        <f t="shared" si="82"/>
        <v>1000</v>
      </c>
      <c r="I272" s="68">
        <v>5</v>
      </c>
      <c r="J272" s="68">
        <v>0.2</v>
      </c>
      <c r="K272" s="68">
        <v>0</v>
      </c>
      <c r="L272" s="110">
        <f t="shared" si="83"/>
        <v>0</v>
      </c>
      <c r="M272" s="110">
        <f t="shared" si="84"/>
        <v>8339000</v>
      </c>
      <c r="N272" s="67">
        <f t="shared" si="85"/>
        <v>1000</v>
      </c>
      <c r="O272" s="246" t="s">
        <v>921</v>
      </c>
      <c r="P272" s="247">
        <v>6</v>
      </c>
      <c r="Q272" s="250" t="s">
        <v>988</v>
      </c>
      <c r="R272" s="23"/>
      <c r="S272" s="23">
        <f t="shared" si="72"/>
        <v>417000</v>
      </c>
      <c r="T272" s="23">
        <f t="shared" si="73"/>
        <v>-416000</v>
      </c>
      <c r="U272" s="23">
        <f t="shared" si="74"/>
        <v>0</v>
      </c>
      <c r="V272" s="10">
        <f t="shared" si="75"/>
        <v>1668000</v>
      </c>
      <c r="W272" s="10">
        <f t="shared" si="76"/>
        <v>0</v>
      </c>
      <c r="X272" s="10">
        <f t="shared" si="80"/>
        <v>0</v>
      </c>
      <c r="Y272" s="9" t="b">
        <f t="shared" si="66"/>
        <v>1</v>
      </c>
    </row>
    <row r="273" spans="1:25" s="9" customFormat="1" ht="13.5" customHeight="1" x14ac:dyDescent="0.2">
      <c r="A273" s="64">
        <f t="shared" si="81"/>
        <v>269</v>
      </c>
      <c r="B273" s="240" t="s">
        <v>811</v>
      </c>
      <c r="C273" s="163">
        <v>40506</v>
      </c>
      <c r="D273" s="67">
        <v>31400000</v>
      </c>
      <c r="E273" s="241"/>
      <c r="F273" s="67">
        <f t="shared" si="60"/>
        <v>31400000</v>
      </c>
      <c r="G273" s="110">
        <v>31399000</v>
      </c>
      <c r="H273" s="67">
        <f t="shared" si="82"/>
        <v>1000</v>
      </c>
      <c r="I273" s="68">
        <v>5</v>
      </c>
      <c r="J273" s="68">
        <v>0.2</v>
      </c>
      <c r="K273" s="68">
        <v>0</v>
      </c>
      <c r="L273" s="110">
        <f t="shared" si="83"/>
        <v>0</v>
      </c>
      <c r="M273" s="110">
        <f t="shared" si="84"/>
        <v>31399000</v>
      </c>
      <c r="N273" s="67">
        <f t="shared" si="85"/>
        <v>1000</v>
      </c>
      <c r="O273" s="246" t="s">
        <v>991</v>
      </c>
      <c r="P273" s="247">
        <v>2</v>
      </c>
      <c r="Q273" s="250" t="s">
        <v>988</v>
      </c>
      <c r="R273" s="23"/>
      <c r="S273" s="23">
        <f t="shared" si="72"/>
        <v>1570000</v>
      </c>
      <c r="T273" s="23">
        <f t="shared" si="73"/>
        <v>-1569000</v>
      </c>
      <c r="U273" s="23">
        <f t="shared" si="74"/>
        <v>0</v>
      </c>
      <c r="V273" s="10">
        <f t="shared" si="75"/>
        <v>6280000</v>
      </c>
      <c r="W273" s="10">
        <f t="shared" si="76"/>
        <v>0</v>
      </c>
      <c r="X273" s="10">
        <f t="shared" si="80"/>
        <v>0</v>
      </c>
      <c r="Y273" s="9" t="b">
        <f t="shared" si="66"/>
        <v>1</v>
      </c>
    </row>
    <row r="274" spans="1:25" s="9" customFormat="1" ht="13.5" customHeight="1" x14ac:dyDescent="0.2">
      <c r="A274" s="64">
        <f t="shared" si="81"/>
        <v>270</v>
      </c>
      <c r="B274" s="240" t="s">
        <v>992</v>
      </c>
      <c r="C274" s="163">
        <v>40512</v>
      </c>
      <c r="D274" s="67">
        <v>86200000</v>
      </c>
      <c r="E274" s="241"/>
      <c r="F274" s="67">
        <f t="shared" ref="F274:F337" si="86">+D274+E274</f>
        <v>86200000</v>
      </c>
      <c r="G274" s="110">
        <v>86199000</v>
      </c>
      <c r="H274" s="67">
        <f t="shared" si="82"/>
        <v>1000</v>
      </c>
      <c r="I274" s="68">
        <v>5</v>
      </c>
      <c r="J274" s="68">
        <v>0.2</v>
      </c>
      <c r="K274" s="68">
        <v>0</v>
      </c>
      <c r="L274" s="110">
        <f t="shared" si="83"/>
        <v>0</v>
      </c>
      <c r="M274" s="110">
        <f t="shared" si="84"/>
        <v>86199000</v>
      </c>
      <c r="N274" s="67">
        <f t="shared" si="85"/>
        <v>1000</v>
      </c>
      <c r="O274" s="246" t="s">
        <v>306</v>
      </c>
      <c r="P274" s="247">
        <v>2</v>
      </c>
      <c r="Q274" s="250" t="s">
        <v>988</v>
      </c>
      <c r="R274" s="23"/>
      <c r="S274" s="23">
        <f t="shared" si="72"/>
        <v>4310000</v>
      </c>
      <c r="T274" s="23">
        <f t="shared" si="73"/>
        <v>-4309000</v>
      </c>
      <c r="U274" s="23">
        <f t="shared" si="74"/>
        <v>0</v>
      </c>
      <c r="V274" s="10">
        <f t="shared" si="75"/>
        <v>17240000</v>
      </c>
      <c r="W274" s="10">
        <f t="shared" si="76"/>
        <v>0</v>
      </c>
      <c r="X274" s="10">
        <f t="shared" si="80"/>
        <v>0</v>
      </c>
      <c r="Y274" s="9" t="b">
        <f t="shared" ref="Y274:Y337" si="87">L274=W274</f>
        <v>1</v>
      </c>
    </row>
    <row r="275" spans="1:25" s="9" customFormat="1" ht="13.5" customHeight="1" x14ac:dyDescent="0.2">
      <c r="A275" s="64">
        <f t="shared" si="81"/>
        <v>271</v>
      </c>
      <c r="B275" s="244" t="s">
        <v>993</v>
      </c>
      <c r="C275" s="148">
        <v>40537</v>
      </c>
      <c r="D275" s="73">
        <v>13000000</v>
      </c>
      <c r="E275" s="245"/>
      <c r="F275" s="73">
        <f t="shared" si="86"/>
        <v>13000000</v>
      </c>
      <c r="G275" s="140">
        <v>12999000</v>
      </c>
      <c r="H275" s="73">
        <f t="shared" si="82"/>
        <v>1000</v>
      </c>
      <c r="I275" s="74">
        <v>5</v>
      </c>
      <c r="J275" s="74">
        <v>0.2</v>
      </c>
      <c r="K275" s="68">
        <v>0</v>
      </c>
      <c r="L275" s="110">
        <f t="shared" si="83"/>
        <v>0</v>
      </c>
      <c r="M275" s="140">
        <f t="shared" si="84"/>
        <v>12999000</v>
      </c>
      <c r="N275" s="73">
        <f t="shared" si="85"/>
        <v>1000</v>
      </c>
      <c r="O275" s="266" t="s">
        <v>414</v>
      </c>
      <c r="P275" s="267">
        <v>1</v>
      </c>
      <c r="Q275" s="268" t="s">
        <v>988</v>
      </c>
      <c r="R275" s="23"/>
      <c r="S275" s="23">
        <f t="shared" si="72"/>
        <v>650000</v>
      </c>
      <c r="T275" s="23">
        <f t="shared" si="73"/>
        <v>-649000</v>
      </c>
      <c r="U275" s="23">
        <f t="shared" si="74"/>
        <v>0</v>
      </c>
      <c r="V275" s="10">
        <f t="shared" si="75"/>
        <v>2600000</v>
      </c>
      <c r="W275" s="10">
        <f t="shared" si="76"/>
        <v>0</v>
      </c>
      <c r="X275" s="10">
        <f t="shared" si="80"/>
        <v>0</v>
      </c>
      <c r="Y275" s="9" t="b">
        <f t="shared" si="87"/>
        <v>1</v>
      </c>
    </row>
    <row r="276" spans="1:25" s="9" customFormat="1" ht="13.5" customHeight="1" x14ac:dyDescent="0.2">
      <c r="A276" s="64">
        <f t="shared" si="81"/>
        <v>272</v>
      </c>
      <c r="B276" s="240" t="s">
        <v>969</v>
      </c>
      <c r="C276" s="163">
        <v>40546</v>
      </c>
      <c r="D276" s="67">
        <v>50000000</v>
      </c>
      <c r="E276" s="241"/>
      <c r="F276" s="67">
        <f t="shared" si="86"/>
        <v>50000000</v>
      </c>
      <c r="G276" s="110">
        <v>49999000</v>
      </c>
      <c r="H276" s="67">
        <f t="shared" si="82"/>
        <v>1000</v>
      </c>
      <c r="I276" s="68">
        <v>5</v>
      </c>
      <c r="J276" s="68">
        <v>0.2</v>
      </c>
      <c r="K276" s="68">
        <v>0</v>
      </c>
      <c r="L276" s="110">
        <f t="shared" si="83"/>
        <v>0</v>
      </c>
      <c r="M276" s="110">
        <f t="shared" si="84"/>
        <v>49999000</v>
      </c>
      <c r="N276" s="67">
        <f t="shared" si="85"/>
        <v>1000</v>
      </c>
      <c r="O276" s="246" t="s">
        <v>711</v>
      </c>
      <c r="P276" s="247">
        <v>1</v>
      </c>
      <c r="Q276" s="250" t="s">
        <v>988</v>
      </c>
      <c r="R276" s="23"/>
      <c r="S276" s="23">
        <f t="shared" si="72"/>
        <v>2500000</v>
      </c>
      <c r="T276" s="23">
        <f t="shared" si="73"/>
        <v>-2499000</v>
      </c>
      <c r="U276" s="23">
        <f t="shared" si="74"/>
        <v>0</v>
      </c>
      <c r="V276" s="10">
        <f t="shared" si="75"/>
        <v>10000000</v>
      </c>
      <c r="W276" s="10">
        <f t="shared" si="76"/>
        <v>0</v>
      </c>
      <c r="X276" s="10">
        <f t="shared" si="80"/>
        <v>0</v>
      </c>
      <c r="Y276" s="9" t="b">
        <f t="shared" si="87"/>
        <v>1</v>
      </c>
    </row>
    <row r="277" spans="1:25" s="9" customFormat="1" ht="13.5" customHeight="1" x14ac:dyDescent="0.2">
      <c r="A277" s="64">
        <f t="shared" si="81"/>
        <v>273</v>
      </c>
      <c r="B277" s="240" t="s">
        <v>969</v>
      </c>
      <c r="C277" s="163">
        <v>40546</v>
      </c>
      <c r="D277" s="67">
        <v>150000000</v>
      </c>
      <c r="E277" s="241"/>
      <c r="F277" s="67">
        <f t="shared" si="86"/>
        <v>150000000</v>
      </c>
      <c r="G277" s="110">
        <v>149999000</v>
      </c>
      <c r="H277" s="67">
        <f t="shared" si="82"/>
        <v>1000</v>
      </c>
      <c r="I277" s="68">
        <v>5</v>
      </c>
      <c r="J277" s="68">
        <v>0.2</v>
      </c>
      <c r="K277" s="68">
        <v>0</v>
      </c>
      <c r="L277" s="110">
        <f t="shared" si="83"/>
        <v>0</v>
      </c>
      <c r="M277" s="110">
        <f t="shared" si="84"/>
        <v>149999000</v>
      </c>
      <c r="N277" s="67">
        <f t="shared" si="85"/>
        <v>1000</v>
      </c>
      <c r="O277" s="246" t="s">
        <v>711</v>
      </c>
      <c r="P277" s="247">
        <v>3</v>
      </c>
      <c r="Q277" s="250" t="s">
        <v>988</v>
      </c>
      <c r="R277" s="23"/>
      <c r="S277" s="23">
        <f t="shared" si="72"/>
        <v>7500000</v>
      </c>
      <c r="T277" s="23">
        <f t="shared" si="73"/>
        <v>-7499000</v>
      </c>
      <c r="U277" s="23">
        <f t="shared" si="74"/>
        <v>0</v>
      </c>
      <c r="V277" s="10">
        <f t="shared" si="75"/>
        <v>30000000</v>
      </c>
      <c r="W277" s="10">
        <f t="shared" si="76"/>
        <v>0</v>
      </c>
      <c r="X277" s="10">
        <f t="shared" si="80"/>
        <v>0</v>
      </c>
      <c r="Y277" s="9" t="b">
        <f t="shared" si="87"/>
        <v>1</v>
      </c>
    </row>
    <row r="278" spans="1:25" s="9" customFormat="1" ht="13.5" customHeight="1" x14ac:dyDescent="0.2">
      <c r="A278" s="322">
        <f t="shared" si="81"/>
        <v>274</v>
      </c>
      <c r="B278" s="254" t="s">
        <v>874</v>
      </c>
      <c r="C278" s="255">
        <v>40633</v>
      </c>
      <c r="D278" s="256">
        <v>2530000000</v>
      </c>
      <c r="E278" s="427"/>
      <c r="F278" s="256">
        <f t="shared" si="86"/>
        <v>2530000000</v>
      </c>
      <c r="G278" s="258">
        <v>2529999000</v>
      </c>
      <c r="H278" s="256">
        <f t="shared" si="82"/>
        <v>1000</v>
      </c>
      <c r="I278" s="259">
        <v>5</v>
      </c>
      <c r="J278" s="259">
        <v>0.2</v>
      </c>
      <c r="K278" s="68">
        <v>0</v>
      </c>
      <c r="L278" s="258">
        <f t="shared" si="83"/>
        <v>0</v>
      </c>
      <c r="M278" s="258">
        <f t="shared" si="84"/>
        <v>2529999000</v>
      </c>
      <c r="N278" s="256">
        <f t="shared" si="85"/>
        <v>1000</v>
      </c>
      <c r="O278" s="260" t="s">
        <v>994</v>
      </c>
      <c r="P278" s="261">
        <v>1</v>
      </c>
      <c r="Q278" s="262" t="s">
        <v>995</v>
      </c>
      <c r="R278" s="23"/>
      <c r="S278" s="23">
        <f t="shared" si="72"/>
        <v>126500000</v>
      </c>
      <c r="T278" s="23">
        <f t="shared" si="73"/>
        <v>-126499000</v>
      </c>
      <c r="U278" s="23">
        <f t="shared" si="74"/>
        <v>0</v>
      </c>
      <c r="V278" s="10">
        <f t="shared" si="75"/>
        <v>506000000</v>
      </c>
      <c r="W278" s="10">
        <f t="shared" si="76"/>
        <v>0</v>
      </c>
      <c r="X278" s="10">
        <f t="shared" si="80"/>
        <v>0</v>
      </c>
      <c r="Y278" s="9" t="b">
        <f t="shared" si="87"/>
        <v>1</v>
      </c>
    </row>
    <row r="279" spans="1:25" s="9" customFormat="1" ht="13.5" customHeight="1" x14ac:dyDescent="0.2">
      <c r="A279" s="64">
        <f t="shared" si="81"/>
        <v>275</v>
      </c>
      <c r="B279" s="240" t="s">
        <v>996</v>
      </c>
      <c r="C279" s="163">
        <v>40661</v>
      </c>
      <c r="D279" s="67">
        <v>130000000</v>
      </c>
      <c r="E279" s="241"/>
      <c r="F279" s="67">
        <f t="shared" si="86"/>
        <v>130000000</v>
      </c>
      <c r="G279" s="110">
        <v>129999000</v>
      </c>
      <c r="H279" s="67">
        <f t="shared" si="82"/>
        <v>1000</v>
      </c>
      <c r="I279" s="68">
        <v>5</v>
      </c>
      <c r="J279" s="68">
        <v>0.2</v>
      </c>
      <c r="K279" s="68">
        <v>0</v>
      </c>
      <c r="L279" s="110">
        <f t="shared" si="83"/>
        <v>0</v>
      </c>
      <c r="M279" s="110">
        <f t="shared" si="84"/>
        <v>129999000</v>
      </c>
      <c r="N279" s="67">
        <f t="shared" si="85"/>
        <v>1000</v>
      </c>
      <c r="O279" s="246"/>
      <c r="P279" s="247">
        <v>2</v>
      </c>
      <c r="Q279" s="250" t="s">
        <v>988</v>
      </c>
      <c r="R279" s="23"/>
      <c r="S279" s="23">
        <f t="shared" si="72"/>
        <v>6500000</v>
      </c>
      <c r="T279" s="23">
        <f t="shared" si="73"/>
        <v>-6499000</v>
      </c>
      <c r="U279" s="23">
        <f t="shared" si="74"/>
        <v>0</v>
      </c>
      <c r="V279" s="10">
        <f t="shared" si="75"/>
        <v>26000000</v>
      </c>
      <c r="W279" s="10">
        <f t="shared" si="76"/>
        <v>0</v>
      </c>
      <c r="X279" s="10">
        <f t="shared" si="80"/>
        <v>0</v>
      </c>
      <c r="Y279" s="9" t="b">
        <f t="shared" si="87"/>
        <v>1</v>
      </c>
    </row>
    <row r="280" spans="1:25" s="9" customFormat="1" ht="13.5" customHeight="1" x14ac:dyDescent="0.2">
      <c r="A280" s="64">
        <f t="shared" si="81"/>
        <v>276</v>
      </c>
      <c r="B280" s="240" t="s">
        <v>997</v>
      </c>
      <c r="C280" s="163">
        <v>40661</v>
      </c>
      <c r="D280" s="67">
        <v>360000000</v>
      </c>
      <c r="E280" s="241"/>
      <c r="F280" s="67">
        <f t="shared" si="86"/>
        <v>360000000</v>
      </c>
      <c r="G280" s="110">
        <v>359999000</v>
      </c>
      <c r="H280" s="67">
        <f t="shared" si="82"/>
        <v>1000</v>
      </c>
      <c r="I280" s="68">
        <v>5</v>
      </c>
      <c r="J280" s="68">
        <v>0.2</v>
      </c>
      <c r="K280" s="68">
        <v>0</v>
      </c>
      <c r="L280" s="110">
        <f t="shared" si="83"/>
        <v>0</v>
      </c>
      <c r="M280" s="110">
        <f t="shared" si="84"/>
        <v>359999000</v>
      </c>
      <c r="N280" s="67">
        <f t="shared" si="85"/>
        <v>1000</v>
      </c>
      <c r="O280" s="246"/>
      <c r="P280" s="247">
        <v>4</v>
      </c>
      <c r="Q280" s="250" t="s">
        <v>988</v>
      </c>
      <c r="R280" s="23"/>
      <c r="S280" s="23">
        <f t="shared" si="72"/>
        <v>18000000</v>
      </c>
      <c r="T280" s="23">
        <f t="shared" si="73"/>
        <v>-17999000</v>
      </c>
      <c r="U280" s="23">
        <f t="shared" si="74"/>
        <v>0</v>
      </c>
      <c r="V280" s="10">
        <f t="shared" si="75"/>
        <v>72000000</v>
      </c>
      <c r="W280" s="10">
        <f t="shared" si="76"/>
        <v>0</v>
      </c>
      <c r="X280" s="10">
        <f t="shared" si="80"/>
        <v>0</v>
      </c>
      <c r="Y280" s="9" t="b">
        <f t="shared" si="87"/>
        <v>1</v>
      </c>
    </row>
    <row r="281" spans="1:25" s="9" customFormat="1" ht="13.5" customHeight="1" x14ac:dyDescent="0.2">
      <c r="A281" s="64">
        <f t="shared" si="81"/>
        <v>277</v>
      </c>
      <c r="B281" s="240" t="s">
        <v>997</v>
      </c>
      <c r="C281" s="163">
        <v>40661</v>
      </c>
      <c r="D281" s="67">
        <v>170000000</v>
      </c>
      <c r="E281" s="241"/>
      <c r="F281" s="67">
        <f t="shared" si="86"/>
        <v>170000000</v>
      </c>
      <c r="G281" s="110">
        <v>169999000</v>
      </c>
      <c r="H281" s="67">
        <f t="shared" si="82"/>
        <v>1000</v>
      </c>
      <c r="I281" s="68">
        <v>5</v>
      </c>
      <c r="J281" s="68">
        <v>0.2</v>
      </c>
      <c r="K281" s="68">
        <v>0</v>
      </c>
      <c r="L281" s="110">
        <f t="shared" si="83"/>
        <v>0</v>
      </c>
      <c r="M281" s="110">
        <f t="shared" si="84"/>
        <v>169999000</v>
      </c>
      <c r="N281" s="67">
        <f t="shared" si="85"/>
        <v>1000</v>
      </c>
      <c r="O281" s="246"/>
      <c r="P281" s="247">
        <v>2</v>
      </c>
      <c r="Q281" s="250" t="s">
        <v>988</v>
      </c>
      <c r="R281" s="23"/>
      <c r="S281" s="23">
        <f t="shared" si="72"/>
        <v>8500000</v>
      </c>
      <c r="T281" s="23">
        <f t="shared" si="73"/>
        <v>-8499000</v>
      </c>
      <c r="U281" s="23">
        <f t="shared" si="74"/>
        <v>0</v>
      </c>
      <c r="V281" s="10">
        <f t="shared" si="75"/>
        <v>34000000</v>
      </c>
      <c r="W281" s="10">
        <f t="shared" si="76"/>
        <v>0</v>
      </c>
      <c r="X281" s="10">
        <f t="shared" si="80"/>
        <v>0</v>
      </c>
      <c r="Y281" s="9" t="b">
        <f t="shared" si="87"/>
        <v>1</v>
      </c>
    </row>
    <row r="282" spans="1:25" s="9" customFormat="1" ht="13.5" customHeight="1" x14ac:dyDescent="0.2">
      <c r="A282" s="64">
        <f t="shared" si="81"/>
        <v>278</v>
      </c>
      <c r="B282" s="240" t="s">
        <v>998</v>
      </c>
      <c r="C282" s="163">
        <v>40661</v>
      </c>
      <c r="D282" s="67">
        <v>145000000</v>
      </c>
      <c r="E282" s="241"/>
      <c r="F282" s="67">
        <f t="shared" si="86"/>
        <v>145000000</v>
      </c>
      <c r="G282" s="110">
        <v>144999000</v>
      </c>
      <c r="H282" s="67">
        <f t="shared" si="82"/>
        <v>1000</v>
      </c>
      <c r="I282" s="68">
        <v>5</v>
      </c>
      <c r="J282" s="68">
        <v>0.2</v>
      </c>
      <c r="K282" s="68">
        <v>0</v>
      </c>
      <c r="L282" s="110">
        <f t="shared" si="83"/>
        <v>0</v>
      </c>
      <c r="M282" s="110">
        <f t="shared" si="84"/>
        <v>144999000</v>
      </c>
      <c r="N282" s="67">
        <f t="shared" si="85"/>
        <v>1000</v>
      </c>
      <c r="O282" s="246"/>
      <c r="P282" s="247">
        <v>1</v>
      </c>
      <c r="Q282" s="250" t="s">
        <v>988</v>
      </c>
      <c r="R282" s="23"/>
      <c r="S282" s="23">
        <f t="shared" si="72"/>
        <v>7250000</v>
      </c>
      <c r="T282" s="23">
        <f t="shared" si="73"/>
        <v>-7249000</v>
      </c>
      <c r="U282" s="23">
        <f t="shared" si="74"/>
        <v>0</v>
      </c>
      <c r="V282" s="10">
        <f t="shared" si="75"/>
        <v>29000000</v>
      </c>
      <c r="W282" s="10">
        <f t="shared" si="76"/>
        <v>0</v>
      </c>
      <c r="X282" s="10">
        <f t="shared" si="80"/>
        <v>0</v>
      </c>
      <c r="Y282" s="9" t="b">
        <f t="shared" si="87"/>
        <v>1</v>
      </c>
    </row>
    <row r="283" spans="1:25" s="9" customFormat="1" ht="13.5" customHeight="1" x14ac:dyDescent="0.2">
      <c r="A283" s="64">
        <f t="shared" si="81"/>
        <v>279</v>
      </c>
      <c r="B283" s="240" t="s">
        <v>999</v>
      </c>
      <c r="C283" s="163">
        <v>40661</v>
      </c>
      <c r="D283" s="67">
        <v>23000000</v>
      </c>
      <c r="E283" s="241"/>
      <c r="F283" s="67">
        <f t="shared" si="86"/>
        <v>23000000</v>
      </c>
      <c r="G283" s="110">
        <v>22999000</v>
      </c>
      <c r="H283" s="67">
        <f t="shared" si="82"/>
        <v>1000</v>
      </c>
      <c r="I283" s="68">
        <v>5</v>
      </c>
      <c r="J283" s="68">
        <v>0.2</v>
      </c>
      <c r="K283" s="68">
        <v>0</v>
      </c>
      <c r="L283" s="110">
        <f t="shared" si="83"/>
        <v>0</v>
      </c>
      <c r="M283" s="110">
        <f t="shared" si="84"/>
        <v>22999000</v>
      </c>
      <c r="N283" s="67">
        <f t="shared" si="85"/>
        <v>1000</v>
      </c>
      <c r="O283" s="246"/>
      <c r="P283" s="247">
        <v>2</v>
      </c>
      <c r="Q283" s="250" t="s">
        <v>988</v>
      </c>
      <c r="R283" s="23"/>
      <c r="S283" s="23">
        <f t="shared" si="72"/>
        <v>1150000</v>
      </c>
      <c r="T283" s="23">
        <f t="shared" si="73"/>
        <v>-1149000</v>
      </c>
      <c r="U283" s="23">
        <f t="shared" si="74"/>
        <v>0</v>
      </c>
      <c r="V283" s="10">
        <f t="shared" si="75"/>
        <v>4600000</v>
      </c>
      <c r="W283" s="10">
        <f t="shared" si="76"/>
        <v>0</v>
      </c>
      <c r="X283" s="10">
        <f t="shared" si="80"/>
        <v>0</v>
      </c>
      <c r="Y283" s="9" t="b">
        <f t="shared" si="87"/>
        <v>1</v>
      </c>
    </row>
    <row r="284" spans="1:25" s="9" customFormat="1" ht="13.5" customHeight="1" x14ac:dyDescent="0.2">
      <c r="A284" s="64">
        <f t="shared" si="81"/>
        <v>280</v>
      </c>
      <c r="B284" s="240" t="s">
        <v>999</v>
      </c>
      <c r="C284" s="163">
        <v>40661</v>
      </c>
      <c r="D284" s="67">
        <v>23000000</v>
      </c>
      <c r="E284" s="241"/>
      <c r="F284" s="67">
        <f t="shared" si="86"/>
        <v>23000000</v>
      </c>
      <c r="G284" s="110">
        <v>22999000</v>
      </c>
      <c r="H284" s="67">
        <f t="shared" si="82"/>
        <v>1000</v>
      </c>
      <c r="I284" s="68">
        <v>5</v>
      </c>
      <c r="J284" s="68">
        <v>0.2</v>
      </c>
      <c r="K284" s="68">
        <v>0</v>
      </c>
      <c r="L284" s="110">
        <f t="shared" si="83"/>
        <v>0</v>
      </c>
      <c r="M284" s="110">
        <f t="shared" si="84"/>
        <v>22999000</v>
      </c>
      <c r="N284" s="67">
        <f t="shared" si="85"/>
        <v>1000</v>
      </c>
      <c r="O284" s="246"/>
      <c r="P284" s="247">
        <v>1</v>
      </c>
      <c r="Q284" s="250" t="s">
        <v>988</v>
      </c>
      <c r="R284" s="23"/>
      <c r="S284" s="23">
        <f t="shared" si="72"/>
        <v>1150000</v>
      </c>
      <c r="T284" s="23">
        <f t="shared" si="73"/>
        <v>-1149000</v>
      </c>
      <c r="U284" s="23">
        <f t="shared" si="74"/>
        <v>0</v>
      </c>
      <c r="V284" s="10">
        <f t="shared" si="75"/>
        <v>4600000</v>
      </c>
      <c r="W284" s="10">
        <f t="shared" si="76"/>
        <v>0</v>
      </c>
      <c r="X284" s="10">
        <f t="shared" si="80"/>
        <v>0</v>
      </c>
      <c r="Y284" s="9" t="b">
        <f t="shared" si="87"/>
        <v>1</v>
      </c>
    </row>
    <row r="285" spans="1:25" s="9" customFormat="1" ht="13.5" customHeight="1" x14ac:dyDescent="0.2">
      <c r="A285" s="322">
        <f t="shared" si="81"/>
        <v>281</v>
      </c>
      <c r="B285" s="254" t="s">
        <v>1000</v>
      </c>
      <c r="C285" s="255">
        <v>40661</v>
      </c>
      <c r="D285" s="256">
        <v>1968800000</v>
      </c>
      <c r="E285" s="427"/>
      <c r="F285" s="256">
        <f t="shared" si="86"/>
        <v>1968800000</v>
      </c>
      <c r="G285" s="258">
        <v>1968799000</v>
      </c>
      <c r="H285" s="256">
        <f t="shared" si="82"/>
        <v>1000</v>
      </c>
      <c r="I285" s="259">
        <v>5</v>
      </c>
      <c r="J285" s="259">
        <v>0.2</v>
      </c>
      <c r="K285" s="68">
        <v>0</v>
      </c>
      <c r="L285" s="258">
        <f t="shared" si="83"/>
        <v>0</v>
      </c>
      <c r="M285" s="258">
        <f t="shared" si="84"/>
        <v>1968799000</v>
      </c>
      <c r="N285" s="256">
        <f t="shared" si="85"/>
        <v>1000</v>
      </c>
      <c r="O285" s="260"/>
      <c r="P285" s="261">
        <v>5</v>
      </c>
      <c r="Q285" s="262" t="s">
        <v>1001</v>
      </c>
      <c r="R285" s="23"/>
      <c r="S285" s="23">
        <f t="shared" si="72"/>
        <v>98440000</v>
      </c>
      <c r="T285" s="23">
        <f t="shared" si="73"/>
        <v>-98439000</v>
      </c>
      <c r="U285" s="23">
        <f t="shared" si="74"/>
        <v>0</v>
      </c>
      <c r="V285" s="10">
        <f t="shared" si="75"/>
        <v>393760000</v>
      </c>
      <c r="W285" s="10">
        <f t="shared" si="76"/>
        <v>0</v>
      </c>
      <c r="X285" s="10">
        <f t="shared" si="80"/>
        <v>0</v>
      </c>
      <c r="Y285" s="9" t="b">
        <f t="shared" si="87"/>
        <v>1</v>
      </c>
    </row>
    <row r="286" spans="1:25" s="9" customFormat="1" ht="13.5" customHeight="1" x14ac:dyDescent="0.2">
      <c r="A286" s="64">
        <f t="shared" si="81"/>
        <v>282</v>
      </c>
      <c r="B286" s="240" t="s">
        <v>1002</v>
      </c>
      <c r="C286" s="163">
        <v>40661</v>
      </c>
      <c r="D286" s="67">
        <v>330000000</v>
      </c>
      <c r="E286" s="241"/>
      <c r="F286" s="67">
        <f t="shared" si="86"/>
        <v>330000000</v>
      </c>
      <c r="G286" s="110">
        <v>329999000</v>
      </c>
      <c r="H286" s="67">
        <f t="shared" si="82"/>
        <v>1000</v>
      </c>
      <c r="I286" s="68">
        <v>5</v>
      </c>
      <c r="J286" s="68">
        <v>0.2</v>
      </c>
      <c r="K286" s="68">
        <v>0</v>
      </c>
      <c r="L286" s="110">
        <f t="shared" si="83"/>
        <v>0</v>
      </c>
      <c r="M286" s="110">
        <f t="shared" si="84"/>
        <v>329999000</v>
      </c>
      <c r="N286" s="67">
        <f t="shared" si="85"/>
        <v>1000</v>
      </c>
      <c r="O286" s="246"/>
      <c r="P286" s="247">
        <v>1</v>
      </c>
      <c r="Q286" s="250" t="s">
        <v>988</v>
      </c>
      <c r="R286" s="23"/>
      <c r="S286" s="23">
        <f t="shared" si="72"/>
        <v>16500000</v>
      </c>
      <c r="T286" s="23">
        <f t="shared" si="73"/>
        <v>-16499000</v>
      </c>
      <c r="U286" s="23">
        <f t="shared" si="74"/>
        <v>0</v>
      </c>
      <c r="V286" s="10">
        <f t="shared" si="75"/>
        <v>66000000</v>
      </c>
      <c r="W286" s="10">
        <f t="shared" si="76"/>
        <v>0</v>
      </c>
      <c r="X286" s="10">
        <f t="shared" si="80"/>
        <v>0</v>
      </c>
      <c r="Y286" s="9" t="b">
        <f t="shared" si="87"/>
        <v>1</v>
      </c>
    </row>
    <row r="287" spans="1:25" s="9" customFormat="1" ht="13.5" customHeight="1" x14ac:dyDescent="0.2">
      <c r="A287" s="775">
        <f t="shared" si="81"/>
        <v>283</v>
      </c>
      <c r="B287" s="776" t="s">
        <v>1003</v>
      </c>
      <c r="C287" s="777">
        <v>40661</v>
      </c>
      <c r="D287" s="778">
        <v>370400000</v>
      </c>
      <c r="E287" s="779"/>
      <c r="F287" s="778">
        <f t="shared" si="86"/>
        <v>370400000</v>
      </c>
      <c r="G287" s="780">
        <v>370399000</v>
      </c>
      <c r="H287" s="778">
        <v>1000</v>
      </c>
      <c r="I287" s="781">
        <v>5</v>
      </c>
      <c r="J287" s="781">
        <v>0.2</v>
      </c>
      <c r="K287" s="781">
        <v>0</v>
      </c>
      <c r="L287" s="780">
        <f t="shared" si="83"/>
        <v>0</v>
      </c>
      <c r="M287" s="780">
        <f>+G287+L287</f>
        <v>370399000</v>
      </c>
      <c r="N287" s="778">
        <f t="shared" si="85"/>
        <v>1000</v>
      </c>
      <c r="O287" s="782"/>
      <c r="P287" s="783">
        <v>1</v>
      </c>
      <c r="Q287" s="784" t="s">
        <v>2970</v>
      </c>
      <c r="R287" s="23"/>
      <c r="S287" s="23">
        <f t="shared" si="72"/>
        <v>18520000</v>
      </c>
      <c r="T287" s="23">
        <f t="shared" si="73"/>
        <v>-18519000</v>
      </c>
      <c r="U287" s="23">
        <f t="shared" si="74"/>
        <v>0</v>
      </c>
      <c r="V287" s="10">
        <f t="shared" si="75"/>
        <v>74080000</v>
      </c>
      <c r="W287" s="10">
        <f t="shared" si="76"/>
        <v>0</v>
      </c>
      <c r="X287" s="10">
        <f t="shared" si="80"/>
        <v>0</v>
      </c>
      <c r="Y287" s="9" t="b">
        <f t="shared" si="87"/>
        <v>1</v>
      </c>
    </row>
    <row r="288" spans="1:25" s="9" customFormat="1" ht="13.5" customHeight="1" x14ac:dyDescent="0.2">
      <c r="A288" s="64">
        <f t="shared" si="81"/>
        <v>284</v>
      </c>
      <c r="B288" s="240" t="s">
        <v>1004</v>
      </c>
      <c r="C288" s="163">
        <v>40661</v>
      </c>
      <c r="D288" s="67">
        <v>75000000</v>
      </c>
      <c r="E288" s="241"/>
      <c r="F288" s="67">
        <f t="shared" si="86"/>
        <v>75000000</v>
      </c>
      <c r="G288" s="110">
        <v>74999000</v>
      </c>
      <c r="H288" s="67">
        <f t="shared" si="82"/>
        <v>1000</v>
      </c>
      <c r="I288" s="68">
        <v>5</v>
      </c>
      <c r="J288" s="68">
        <v>0.2</v>
      </c>
      <c r="K288" s="68">
        <v>0</v>
      </c>
      <c r="L288" s="110">
        <f t="shared" si="83"/>
        <v>0</v>
      </c>
      <c r="M288" s="110">
        <f t="shared" si="84"/>
        <v>74999000</v>
      </c>
      <c r="N288" s="67">
        <f t="shared" si="85"/>
        <v>1000</v>
      </c>
      <c r="O288" s="246"/>
      <c r="P288" s="247">
        <v>1</v>
      </c>
      <c r="Q288" s="250" t="s">
        <v>988</v>
      </c>
      <c r="R288" s="23"/>
      <c r="S288" s="23">
        <f t="shared" si="72"/>
        <v>3750000</v>
      </c>
      <c r="T288" s="23">
        <f t="shared" si="73"/>
        <v>-3749000</v>
      </c>
      <c r="U288" s="23">
        <f t="shared" si="74"/>
        <v>0</v>
      </c>
      <c r="V288" s="10">
        <f t="shared" si="75"/>
        <v>15000000</v>
      </c>
      <c r="W288" s="10">
        <f t="shared" si="76"/>
        <v>0</v>
      </c>
      <c r="X288" s="10">
        <f t="shared" si="80"/>
        <v>0</v>
      </c>
      <c r="Y288" s="9" t="b">
        <f t="shared" si="87"/>
        <v>1</v>
      </c>
    </row>
    <row r="289" spans="1:25" s="9" customFormat="1" ht="13.5" customHeight="1" x14ac:dyDescent="0.2">
      <c r="A289" s="64">
        <f t="shared" si="81"/>
        <v>285</v>
      </c>
      <c r="B289" s="240" t="s">
        <v>1005</v>
      </c>
      <c r="C289" s="163">
        <v>40661</v>
      </c>
      <c r="D289" s="67">
        <v>15000000</v>
      </c>
      <c r="E289" s="241"/>
      <c r="F289" s="67">
        <f t="shared" si="86"/>
        <v>15000000</v>
      </c>
      <c r="G289" s="110">
        <v>14999000</v>
      </c>
      <c r="H289" s="67">
        <f t="shared" si="82"/>
        <v>1000</v>
      </c>
      <c r="I289" s="68">
        <v>5</v>
      </c>
      <c r="J289" s="68">
        <v>0.2</v>
      </c>
      <c r="K289" s="68">
        <v>0</v>
      </c>
      <c r="L289" s="110">
        <f t="shared" si="83"/>
        <v>0</v>
      </c>
      <c r="M289" s="110">
        <f t="shared" si="84"/>
        <v>14999000</v>
      </c>
      <c r="N289" s="67">
        <f t="shared" si="85"/>
        <v>1000</v>
      </c>
      <c r="O289" s="246"/>
      <c r="P289" s="247">
        <v>1</v>
      </c>
      <c r="Q289" s="250" t="s">
        <v>988</v>
      </c>
      <c r="R289" s="23"/>
      <c r="S289" s="23">
        <f t="shared" si="72"/>
        <v>750000</v>
      </c>
      <c r="T289" s="23">
        <f t="shared" si="73"/>
        <v>-749000</v>
      </c>
      <c r="U289" s="23">
        <f t="shared" si="74"/>
        <v>0</v>
      </c>
      <c r="V289" s="10">
        <f t="shared" si="75"/>
        <v>3000000</v>
      </c>
      <c r="W289" s="10">
        <f t="shared" si="76"/>
        <v>0</v>
      </c>
      <c r="X289" s="10">
        <f t="shared" si="80"/>
        <v>0</v>
      </c>
      <c r="Y289" s="9" t="b">
        <f t="shared" si="87"/>
        <v>1</v>
      </c>
    </row>
    <row r="290" spans="1:25" s="9" customFormat="1" ht="13.5" customHeight="1" x14ac:dyDescent="0.2">
      <c r="A290" s="64">
        <f t="shared" si="81"/>
        <v>286</v>
      </c>
      <c r="B290" s="240" t="s">
        <v>1006</v>
      </c>
      <c r="C290" s="163">
        <v>40661</v>
      </c>
      <c r="D290" s="67">
        <v>13000000</v>
      </c>
      <c r="E290" s="241"/>
      <c r="F290" s="67">
        <f t="shared" si="86"/>
        <v>13000000</v>
      </c>
      <c r="G290" s="110">
        <v>12999000</v>
      </c>
      <c r="H290" s="67">
        <f t="shared" si="82"/>
        <v>1000</v>
      </c>
      <c r="I290" s="68">
        <v>5</v>
      </c>
      <c r="J290" s="68">
        <v>0.2</v>
      </c>
      <c r="K290" s="68">
        <v>0</v>
      </c>
      <c r="L290" s="110">
        <f t="shared" si="83"/>
        <v>0</v>
      </c>
      <c r="M290" s="110">
        <f t="shared" si="84"/>
        <v>12999000</v>
      </c>
      <c r="N290" s="67">
        <f t="shared" si="85"/>
        <v>1000</v>
      </c>
      <c r="O290" s="246"/>
      <c r="P290" s="247">
        <v>1</v>
      </c>
      <c r="Q290" s="250" t="s">
        <v>988</v>
      </c>
      <c r="R290" s="23"/>
      <c r="S290" s="23">
        <f t="shared" si="72"/>
        <v>650000</v>
      </c>
      <c r="T290" s="23">
        <f t="shared" si="73"/>
        <v>-649000</v>
      </c>
      <c r="U290" s="23">
        <f t="shared" si="74"/>
        <v>0</v>
      </c>
      <c r="V290" s="10">
        <f t="shared" si="75"/>
        <v>2600000</v>
      </c>
      <c r="W290" s="10">
        <f t="shared" si="76"/>
        <v>0</v>
      </c>
      <c r="X290" s="10">
        <f t="shared" si="80"/>
        <v>0</v>
      </c>
      <c r="Y290" s="9" t="b">
        <f t="shared" si="87"/>
        <v>1</v>
      </c>
    </row>
    <row r="291" spans="1:25" s="9" customFormat="1" ht="13.5" customHeight="1" x14ac:dyDescent="0.2">
      <c r="A291" s="64">
        <f t="shared" si="81"/>
        <v>287</v>
      </c>
      <c r="B291" s="240" t="s">
        <v>1007</v>
      </c>
      <c r="C291" s="163">
        <v>40661</v>
      </c>
      <c r="D291" s="67">
        <v>15000000</v>
      </c>
      <c r="E291" s="241"/>
      <c r="F291" s="67">
        <f t="shared" si="86"/>
        <v>15000000</v>
      </c>
      <c r="G291" s="110">
        <v>14999000</v>
      </c>
      <c r="H291" s="67">
        <f t="shared" si="82"/>
        <v>1000</v>
      </c>
      <c r="I291" s="68">
        <v>5</v>
      </c>
      <c r="J291" s="68">
        <v>0.2</v>
      </c>
      <c r="K291" s="68">
        <v>0</v>
      </c>
      <c r="L291" s="110">
        <f t="shared" si="83"/>
        <v>0</v>
      </c>
      <c r="M291" s="110">
        <f t="shared" si="84"/>
        <v>14999000</v>
      </c>
      <c r="N291" s="67">
        <f t="shared" si="85"/>
        <v>1000</v>
      </c>
      <c r="O291" s="246"/>
      <c r="P291" s="247">
        <v>1</v>
      </c>
      <c r="Q291" s="250" t="s">
        <v>988</v>
      </c>
      <c r="R291" s="23"/>
      <c r="S291" s="23">
        <f t="shared" si="72"/>
        <v>750000</v>
      </c>
      <c r="T291" s="23">
        <f t="shared" si="73"/>
        <v>-749000</v>
      </c>
      <c r="U291" s="23">
        <f t="shared" si="74"/>
        <v>0</v>
      </c>
      <c r="V291" s="10">
        <f t="shared" si="75"/>
        <v>3000000</v>
      </c>
      <c r="W291" s="10">
        <f t="shared" si="76"/>
        <v>0</v>
      </c>
      <c r="X291" s="10">
        <f t="shared" si="80"/>
        <v>0</v>
      </c>
      <c r="Y291" s="9" t="b">
        <f t="shared" si="87"/>
        <v>1</v>
      </c>
    </row>
    <row r="292" spans="1:25" s="9" customFormat="1" ht="13.5" customHeight="1" x14ac:dyDescent="0.2">
      <c r="A292" s="64">
        <f t="shared" si="81"/>
        <v>288</v>
      </c>
      <c r="B292" s="240" t="s">
        <v>1008</v>
      </c>
      <c r="C292" s="163">
        <v>40661</v>
      </c>
      <c r="D292" s="67">
        <v>10000000</v>
      </c>
      <c r="E292" s="241"/>
      <c r="F292" s="67">
        <f t="shared" si="86"/>
        <v>10000000</v>
      </c>
      <c r="G292" s="110">
        <v>9999000</v>
      </c>
      <c r="H292" s="67">
        <f t="shared" si="82"/>
        <v>1000</v>
      </c>
      <c r="I292" s="68">
        <v>5</v>
      </c>
      <c r="J292" s="68">
        <v>0.2</v>
      </c>
      <c r="K292" s="68">
        <v>0</v>
      </c>
      <c r="L292" s="110">
        <f t="shared" si="83"/>
        <v>0</v>
      </c>
      <c r="M292" s="110">
        <f t="shared" si="84"/>
        <v>9999000</v>
      </c>
      <c r="N292" s="67">
        <f t="shared" si="85"/>
        <v>1000</v>
      </c>
      <c r="O292" s="246"/>
      <c r="P292" s="247">
        <v>1</v>
      </c>
      <c r="Q292" s="250" t="s">
        <v>988</v>
      </c>
      <c r="R292" s="23"/>
      <c r="S292" s="23">
        <f t="shared" si="72"/>
        <v>500000</v>
      </c>
      <c r="T292" s="23">
        <f t="shared" si="73"/>
        <v>-499000</v>
      </c>
      <c r="U292" s="23">
        <f t="shared" si="74"/>
        <v>0</v>
      </c>
      <c r="V292" s="10">
        <f t="shared" si="75"/>
        <v>2000000</v>
      </c>
      <c r="W292" s="10">
        <f t="shared" si="76"/>
        <v>0</v>
      </c>
      <c r="X292" s="10">
        <f t="shared" si="80"/>
        <v>0</v>
      </c>
      <c r="Y292" s="9" t="b">
        <f t="shared" si="87"/>
        <v>1</v>
      </c>
    </row>
    <row r="293" spans="1:25" s="9" customFormat="1" ht="13.5" customHeight="1" x14ac:dyDescent="0.2">
      <c r="A293" s="64">
        <f t="shared" si="81"/>
        <v>289</v>
      </c>
      <c r="B293" s="240" t="s">
        <v>1009</v>
      </c>
      <c r="C293" s="163">
        <v>40661</v>
      </c>
      <c r="D293" s="67">
        <v>23000000</v>
      </c>
      <c r="E293" s="241"/>
      <c r="F293" s="67">
        <f t="shared" si="86"/>
        <v>23000000</v>
      </c>
      <c r="G293" s="110">
        <v>22999000</v>
      </c>
      <c r="H293" s="67">
        <f t="shared" si="82"/>
        <v>1000</v>
      </c>
      <c r="I293" s="68">
        <v>5</v>
      </c>
      <c r="J293" s="68">
        <v>0.2</v>
      </c>
      <c r="K293" s="68">
        <v>0</v>
      </c>
      <c r="L293" s="110">
        <f t="shared" si="83"/>
        <v>0</v>
      </c>
      <c r="M293" s="110">
        <f t="shared" si="84"/>
        <v>22999000</v>
      </c>
      <c r="N293" s="67">
        <f t="shared" si="85"/>
        <v>1000</v>
      </c>
      <c r="O293" s="246"/>
      <c r="P293" s="247">
        <v>1</v>
      </c>
      <c r="Q293" s="250" t="s">
        <v>988</v>
      </c>
      <c r="R293" s="23"/>
      <c r="S293" s="23">
        <f t="shared" si="72"/>
        <v>1150000</v>
      </c>
      <c r="T293" s="23">
        <f t="shared" si="73"/>
        <v>-1149000</v>
      </c>
      <c r="U293" s="23">
        <f t="shared" si="74"/>
        <v>0</v>
      </c>
      <c r="V293" s="10">
        <f t="shared" si="75"/>
        <v>4600000</v>
      </c>
      <c r="W293" s="10">
        <f t="shared" si="76"/>
        <v>0</v>
      </c>
      <c r="X293" s="10">
        <f t="shared" si="80"/>
        <v>0</v>
      </c>
      <c r="Y293" s="9" t="b">
        <f t="shared" si="87"/>
        <v>1</v>
      </c>
    </row>
    <row r="294" spans="1:25" s="9" customFormat="1" ht="13.5" customHeight="1" x14ac:dyDescent="0.2">
      <c r="A294" s="64">
        <f t="shared" si="81"/>
        <v>290</v>
      </c>
      <c r="B294" s="240" t="s">
        <v>1010</v>
      </c>
      <c r="C294" s="163">
        <v>40661</v>
      </c>
      <c r="D294" s="67">
        <v>28000000</v>
      </c>
      <c r="E294" s="241"/>
      <c r="F294" s="67">
        <f t="shared" si="86"/>
        <v>28000000</v>
      </c>
      <c r="G294" s="110">
        <v>27999000</v>
      </c>
      <c r="H294" s="67">
        <f t="shared" si="82"/>
        <v>1000</v>
      </c>
      <c r="I294" s="68">
        <v>5</v>
      </c>
      <c r="J294" s="68">
        <v>0.2</v>
      </c>
      <c r="K294" s="68">
        <v>0</v>
      </c>
      <c r="L294" s="110">
        <f t="shared" si="83"/>
        <v>0</v>
      </c>
      <c r="M294" s="110">
        <f t="shared" si="84"/>
        <v>27999000</v>
      </c>
      <c r="N294" s="67">
        <f t="shared" si="85"/>
        <v>1000</v>
      </c>
      <c r="O294" s="246"/>
      <c r="P294" s="247">
        <v>4</v>
      </c>
      <c r="Q294" s="250" t="s">
        <v>988</v>
      </c>
      <c r="R294" s="23"/>
      <c r="S294" s="23">
        <f t="shared" si="72"/>
        <v>1400000</v>
      </c>
      <c r="T294" s="23">
        <f t="shared" si="73"/>
        <v>-1399000</v>
      </c>
      <c r="U294" s="23">
        <f t="shared" si="74"/>
        <v>0</v>
      </c>
      <c r="V294" s="10">
        <f t="shared" si="75"/>
        <v>5600000</v>
      </c>
      <c r="W294" s="10">
        <f t="shared" si="76"/>
        <v>0</v>
      </c>
      <c r="X294" s="10">
        <f t="shared" si="80"/>
        <v>0</v>
      </c>
      <c r="Y294" s="9" t="b">
        <f t="shared" si="87"/>
        <v>1</v>
      </c>
    </row>
    <row r="295" spans="1:25" s="9" customFormat="1" ht="13.5" customHeight="1" x14ac:dyDescent="0.2">
      <c r="A295" s="64">
        <f t="shared" si="81"/>
        <v>291</v>
      </c>
      <c r="B295" s="240" t="s">
        <v>701</v>
      </c>
      <c r="C295" s="163">
        <v>40661</v>
      </c>
      <c r="D295" s="67">
        <v>30000000</v>
      </c>
      <c r="E295" s="241"/>
      <c r="F295" s="67">
        <f t="shared" si="86"/>
        <v>30000000</v>
      </c>
      <c r="G295" s="110">
        <v>29999000</v>
      </c>
      <c r="H295" s="67">
        <f t="shared" si="82"/>
        <v>1000</v>
      </c>
      <c r="I295" s="68">
        <v>5</v>
      </c>
      <c r="J295" s="68">
        <v>0.2</v>
      </c>
      <c r="K295" s="68">
        <v>0</v>
      </c>
      <c r="L295" s="110">
        <f t="shared" si="83"/>
        <v>0</v>
      </c>
      <c r="M295" s="110">
        <f t="shared" si="84"/>
        <v>29999000</v>
      </c>
      <c r="N295" s="67">
        <f t="shared" si="85"/>
        <v>1000</v>
      </c>
      <c r="O295" s="246"/>
      <c r="P295" s="247">
        <v>2</v>
      </c>
      <c r="Q295" s="250" t="s">
        <v>988</v>
      </c>
      <c r="R295" s="23"/>
      <c r="S295" s="23">
        <f t="shared" ref="S295:S303" si="88">D295*0.05</f>
        <v>1500000</v>
      </c>
      <c r="T295" s="23">
        <f t="shared" ref="T295:T358" si="89">N295-S295</f>
        <v>-1499000</v>
      </c>
      <c r="U295" s="23">
        <f t="shared" ref="U295:U358" si="90">N295-1000</f>
        <v>0</v>
      </c>
      <c r="V295" s="10">
        <f t="shared" ref="V295:V358" si="91">F295/I295</f>
        <v>6000000</v>
      </c>
      <c r="W295" s="10">
        <f t="shared" ref="W295:W303" si="92">ROUND(IF(H295&lt;=1000,0,V295/12*3),0)</f>
        <v>0</v>
      </c>
      <c r="X295" s="10">
        <f t="shared" si="80"/>
        <v>0</v>
      </c>
      <c r="Y295" s="9" t="b">
        <f t="shared" si="87"/>
        <v>1</v>
      </c>
    </row>
    <row r="296" spans="1:25" s="9" customFormat="1" ht="13.5" customHeight="1" x14ac:dyDescent="0.2">
      <c r="A296" s="64">
        <f t="shared" si="81"/>
        <v>292</v>
      </c>
      <c r="B296" s="240" t="s">
        <v>1011</v>
      </c>
      <c r="C296" s="163">
        <v>40661</v>
      </c>
      <c r="D296" s="67">
        <v>26000000</v>
      </c>
      <c r="E296" s="241"/>
      <c r="F296" s="67">
        <f t="shared" si="86"/>
        <v>26000000</v>
      </c>
      <c r="G296" s="110">
        <v>25999000</v>
      </c>
      <c r="H296" s="67">
        <f t="shared" si="82"/>
        <v>1000</v>
      </c>
      <c r="I296" s="68">
        <v>5</v>
      </c>
      <c r="J296" s="68">
        <v>0.2</v>
      </c>
      <c r="K296" s="68">
        <v>0</v>
      </c>
      <c r="L296" s="110">
        <f t="shared" si="83"/>
        <v>0</v>
      </c>
      <c r="M296" s="110">
        <f t="shared" si="84"/>
        <v>25999000</v>
      </c>
      <c r="N296" s="67">
        <f t="shared" si="85"/>
        <v>1000</v>
      </c>
      <c r="O296" s="246"/>
      <c r="P296" s="247">
        <v>1</v>
      </c>
      <c r="Q296" s="250" t="s">
        <v>988</v>
      </c>
      <c r="R296" s="23"/>
      <c r="S296" s="23">
        <f t="shared" si="88"/>
        <v>1300000</v>
      </c>
      <c r="T296" s="23">
        <f t="shared" si="89"/>
        <v>-1299000</v>
      </c>
      <c r="U296" s="23">
        <f t="shared" si="90"/>
        <v>0</v>
      </c>
      <c r="V296" s="10">
        <f t="shared" si="91"/>
        <v>5200000</v>
      </c>
      <c r="W296" s="10">
        <f t="shared" si="92"/>
        <v>0</v>
      </c>
      <c r="X296" s="10">
        <f t="shared" si="80"/>
        <v>0</v>
      </c>
      <c r="Y296" s="9" t="b">
        <f t="shared" si="87"/>
        <v>1</v>
      </c>
    </row>
    <row r="297" spans="1:25" s="9" customFormat="1" ht="13.5" customHeight="1" x14ac:dyDescent="0.2">
      <c r="A297" s="64">
        <f t="shared" si="81"/>
        <v>293</v>
      </c>
      <c r="B297" s="240" t="s">
        <v>1012</v>
      </c>
      <c r="C297" s="163">
        <v>40661</v>
      </c>
      <c r="D297" s="67">
        <v>114000000</v>
      </c>
      <c r="E297" s="241"/>
      <c r="F297" s="67">
        <f t="shared" si="86"/>
        <v>114000000</v>
      </c>
      <c r="G297" s="110">
        <v>113999000</v>
      </c>
      <c r="H297" s="67">
        <f t="shared" si="82"/>
        <v>1000</v>
      </c>
      <c r="I297" s="68">
        <v>5</v>
      </c>
      <c r="J297" s="68">
        <v>0.2</v>
      </c>
      <c r="K297" s="68">
        <v>0</v>
      </c>
      <c r="L297" s="110">
        <f t="shared" si="83"/>
        <v>0</v>
      </c>
      <c r="M297" s="110">
        <f t="shared" si="84"/>
        <v>113999000</v>
      </c>
      <c r="N297" s="67">
        <f t="shared" si="85"/>
        <v>1000</v>
      </c>
      <c r="O297" s="246"/>
      <c r="P297" s="247">
        <v>59</v>
      </c>
      <c r="Q297" s="250" t="s">
        <v>988</v>
      </c>
      <c r="R297" s="23"/>
      <c r="S297" s="23">
        <f t="shared" si="88"/>
        <v>5700000</v>
      </c>
      <c r="T297" s="23">
        <f t="shared" si="89"/>
        <v>-5699000</v>
      </c>
      <c r="U297" s="23">
        <f t="shared" si="90"/>
        <v>0</v>
      </c>
      <c r="V297" s="10">
        <f t="shared" si="91"/>
        <v>22800000</v>
      </c>
      <c r="W297" s="10">
        <f t="shared" si="92"/>
        <v>0</v>
      </c>
      <c r="X297" s="10">
        <f t="shared" si="80"/>
        <v>0</v>
      </c>
      <c r="Y297" s="9" t="b">
        <f t="shared" si="87"/>
        <v>1</v>
      </c>
    </row>
    <row r="298" spans="1:25" s="9" customFormat="1" ht="13.5" customHeight="1" x14ac:dyDescent="0.2">
      <c r="A298" s="64">
        <f t="shared" si="81"/>
        <v>294</v>
      </c>
      <c r="B298" s="240" t="s">
        <v>1013</v>
      </c>
      <c r="C298" s="163">
        <v>40662</v>
      </c>
      <c r="D298" s="67">
        <v>1080000000</v>
      </c>
      <c r="E298" s="241"/>
      <c r="F298" s="67">
        <f t="shared" si="86"/>
        <v>1080000000</v>
      </c>
      <c r="G298" s="110">
        <v>1079999000</v>
      </c>
      <c r="H298" s="67">
        <f t="shared" si="82"/>
        <v>1000</v>
      </c>
      <c r="I298" s="68">
        <v>5</v>
      </c>
      <c r="J298" s="68">
        <v>0.2</v>
      </c>
      <c r="K298" s="68">
        <v>0</v>
      </c>
      <c r="L298" s="110">
        <f t="shared" si="83"/>
        <v>0</v>
      </c>
      <c r="M298" s="110">
        <f t="shared" si="84"/>
        <v>1079999000</v>
      </c>
      <c r="N298" s="67">
        <f t="shared" si="85"/>
        <v>1000</v>
      </c>
      <c r="O298" s="246"/>
      <c r="P298" s="247">
        <v>3</v>
      </c>
      <c r="Q298" s="250" t="s">
        <v>988</v>
      </c>
      <c r="R298" s="23"/>
      <c r="S298" s="23">
        <f t="shared" si="88"/>
        <v>54000000</v>
      </c>
      <c r="T298" s="23">
        <f t="shared" si="89"/>
        <v>-53999000</v>
      </c>
      <c r="U298" s="23">
        <f t="shared" si="90"/>
        <v>0</v>
      </c>
      <c r="V298" s="10">
        <f t="shared" si="91"/>
        <v>216000000</v>
      </c>
      <c r="W298" s="10">
        <f t="shared" si="92"/>
        <v>0</v>
      </c>
      <c r="X298" s="10">
        <f t="shared" si="80"/>
        <v>0</v>
      </c>
      <c r="Y298" s="9" t="b">
        <f t="shared" si="87"/>
        <v>1</v>
      </c>
    </row>
    <row r="299" spans="1:25" s="9" customFormat="1" ht="13.5" customHeight="1" x14ac:dyDescent="0.2">
      <c r="A299" s="64">
        <f t="shared" si="81"/>
        <v>295</v>
      </c>
      <c r="B299" s="240" t="s">
        <v>1014</v>
      </c>
      <c r="C299" s="163">
        <v>40688</v>
      </c>
      <c r="D299" s="67">
        <v>340000000</v>
      </c>
      <c r="E299" s="241"/>
      <c r="F299" s="67">
        <f t="shared" si="86"/>
        <v>340000000</v>
      </c>
      <c r="G299" s="110">
        <v>339999000</v>
      </c>
      <c r="H299" s="67">
        <f t="shared" si="82"/>
        <v>1000</v>
      </c>
      <c r="I299" s="68">
        <v>5</v>
      </c>
      <c r="J299" s="68">
        <v>0.2</v>
      </c>
      <c r="K299" s="68">
        <v>0</v>
      </c>
      <c r="L299" s="110">
        <f t="shared" si="83"/>
        <v>0</v>
      </c>
      <c r="M299" s="110">
        <f t="shared" si="84"/>
        <v>339999000</v>
      </c>
      <c r="N299" s="67">
        <f t="shared" si="85"/>
        <v>1000</v>
      </c>
      <c r="O299" s="246"/>
      <c r="P299" s="247">
        <v>1</v>
      </c>
      <c r="Q299" s="250" t="s">
        <v>988</v>
      </c>
      <c r="R299" s="23"/>
      <c r="S299" s="23">
        <f t="shared" si="88"/>
        <v>17000000</v>
      </c>
      <c r="T299" s="23">
        <f t="shared" si="89"/>
        <v>-16999000</v>
      </c>
      <c r="U299" s="23">
        <f t="shared" si="90"/>
        <v>0</v>
      </c>
      <c r="V299" s="10">
        <f t="shared" si="91"/>
        <v>68000000</v>
      </c>
      <c r="W299" s="10">
        <f t="shared" si="92"/>
        <v>0</v>
      </c>
      <c r="X299" s="10">
        <f t="shared" si="80"/>
        <v>0</v>
      </c>
      <c r="Y299" s="9" t="b">
        <f t="shared" si="87"/>
        <v>1</v>
      </c>
    </row>
    <row r="300" spans="1:25" s="9" customFormat="1" ht="13.5" customHeight="1" x14ac:dyDescent="0.2">
      <c r="A300" s="64">
        <f t="shared" si="81"/>
        <v>296</v>
      </c>
      <c r="B300" s="240" t="s">
        <v>796</v>
      </c>
      <c r="C300" s="163">
        <v>40694</v>
      </c>
      <c r="D300" s="67">
        <v>100000000</v>
      </c>
      <c r="E300" s="241"/>
      <c r="F300" s="67">
        <f t="shared" si="86"/>
        <v>100000000</v>
      </c>
      <c r="G300" s="110">
        <v>99999000</v>
      </c>
      <c r="H300" s="67">
        <f t="shared" si="82"/>
        <v>1000</v>
      </c>
      <c r="I300" s="68">
        <v>5</v>
      </c>
      <c r="J300" s="68">
        <v>0.2</v>
      </c>
      <c r="K300" s="68">
        <v>0</v>
      </c>
      <c r="L300" s="110">
        <f t="shared" si="83"/>
        <v>0</v>
      </c>
      <c r="M300" s="110">
        <f t="shared" si="84"/>
        <v>99999000</v>
      </c>
      <c r="N300" s="67">
        <f t="shared" si="85"/>
        <v>1000</v>
      </c>
      <c r="O300" s="246"/>
      <c r="P300" s="247">
        <v>1</v>
      </c>
      <c r="Q300" s="250" t="s">
        <v>988</v>
      </c>
      <c r="R300" s="23"/>
      <c r="S300" s="23">
        <f t="shared" si="88"/>
        <v>5000000</v>
      </c>
      <c r="T300" s="23">
        <f t="shared" si="89"/>
        <v>-4999000</v>
      </c>
      <c r="U300" s="23">
        <f t="shared" si="90"/>
        <v>0</v>
      </c>
      <c r="V300" s="10">
        <f t="shared" si="91"/>
        <v>20000000</v>
      </c>
      <c r="W300" s="10">
        <f t="shared" si="92"/>
        <v>0</v>
      </c>
      <c r="X300" s="10">
        <f t="shared" si="80"/>
        <v>0</v>
      </c>
      <c r="Y300" s="9" t="b">
        <f t="shared" si="87"/>
        <v>1</v>
      </c>
    </row>
    <row r="301" spans="1:25" s="9" customFormat="1" ht="13.5" customHeight="1" x14ac:dyDescent="0.2">
      <c r="A301" s="64">
        <f t="shared" si="81"/>
        <v>297</v>
      </c>
      <c r="B301" s="240" t="s">
        <v>896</v>
      </c>
      <c r="C301" s="163">
        <v>40718</v>
      </c>
      <c r="D301" s="67">
        <v>45000000</v>
      </c>
      <c r="E301" s="241"/>
      <c r="F301" s="67">
        <f t="shared" si="86"/>
        <v>45000000</v>
      </c>
      <c r="G301" s="110">
        <v>44999000</v>
      </c>
      <c r="H301" s="67">
        <f t="shared" si="82"/>
        <v>1000</v>
      </c>
      <c r="I301" s="68">
        <v>5</v>
      </c>
      <c r="J301" s="68">
        <v>0.2</v>
      </c>
      <c r="K301" s="68">
        <v>0</v>
      </c>
      <c r="L301" s="110">
        <f t="shared" si="83"/>
        <v>0</v>
      </c>
      <c r="M301" s="110">
        <f t="shared" si="84"/>
        <v>44999000</v>
      </c>
      <c r="N301" s="67">
        <f t="shared" si="85"/>
        <v>1000</v>
      </c>
      <c r="O301" s="246"/>
      <c r="P301" s="247">
        <v>1</v>
      </c>
      <c r="Q301" s="250" t="s">
        <v>988</v>
      </c>
      <c r="R301" s="23"/>
      <c r="S301" s="23">
        <f t="shared" si="88"/>
        <v>2250000</v>
      </c>
      <c r="T301" s="23">
        <f t="shared" si="89"/>
        <v>-2249000</v>
      </c>
      <c r="U301" s="23">
        <f t="shared" si="90"/>
        <v>0</v>
      </c>
      <c r="V301" s="10">
        <f t="shared" si="91"/>
        <v>9000000</v>
      </c>
      <c r="W301" s="10">
        <f t="shared" si="92"/>
        <v>0</v>
      </c>
      <c r="X301" s="10">
        <f t="shared" si="80"/>
        <v>0</v>
      </c>
      <c r="Y301" s="9" t="b">
        <f t="shared" si="87"/>
        <v>1</v>
      </c>
    </row>
    <row r="302" spans="1:25" s="9" customFormat="1" ht="13.5" customHeight="1" x14ac:dyDescent="0.2">
      <c r="A302" s="322">
        <f t="shared" si="81"/>
        <v>298</v>
      </c>
      <c r="B302" s="254" t="s">
        <v>1015</v>
      </c>
      <c r="C302" s="255">
        <v>40729</v>
      </c>
      <c r="D302" s="256">
        <v>134300000</v>
      </c>
      <c r="E302" s="427"/>
      <c r="F302" s="256">
        <f t="shared" si="86"/>
        <v>134300000</v>
      </c>
      <c r="G302" s="258">
        <v>134299000</v>
      </c>
      <c r="H302" s="256">
        <f t="shared" si="82"/>
        <v>1000</v>
      </c>
      <c r="I302" s="259">
        <v>5</v>
      </c>
      <c r="J302" s="259">
        <v>0.2</v>
      </c>
      <c r="K302" s="259">
        <v>0</v>
      </c>
      <c r="L302" s="258">
        <f t="shared" si="83"/>
        <v>0</v>
      </c>
      <c r="M302" s="258">
        <f t="shared" si="84"/>
        <v>134299000</v>
      </c>
      <c r="N302" s="256">
        <f t="shared" si="85"/>
        <v>1000</v>
      </c>
      <c r="O302" s="260" t="s">
        <v>1016</v>
      </c>
      <c r="P302" s="261">
        <v>1</v>
      </c>
      <c r="Q302" s="262" t="s">
        <v>1017</v>
      </c>
      <c r="R302" s="23"/>
      <c r="S302" s="23">
        <f t="shared" si="88"/>
        <v>6715000</v>
      </c>
      <c r="T302" s="23">
        <f t="shared" si="89"/>
        <v>-6714000</v>
      </c>
      <c r="U302" s="23">
        <f t="shared" si="90"/>
        <v>0</v>
      </c>
      <c r="V302" s="10">
        <f t="shared" si="91"/>
        <v>26860000</v>
      </c>
      <c r="W302" s="10">
        <f t="shared" si="92"/>
        <v>0</v>
      </c>
      <c r="X302" s="10">
        <f t="shared" si="80"/>
        <v>0</v>
      </c>
      <c r="Y302" s="9" t="b">
        <f t="shared" si="87"/>
        <v>1</v>
      </c>
    </row>
    <row r="303" spans="1:25" s="9" customFormat="1" ht="13.5" customHeight="1" x14ac:dyDescent="0.2">
      <c r="A303" s="64">
        <f t="shared" si="81"/>
        <v>299</v>
      </c>
      <c r="B303" s="428" t="s">
        <v>1018</v>
      </c>
      <c r="C303" s="270">
        <v>40661</v>
      </c>
      <c r="D303" s="429">
        <v>40000000</v>
      </c>
      <c r="E303" s="430"/>
      <c r="F303" s="429">
        <f t="shared" si="86"/>
        <v>40000000</v>
      </c>
      <c r="G303" s="431">
        <v>39999000</v>
      </c>
      <c r="H303" s="184">
        <f t="shared" si="82"/>
        <v>1000</v>
      </c>
      <c r="I303" s="432">
        <v>5</v>
      </c>
      <c r="J303" s="432">
        <v>0.2</v>
      </c>
      <c r="K303" s="68">
        <v>0</v>
      </c>
      <c r="L303" s="431">
        <f t="shared" si="83"/>
        <v>0</v>
      </c>
      <c r="M303" s="185">
        <f t="shared" si="84"/>
        <v>39999000</v>
      </c>
      <c r="N303" s="184">
        <f t="shared" si="85"/>
        <v>1000</v>
      </c>
      <c r="O303" s="433"/>
      <c r="P303" s="434">
        <v>1</v>
      </c>
      <c r="Q303" s="253" t="s">
        <v>988</v>
      </c>
      <c r="R303" s="23"/>
      <c r="S303" s="23">
        <f t="shared" si="88"/>
        <v>2000000</v>
      </c>
      <c r="T303" s="23">
        <f t="shared" si="89"/>
        <v>-1999000</v>
      </c>
      <c r="U303" s="23">
        <f t="shared" si="90"/>
        <v>0</v>
      </c>
      <c r="V303" s="10">
        <f t="shared" si="91"/>
        <v>8000000</v>
      </c>
      <c r="W303" s="10">
        <f t="shared" si="92"/>
        <v>0</v>
      </c>
      <c r="X303" s="10">
        <f t="shared" si="80"/>
        <v>0</v>
      </c>
      <c r="Y303" s="9" t="b">
        <f t="shared" si="87"/>
        <v>1</v>
      </c>
    </row>
    <row r="304" spans="1:25" s="9" customFormat="1" ht="13.5" customHeight="1" x14ac:dyDescent="0.2">
      <c r="A304" s="64">
        <f t="shared" si="81"/>
        <v>300</v>
      </c>
      <c r="B304" s="251" t="s">
        <v>1019</v>
      </c>
      <c r="C304" s="183">
        <v>41380</v>
      </c>
      <c r="D304" s="184">
        <v>2586810</v>
      </c>
      <c r="E304" s="264"/>
      <c r="F304" s="184">
        <f t="shared" si="86"/>
        <v>2586810</v>
      </c>
      <c r="G304" s="185">
        <v>2585810</v>
      </c>
      <c r="H304" s="184">
        <f t="shared" si="82"/>
        <v>1000</v>
      </c>
      <c r="I304" s="186">
        <v>5</v>
      </c>
      <c r="J304" s="186">
        <v>0.2</v>
      </c>
      <c r="K304" s="68">
        <v>0</v>
      </c>
      <c r="L304" s="185">
        <f t="shared" si="83"/>
        <v>0</v>
      </c>
      <c r="M304" s="185">
        <f t="shared" si="84"/>
        <v>2585810</v>
      </c>
      <c r="N304" s="184">
        <f t="shared" si="85"/>
        <v>1000</v>
      </c>
      <c r="O304" s="433" t="s">
        <v>1020</v>
      </c>
      <c r="P304" s="434">
        <v>1</v>
      </c>
      <c r="Q304" s="253" t="s">
        <v>988</v>
      </c>
      <c r="R304" s="23"/>
      <c r="S304" s="23">
        <f t="shared" ref="S304:S361" si="93">F304*0.05</f>
        <v>129340.5</v>
      </c>
      <c r="T304" s="23">
        <f t="shared" si="89"/>
        <v>-128340.5</v>
      </c>
      <c r="U304" s="23">
        <f t="shared" si="90"/>
        <v>0</v>
      </c>
      <c r="V304" s="10">
        <f t="shared" si="91"/>
        <v>517362</v>
      </c>
      <c r="W304" s="10">
        <f>ROUND(IF(H304&lt;=1000,0,V304/12*K304),0)-1001</f>
        <v>-1001</v>
      </c>
      <c r="X304" s="10">
        <f t="shared" si="80"/>
        <v>1001</v>
      </c>
      <c r="Y304" s="9" t="b">
        <f t="shared" si="87"/>
        <v>0</v>
      </c>
    </row>
    <row r="305" spans="1:25" s="9" customFormat="1" ht="13.5" customHeight="1" x14ac:dyDescent="0.2">
      <c r="A305" s="64">
        <f t="shared" si="81"/>
        <v>301</v>
      </c>
      <c r="B305" s="428" t="s">
        <v>1021</v>
      </c>
      <c r="C305" s="435">
        <v>41445</v>
      </c>
      <c r="D305" s="271">
        <v>29000000</v>
      </c>
      <c r="E305" s="436"/>
      <c r="F305" s="184">
        <f t="shared" si="86"/>
        <v>29000000</v>
      </c>
      <c r="G305" s="437">
        <v>28999000</v>
      </c>
      <c r="H305" s="184">
        <f t="shared" si="82"/>
        <v>1000</v>
      </c>
      <c r="I305" s="438">
        <v>5</v>
      </c>
      <c r="J305" s="438">
        <v>0.2</v>
      </c>
      <c r="K305" s="68">
        <v>0</v>
      </c>
      <c r="L305" s="437">
        <f>ROUND(IF(F305*J305*K305/12&gt;=H305,H305-1000,F305*J305*K305/12),0)</f>
        <v>0</v>
      </c>
      <c r="M305" s="437">
        <f t="shared" si="84"/>
        <v>28999000</v>
      </c>
      <c r="N305" s="271">
        <f t="shared" si="85"/>
        <v>1000</v>
      </c>
      <c r="O305" s="439" t="s">
        <v>1022</v>
      </c>
      <c r="P305" s="440">
        <v>1</v>
      </c>
      <c r="Q305" s="441" t="s">
        <v>988</v>
      </c>
      <c r="R305" s="23"/>
      <c r="S305" s="23">
        <f t="shared" si="93"/>
        <v>1450000</v>
      </c>
      <c r="T305" s="23">
        <f t="shared" si="89"/>
        <v>-1449000</v>
      </c>
      <c r="U305" s="23">
        <f t="shared" si="90"/>
        <v>0</v>
      </c>
      <c r="V305" s="10">
        <f t="shared" si="91"/>
        <v>5800000</v>
      </c>
      <c r="W305" s="10">
        <f>ROUND(IF(H305&lt;=1000,0,V305/12*K305),0)-1000</f>
        <v>-1000</v>
      </c>
      <c r="X305" s="10">
        <f t="shared" si="80"/>
        <v>1000</v>
      </c>
      <c r="Y305" s="9" t="b">
        <f t="shared" si="87"/>
        <v>0</v>
      </c>
    </row>
    <row r="306" spans="1:25" s="9" customFormat="1" ht="13.5" customHeight="1" x14ac:dyDescent="0.2">
      <c r="A306" s="64">
        <f t="shared" si="81"/>
        <v>302</v>
      </c>
      <c r="B306" s="269" t="s">
        <v>1023</v>
      </c>
      <c r="C306" s="270">
        <v>41591</v>
      </c>
      <c r="D306" s="271">
        <v>108000000</v>
      </c>
      <c r="E306" s="436"/>
      <c r="F306" s="184">
        <f t="shared" si="86"/>
        <v>108000000</v>
      </c>
      <c r="G306" s="437">
        <v>107999000</v>
      </c>
      <c r="H306" s="184">
        <f t="shared" si="82"/>
        <v>1000</v>
      </c>
      <c r="I306" s="438">
        <v>5</v>
      </c>
      <c r="J306" s="438">
        <v>0.2</v>
      </c>
      <c r="K306" s="68">
        <v>0</v>
      </c>
      <c r="L306" s="437">
        <f t="shared" ref="L306:L360" si="94">ROUND(IF(F306*J306*K306/12&gt;=H306,H306-1000,F306*J306*K306/12),0)</f>
        <v>0</v>
      </c>
      <c r="M306" s="437">
        <f t="shared" si="84"/>
        <v>107999000</v>
      </c>
      <c r="N306" s="271">
        <f t="shared" si="85"/>
        <v>1000</v>
      </c>
      <c r="O306" s="439" t="s">
        <v>800</v>
      </c>
      <c r="P306" s="440">
        <v>1</v>
      </c>
      <c r="Q306" s="441" t="s">
        <v>988</v>
      </c>
      <c r="R306" s="23"/>
      <c r="S306" s="23">
        <f t="shared" si="93"/>
        <v>5400000</v>
      </c>
      <c r="T306" s="23">
        <f t="shared" si="89"/>
        <v>-5399000</v>
      </c>
      <c r="U306" s="23">
        <f t="shared" si="90"/>
        <v>0</v>
      </c>
      <c r="V306" s="10">
        <f t="shared" si="91"/>
        <v>21600000</v>
      </c>
      <c r="W306" s="10">
        <f>ROUND(IF(H306&lt;=1000,0,V306/12*K306),0)-1000</f>
        <v>-1000</v>
      </c>
      <c r="X306" s="10">
        <f t="shared" si="80"/>
        <v>1000</v>
      </c>
      <c r="Y306" s="9" t="b">
        <f t="shared" si="87"/>
        <v>0</v>
      </c>
    </row>
    <row r="307" spans="1:25" s="9" customFormat="1" ht="13.5" customHeight="1" x14ac:dyDescent="0.2">
      <c r="A307" s="64">
        <f t="shared" si="81"/>
        <v>303</v>
      </c>
      <c r="B307" s="269" t="s">
        <v>1024</v>
      </c>
      <c r="C307" s="270">
        <v>41659</v>
      </c>
      <c r="D307" s="436">
        <v>5800000</v>
      </c>
      <c r="E307" s="436"/>
      <c r="F307" s="184">
        <f t="shared" si="86"/>
        <v>5800000</v>
      </c>
      <c r="G307" s="437">
        <v>5799000</v>
      </c>
      <c r="H307" s="184">
        <f t="shared" si="82"/>
        <v>1000</v>
      </c>
      <c r="I307" s="438">
        <v>5</v>
      </c>
      <c r="J307" s="438">
        <v>0.2</v>
      </c>
      <c r="K307" s="68">
        <v>0</v>
      </c>
      <c r="L307" s="437">
        <f t="shared" si="94"/>
        <v>0</v>
      </c>
      <c r="M307" s="437">
        <f t="shared" si="84"/>
        <v>5799000</v>
      </c>
      <c r="N307" s="271">
        <f t="shared" si="85"/>
        <v>1000</v>
      </c>
      <c r="O307" s="439" t="s">
        <v>1025</v>
      </c>
      <c r="P307" s="440">
        <v>1</v>
      </c>
      <c r="Q307" s="441" t="s">
        <v>988</v>
      </c>
      <c r="R307" s="23"/>
      <c r="S307" s="23">
        <f t="shared" si="93"/>
        <v>290000</v>
      </c>
      <c r="T307" s="23">
        <f t="shared" si="89"/>
        <v>-289000</v>
      </c>
      <c r="U307" s="23">
        <f t="shared" si="90"/>
        <v>0</v>
      </c>
      <c r="V307" s="10">
        <f t="shared" si="91"/>
        <v>1160000</v>
      </c>
      <c r="W307" s="10">
        <f>ROUND(IF(H307&lt;=1000,0,V307/12*K307),0)-1000</f>
        <v>-1000</v>
      </c>
      <c r="X307" s="10">
        <f t="shared" si="80"/>
        <v>1000</v>
      </c>
      <c r="Y307" s="9" t="b">
        <f t="shared" si="87"/>
        <v>0</v>
      </c>
    </row>
    <row r="308" spans="1:25" s="9" customFormat="1" ht="13.5" customHeight="1" x14ac:dyDescent="0.2">
      <c r="A308" s="64">
        <f t="shared" si="81"/>
        <v>304</v>
      </c>
      <c r="B308" s="269" t="s">
        <v>1026</v>
      </c>
      <c r="C308" s="270">
        <v>41666</v>
      </c>
      <c r="D308" s="436">
        <v>6500000</v>
      </c>
      <c r="E308" s="436"/>
      <c r="F308" s="184">
        <f t="shared" si="86"/>
        <v>6500000</v>
      </c>
      <c r="G308" s="437">
        <v>6499000</v>
      </c>
      <c r="H308" s="184">
        <f t="shared" si="82"/>
        <v>1000</v>
      </c>
      <c r="I308" s="438">
        <v>5</v>
      </c>
      <c r="J308" s="438">
        <v>0.2</v>
      </c>
      <c r="K308" s="68">
        <v>0</v>
      </c>
      <c r="L308" s="437">
        <f t="shared" si="94"/>
        <v>0</v>
      </c>
      <c r="M308" s="437">
        <f t="shared" si="84"/>
        <v>6499000</v>
      </c>
      <c r="N308" s="271">
        <f t="shared" si="85"/>
        <v>1000</v>
      </c>
      <c r="O308" s="439" t="s">
        <v>1027</v>
      </c>
      <c r="P308" s="440">
        <v>1</v>
      </c>
      <c r="Q308" s="441" t="s">
        <v>988</v>
      </c>
      <c r="R308" s="23"/>
      <c r="S308" s="23">
        <f t="shared" si="93"/>
        <v>325000</v>
      </c>
      <c r="T308" s="23">
        <f t="shared" si="89"/>
        <v>-324000</v>
      </c>
      <c r="U308" s="23">
        <f t="shared" si="90"/>
        <v>0</v>
      </c>
      <c r="V308" s="10">
        <f t="shared" si="91"/>
        <v>1300000</v>
      </c>
      <c r="W308" s="10">
        <f>ROUND(IF(H308&lt;=1000,0,V308/12*K308),0)-1000</f>
        <v>-1000</v>
      </c>
      <c r="X308" s="10">
        <f t="shared" si="80"/>
        <v>1000</v>
      </c>
      <c r="Y308" s="9" t="b">
        <f t="shared" si="87"/>
        <v>0</v>
      </c>
    </row>
    <row r="309" spans="1:25" s="9" customFormat="1" ht="13.5" customHeight="1" x14ac:dyDescent="0.2">
      <c r="A309" s="64">
        <f t="shared" si="81"/>
        <v>305</v>
      </c>
      <c r="B309" s="269" t="s">
        <v>1028</v>
      </c>
      <c r="C309" s="270">
        <v>41850</v>
      </c>
      <c r="D309" s="436">
        <v>54000000</v>
      </c>
      <c r="E309" s="436"/>
      <c r="F309" s="184">
        <f t="shared" si="86"/>
        <v>54000000</v>
      </c>
      <c r="G309" s="437">
        <v>53999000</v>
      </c>
      <c r="H309" s="184">
        <f t="shared" si="82"/>
        <v>1000</v>
      </c>
      <c r="I309" s="438">
        <v>5</v>
      </c>
      <c r="J309" s="438">
        <v>0.2</v>
      </c>
      <c r="K309" s="68">
        <v>0</v>
      </c>
      <c r="L309" s="437">
        <f t="shared" si="94"/>
        <v>0</v>
      </c>
      <c r="M309" s="437">
        <f t="shared" si="84"/>
        <v>53999000</v>
      </c>
      <c r="N309" s="271">
        <f t="shared" si="85"/>
        <v>1000</v>
      </c>
      <c r="O309" s="439" t="s">
        <v>1029</v>
      </c>
      <c r="P309" s="440">
        <v>1</v>
      </c>
      <c r="Q309" s="441" t="s">
        <v>988</v>
      </c>
      <c r="R309" s="23"/>
      <c r="S309" s="23">
        <f t="shared" si="93"/>
        <v>2700000</v>
      </c>
      <c r="T309" s="23">
        <f t="shared" si="89"/>
        <v>-2699000</v>
      </c>
      <c r="U309" s="23">
        <f t="shared" si="90"/>
        <v>0</v>
      </c>
      <c r="V309" s="10">
        <f t="shared" si="91"/>
        <v>10800000</v>
      </c>
      <c r="W309" s="10">
        <f t="shared" ref="W309:W361" si="95">ROUND(IF(H309&lt;=1000,0,V309/12*K309),0)</f>
        <v>0</v>
      </c>
      <c r="X309" s="10">
        <f t="shared" si="80"/>
        <v>0</v>
      </c>
      <c r="Y309" s="9" t="b">
        <f t="shared" si="87"/>
        <v>1</v>
      </c>
    </row>
    <row r="310" spans="1:25" s="9" customFormat="1" ht="13.5" customHeight="1" x14ac:dyDescent="0.2">
      <c r="A310" s="64">
        <f t="shared" si="81"/>
        <v>306</v>
      </c>
      <c r="B310" s="269" t="s">
        <v>1030</v>
      </c>
      <c r="C310" s="270">
        <v>41981</v>
      </c>
      <c r="D310" s="436">
        <v>18000000</v>
      </c>
      <c r="E310" s="436"/>
      <c r="F310" s="271">
        <f t="shared" si="86"/>
        <v>18000000</v>
      </c>
      <c r="G310" s="437">
        <v>17999000</v>
      </c>
      <c r="H310" s="271">
        <f t="shared" si="82"/>
        <v>1000</v>
      </c>
      <c r="I310" s="438">
        <v>5</v>
      </c>
      <c r="J310" s="438">
        <v>0.2</v>
      </c>
      <c r="K310" s="68">
        <v>0</v>
      </c>
      <c r="L310" s="437">
        <f t="shared" si="94"/>
        <v>0</v>
      </c>
      <c r="M310" s="437">
        <f t="shared" si="84"/>
        <v>17999000</v>
      </c>
      <c r="N310" s="271">
        <f t="shared" si="85"/>
        <v>1000</v>
      </c>
      <c r="O310" s="439" t="s">
        <v>812</v>
      </c>
      <c r="P310" s="440">
        <v>10</v>
      </c>
      <c r="Q310" s="441" t="s">
        <v>988</v>
      </c>
      <c r="R310" s="23"/>
      <c r="S310" s="23">
        <f t="shared" si="93"/>
        <v>900000</v>
      </c>
      <c r="T310" s="23">
        <f t="shared" si="89"/>
        <v>-899000</v>
      </c>
      <c r="U310" s="23">
        <f t="shared" si="90"/>
        <v>0</v>
      </c>
      <c r="V310" s="10">
        <f t="shared" si="91"/>
        <v>3600000</v>
      </c>
      <c r="W310" s="10">
        <f t="shared" si="95"/>
        <v>0</v>
      </c>
      <c r="X310" s="10">
        <f t="shared" si="80"/>
        <v>0</v>
      </c>
      <c r="Y310" s="9" t="b">
        <f t="shared" si="87"/>
        <v>1</v>
      </c>
    </row>
    <row r="311" spans="1:25" s="9" customFormat="1" ht="13.5" customHeight="1" x14ac:dyDescent="0.2">
      <c r="A311" s="64">
        <f t="shared" si="81"/>
        <v>307</v>
      </c>
      <c r="B311" s="269" t="s">
        <v>1031</v>
      </c>
      <c r="C311" s="270">
        <v>41983</v>
      </c>
      <c r="D311" s="436">
        <v>222000000</v>
      </c>
      <c r="E311" s="436"/>
      <c r="F311" s="271">
        <f t="shared" si="86"/>
        <v>222000000</v>
      </c>
      <c r="G311" s="437">
        <v>221999000</v>
      </c>
      <c r="H311" s="271">
        <f t="shared" si="82"/>
        <v>1000</v>
      </c>
      <c r="I311" s="438">
        <v>5</v>
      </c>
      <c r="J311" s="438">
        <v>0.2</v>
      </c>
      <c r="K311" s="68">
        <v>0</v>
      </c>
      <c r="L311" s="437">
        <f t="shared" si="94"/>
        <v>0</v>
      </c>
      <c r="M311" s="437">
        <f t="shared" si="84"/>
        <v>221999000</v>
      </c>
      <c r="N311" s="271">
        <f t="shared" si="85"/>
        <v>1000</v>
      </c>
      <c r="O311" s="439" t="s">
        <v>407</v>
      </c>
      <c r="P311" s="440">
        <v>6</v>
      </c>
      <c r="Q311" s="441" t="s">
        <v>988</v>
      </c>
      <c r="R311" s="23"/>
      <c r="S311" s="23">
        <f t="shared" si="93"/>
        <v>11100000</v>
      </c>
      <c r="T311" s="23">
        <f t="shared" si="89"/>
        <v>-11099000</v>
      </c>
      <c r="U311" s="23">
        <f t="shared" si="90"/>
        <v>0</v>
      </c>
      <c r="V311" s="10">
        <f t="shared" si="91"/>
        <v>44400000</v>
      </c>
      <c r="W311" s="10">
        <f t="shared" si="95"/>
        <v>0</v>
      </c>
      <c r="X311" s="10">
        <f t="shared" si="80"/>
        <v>0</v>
      </c>
      <c r="Y311" s="9" t="b">
        <f t="shared" si="87"/>
        <v>1</v>
      </c>
    </row>
    <row r="312" spans="1:25" s="9" customFormat="1" ht="13.5" customHeight="1" x14ac:dyDescent="0.2">
      <c r="A312" s="64">
        <f t="shared" si="81"/>
        <v>308</v>
      </c>
      <c r="B312" s="269" t="s">
        <v>1032</v>
      </c>
      <c r="C312" s="270">
        <v>42004</v>
      </c>
      <c r="D312" s="436">
        <v>33500000</v>
      </c>
      <c r="E312" s="436"/>
      <c r="F312" s="271">
        <f t="shared" si="86"/>
        <v>33500000</v>
      </c>
      <c r="G312" s="437">
        <v>33499000</v>
      </c>
      <c r="H312" s="271">
        <f t="shared" si="82"/>
        <v>1000</v>
      </c>
      <c r="I312" s="438">
        <v>5</v>
      </c>
      <c r="J312" s="438">
        <v>0.2</v>
      </c>
      <c r="K312" s="68">
        <v>0</v>
      </c>
      <c r="L312" s="437">
        <f>ROUND(IF(F312*J312*K312/12&gt;=H312,H312-1000,F312*J312*K312/12),0)</f>
        <v>0</v>
      </c>
      <c r="M312" s="437">
        <f t="shared" si="84"/>
        <v>33499000</v>
      </c>
      <c r="N312" s="271">
        <f t="shared" si="85"/>
        <v>1000</v>
      </c>
      <c r="O312" s="439" t="s">
        <v>1033</v>
      </c>
      <c r="P312" s="440">
        <v>1</v>
      </c>
      <c r="Q312" s="441" t="s">
        <v>988</v>
      </c>
      <c r="R312" s="23"/>
      <c r="S312" s="23">
        <f t="shared" si="93"/>
        <v>1675000</v>
      </c>
      <c r="T312" s="23">
        <f t="shared" si="89"/>
        <v>-1674000</v>
      </c>
      <c r="U312" s="23">
        <f t="shared" si="90"/>
        <v>0</v>
      </c>
      <c r="V312" s="10">
        <f t="shared" si="91"/>
        <v>6700000</v>
      </c>
      <c r="W312" s="10">
        <f t="shared" si="95"/>
        <v>0</v>
      </c>
      <c r="X312" s="10">
        <f t="shared" si="80"/>
        <v>0</v>
      </c>
      <c r="Y312" s="9" t="b">
        <f t="shared" si="87"/>
        <v>1</v>
      </c>
    </row>
    <row r="313" spans="1:25" s="9" customFormat="1" ht="13.5" customHeight="1" x14ac:dyDescent="0.2">
      <c r="A313" s="64">
        <f t="shared" si="81"/>
        <v>309</v>
      </c>
      <c r="B313" s="269" t="s">
        <v>1030</v>
      </c>
      <c r="C313" s="270">
        <v>42064</v>
      </c>
      <c r="D313" s="271">
        <v>3000000</v>
      </c>
      <c r="E313" s="436"/>
      <c r="F313" s="271">
        <f t="shared" si="86"/>
        <v>3000000</v>
      </c>
      <c r="G313" s="437">
        <v>2999000</v>
      </c>
      <c r="H313" s="271">
        <f t="shared" si="82"/>
        <v>1000</v>
      </c>
      <c r="I313" s="438">
        <v>5</v>
      </c>
      <c r="J313" s="438">
        <v>0.2</v>
      </c>
      <c r="K313" s="68">
        <v>0</v>
      </c>
      <c r="L313" s="437">
        <f t="shared" si="94"/>
        <v>0</v>
      </c>
      <c r="M313" s="437">
        <f t="shared" si="84"/>
        <v>2999000</v>
      </c>
      <c r="N313" s="271">
        <f t="shared" si="85"/>
        <v>1000</v>
      </c>
      <c r="O313" s="439" t="s">
        <v>1034</v>
      </c>
      <c r="P313" s="440">
        <v>2</v>
      </c>
      <c r="Q313" s="441" t="s">
        <v>988</v>
      </c>
      <c r="R313" s="23"/>
      <c r="S313" s="23">
        <f t="shared" si="93"/>
        <v>150000</v>
      </c>
      <c r="T313" s="23">
        <f t="shared" si="89"/>
        <v>-149000</v>
      </c>
      <c r="U313" s="23">
        <f t="shared" si="90"/>
        <v>0</v>
      </c>
      <c r="V313" s="10">
        <f t="shared" si="91"/>
        <v>600000</v>
      </c>
      <c r="W313" s="10">
        <f t="shared" si="95"/>
        <v>0</v>
      </c>
      <c r="X313" s="10">
        <f t="shared" si="80"/>
        <v>0</v>
      </c>
      <c r="Y313" s="9" t="b">
        <f t="shared" si="87"/>
        <v>1</v>
      </c>
    </row>
    <row r="314" spans="1:25" s="9" customFormat="1" ht="13.5" customHeight="1" x14ac:dyDescent="0.2">
      <c r="A314" s="64">
        <f t="shared" si="81"/>
        <v>310</v>
      </c>
      <c r="B314" s="269" t="s">
        <v>1030</v>
      </c>
      <c r="C314" s="270">
        <v>42101</v>
      </c>
      <c r="D314" s="271">
        <v>1567500</v>
      </c>
      <c r="E314" s="436"/>
      <c r="F314" s="271">
        <f t="shared" si="86"/>
        <v>1567500</v>
      </c>
      <c r="G314" s="437">
        <v>1566500</v>
      </c>
      <c r="H314" s="271">
        <f t="shared" si="82"/>
        <v>1000</v>
      </c>
      <c r="I314" s="438">
        <v>5</v>
      </c>
      <c r="J314" s="438">
        <v>0.2</v>
      </c>
      <c r="K314" s="68">
        <v>0</v>
      </c>
      <c r="L314" s="437">
        <f t="shared" si="94"/>
        <v>0</v>
      </c>
      <c r="M314" s="437">
        <f t="shared" si="84"/>
        <v>1566500</v>
      </c>
      <c r="N314" s="271">
        <f t="shared" si="85"/>
        <v>1000</v>
      </c>
      <c r="O314" s="439" t="s">
        <v>1035</v>
      </c>
      <c r="P314" s="440">
        <v>1</v>
      </c>
      <c r="Q314" s="441" t="s">
        <v>988</v>
      </c>
      <c r="R314" s="23"/>
      <c r="S314" s="23">
        <f t="shared" si="93"/>
        <v>78375</v>
      </c>
      <c r="T314" s="23">
        <f t="shared" si="89"/>
        <v>-77375</v>
      </c>
      <c r="U314" s="23">
        <f t="shared" si="90"/>
        <v>0</v>
      </c>
      <c r="V314" s="10">
        <f t="shared" si="91"/>
        <v>313500</v>
      </c>
      <c r="W314" s="10">
        <f t="shared" si="95"/>
        <v>0</v>
      </c>
      <c r="X314" s="10">
        <f t="shared" si="80"/>
        <v>0</v>
      </c>
      <c r="Y314" s="9" t="b">
        <f t="shared" si="87"/>
        <v>1</v>
      </c>
    </row>
    <row r="315" spans="1:25" s="9" customFormat="1" ht="13.5" customHeight="1" x14ac:dyDescent="0.2">
      <c r="A315" s="64">
        <f t="shared" si="81"/>
        <v>311</v>
      </c>
      <c r="B315" s="269" t="s">
        <v>1036</v>
      </c>
      <c r="C315" s="270">
        <v>42144</v>
      </c>
      <c r="D315" s="271">
        <v>18900000</v>
      </c>
      <c r="E315" s="436"/>
      <c r="F315" s="271">
        <f t="shared" si="86"/>
        <v>18900000</v>
      </c>
      <c r="G315" s="437">
        <v>18899000</v>
      </c>
      <c r="H315" s="271">
        <f t="shared" si="82"/>
        <v>1000</v>
      </c>
      <c r="I315" s="438">
        <v>5</v>
      </c>
      <c r="J315" s="438">
        <v>0.2</v>
      </c>
      <c r="K315" s="68">
        <v>0</v>
      </c>
      <c r="L315" s="437">
        <f t="shared" si="94"/>
        <v>0</v>
      </c>
      <c r="M315" s="437">
        <f t="shared" si="84"/>
        <v>18899000</v>
      </c>
      <c r="N315" s="271">
        <f t="shared" si="85"/>
        <v>1000</v>
      </c>
      <c r="O315" s="439" t="s">
        <v>1037</v>
      </c>
      <c r="P315" s="440">
        <v>1</v>
      </c>
      <c r="Q315" s="441" t="s">
        <v>988</v>
      </c>
      <c r="R315" s="23"/>
      <c r="S315" s="23">
        <f t="shared" si="93"/>
        <v>945000</v>
      </c>
      <c r="T315" s="23">
        <f t="shared" si="89"/>
        <v>-944000</v>
      </c>
      <c r="U315" s="23">
        <f t="shared" si="90"/>
        <v>0</v>
      </c>
      <c r="V315" s="10">
        <f t="shared" si="91"/>
        <v>3780000</v>
      </c>
      <c r="W315" s="10">
        <f t="shared" si="95"/>
        <v>0</v>
      </c>
      <c r="X315" s="10">
        <f t="shared" si="80"/>
        <v>0</v>
      </c>
      <c r="Y315" s="9" t="b">
        <f t="shared" si="87"/>
        <v>1</v>
      </c>
    </row>
    <row r="316" spans="1:25" s="9" customFormat="1" ht="13.5" customHeight="1" x14ac:dyDescent="0.2">
      <c r="A316" s="64">
        <f t="shared" si="81"/>
        <v>312</v>
      </c>
      <c r="B316" s="269" t="s">
        <v>1038</v>
      </c>
      <c r="C316" s="270">
        <v>42164</v>
      </c>
      <c r="D316" s="271">
        <v>16000000</v>
      </c>
      <c r="E316" s="436"/>
      <c r="F316" s="271">
        <f t="shared" si="86"/>
        <v>16000000</v>
      </c>
      <c r="G316" s="437">
        <v>15999000</v>
      </c>
      <c r="H316" s="271">
        <f t="shared" si="82"/>
        <v>1000</v>
      </c>
      <c r="I316" s="438">
        <v>5</v>
      </c>
      <c r="J316" s="438">
        <v>0.2</v>
      </c>
      <c r="K316" s="68">
        <v>0</v>
      </c>
      <c r="L316" s="437">
        <f t="shared" si="94"/>
        <v>0</v>
      </c>
      <c r="M316" s="437">
        <f t="shared" si="84"/>
        <v>15999000</v>
      </c>
      <c r="N316" s="271">
        <f t="shared" si="85"/>
        <v>1000</v>
      </c>
      <c r="O316" s="439" t="s">
        <v>1033</v>
      </c>
      <c r="P316" s="440">
        <v>1</v>
      </c>
      <c r="Q316" s="441" t="s">
        <v>1039</v>
      </c>
      <c r="R316" s="23"/>
      <c r="S316" s="23">
        <f t="shared" si="93"/>
        <v>800000</v>
      </c>
      <c r="T316" s="23">
        <f t="shared" si="89"/>
        <v>-799000</v>
      </c>
      <c r="U316" s="23">
        <f t="shared" si="90"/>
        <v>0</v>
      </c>
      <c r="V316" s="10">
        <f t="shared" si="91"/>
        <v>3200000</v>
      </c>
      <c r="W316" s="10">
        <f t="shared" si="95"/>
        <v>0</v>
      </c>
      <c r="X316" s="10">
        <f t="shared" si="80"/>
        <v>0</v>
      </c>
      <c r="Y316" s="9" t="b">
        <f t="shared" si="87"/>
        <v>1</v>
      </c>
    </row>
    <row r="317" spans="1:25" s="9" customFormat="1" ht="13.5" customHeight="1" x14ac:dyDescent="0.2">
      <c r="A317" s="64">
        <f t="shared" si="81"/>
        <v>313</v>
      </c>
      <c r="B317" s="269" t="s">
        <v>1038</v>
      </c>
      <c r="C317" s="270">
        <v>42165</v>
      </c>
      <c r="D317" s="271">
        <v>6000000</v>
      </c>
      <c r="E317" s="436"/>
      <c r="F317" s="271">
        <f t="shared" si="86"/>
        <v>6000000</v>
      </c>
      <c r="G317" s="437">
        <v>5999000</v>
      </c>
      <c r="H317" s="271">
        <f t="shared" si="82"/>
        <v>1000</v>
      </c>
      <c r="I317" s="438">
        <v>5</v>
      </c>
      <c r="J317" s="438">
        <v>0.2</v>
      </c>
      <c r="K317" s="68">
        <v>0</v>
      </c>
      <c r="L317" s="437">
        <f t="shared" si="94"/>
        <v>0</v>
      </c>
      <c r="M317" s="437">
        <f t="shared" si="84"/>
        <v>5999000</v>
      </c>
      <c r="N317" s="271">
        <f t="shared" si="85"/>
        <v>1000</v>
      </c>
      <c r="O317" s="439" t="s">
        <v>1040</v>
      </c>
      <c r="P317" s="440">
        <v>1</v>
      </c>
      <c r="Q317" s="441" t="s">
        <v>988</v>
      </c>
      <c r="R317" s="23"/>
      <c r="S317" s="23">
        <f t="shared" si="93"/>
        <v>300000</v>
      </c>
      <c r="T317" s="23">
        <f t="shared" si="89"/>
        <v>-299000</v>
      </c>
      <c r="U317" s="23">
        <f t="shared" si="90"/>
        <v>0</v>
      </c>
      <c r="V317" s="10">
        <f t="shared" si="91"/>
        <v>1200000</v>
      </c>
      <c r="W317" s="10">
        <f t="shared" si="95"/>
        <v>0</v>
      </c>
      <c r="X317" s="10">
        <f t="shared" si="80"/>
        <v>0</v>
      </c>
      <c r="Y317" s="9" t="b">
        <f t="shared" si="87"/>
        <v>1</v>
      </c>
    </row>
    <row r="318" spans="1:25" s="9" customFormat="1" ht="13.5" customHeight="1" x14ac:dyDescent="0.2">
      <c r="A318" s="64">
        <f t="shared" si="81"/>
        <v>314</v>
      </c>
      <c r="B318" s="269" t="s">
        <v>1041</v>
      </c>
      <c r="C318" s="270">
        <v>42185</v>
      </c>
      <c r="D318" s="271">
        <v>130000000</v>
      </c>
      <c r="E318" s="436"/>
      <c r="F318" s="271">
        <f t="shared" si="86"/>
        <v>130000000</v>
      </c>
      <c r="G318" s="437">
        <v>129999000</v>
      </c>
      <c r="H318" s="271">
        <f t="shared" si="82"/>
        <v>1000</v>
      </c>
      <c r="I318" s="438">
        <v>5</v>
      </c>
      <c r="J318" s="438">
        <v>0.2</v>
      </c>
      <c r="K318" s="68">
        <v>0</v>
      </c>
      <c r="L318" s="437">
        <f t="shared" si="94"/>
        <v>0</v>
      </c>
      <c r="M318" s="437">
        <f t="shared" si="84"/>
        <v>129999000</v>
      </c>
      <c r="N318" s="271">
        <f t="shared" si="85"/>
        <v>1000</v>
      </c>
      <c r="O318" s="439" t="s">
        <v>800</v>
      </c>
      <c r="P318" s="440">
        <v>1</v>
      </c>
      <c r="Q318" s="441" t="s">
        <v>988</v>
      </c>
      <c r="R318" s="23"/>
      <c r="S318" s="23">
        <f t="shared" si="93"/>
        <v>6500000</v>
      </c>
      <c r="T318" s="23">
        <f t="shared" si="89"/>
        <v>-6499000</v>
      </c>
      <c r="U318" s="23">
        <f t="shared" si="90"/>
        <v>0</v>
      </c>
      <c r="V318" s="10">
        <f t="shared" si="91"/>
        <v>26000000</v>
      </c>
      <c r="W318" s="10">
        <f t="shared" si="95"/>
        <v>0</v>
      </c>
      <c r="X318" s="10">
        <f t="shared" si="80"/>
        <v>0</v>
      </c>
      <c r="Y318" s="9" t="b">
        <f t="shared" si="87"/>
        <v>1</v>
      </c>
    </row>
    <row r="319" spans="1:25" s="9" customFormat="1" ht="13.5" customHeight="1" x14ac:dyDescent="0.2">
      <c r="A319" s="64">
        <f t="shared" si="81"/>
        <v>315</v>
      </c>
      <c r="B319" s="269" t="s">
        <v>1042</v>
      </c>
      <c r="C319" s="270">
        <v>42229</v>
      </c>
      <c r="D319" s="271">
        <v>220000000</v>
      </c>
      <c r="E319" s="436"/>
      <c r="F319" s="271">
        <f t="shared" si="86"/>
        <v>220000000</v>
      </c>
      <c r="G319" s="437">
        <v>219999000</v>
      </c>
      <c r="H319" s="271">
        <f t="shared" si="82"/>
        <v>1000</v>
      </c>
      <c r="I319" s="438">
        <v>5</v>
      </c>
      <c r="J319" s="438">
        <v>0.2</v>
      </c>
      <c r="K319" s="68">
        <v>0</v>
      </c>
      <c r="L319" s="437">
        <f>ROUND(IF(F319*J319*K319/12&gt;=H319,H319-1000,F319*J319*K319/12),0)</f>
        <v>0</v>
      </c>
      <c r="M319" s="437">
        <f t="shared" si="84"/>
        <v>219999000</v>
      </c>
      <c r="N319" s="271">
        <f t="shared" si="85"/>
        <v>1000</v>
      </c>
      <c r="O319" s="439" t="s">
        <v>800</v>
      </c>
      <c r="P319" s="440">
        <v>1</v>
      </c>
      <c r="Q319" s="441" t="s">
        <v>988</v>
      </c>
      <c r="R319" s="23"/>
      <c r="S319" s="23">
        <f t="shared" si="93"/>
        <v>11000000</v>
      </c>
      <c r="T319" s="23">
        <f t="shared" si="89"/>
        <v>-10999000</v>
      </c>
      <c r="U319" s="23">
        <f t="shared" si="90"/>
        <v>0</v>
      </c>
      <c r="V319" s="10">
        <f t="shared" si="91"/>
        <v>44000000</v>
      </c>
      <c r="W319" s="10">
        <f t="shared" si="95"/>
        <v>0</v>
      </c>
      <c r="X319" s="10">
        <f t="shared" si="80"/>
        <v>0</v>
      </c>
      <c r="Y319" s="9" t="b">
        <f t="shared" si="87"/>
        <v>1</v>
      </c>
    </row>
    <row r="320" spans="1:25" s="9" customFormat="1" ht="13.5" customHeight="1" x14ac:dyDescent="0.2">
      <c r="A320" s="64">
        <f t="shared" si="81"/>
        <v>316</v>
      </c>
      <c r="B320" s="269" t="s">
        <v>1043</v>
      </c>
      <c r="C320" s="270">
        <v>42264</v>
      </c>
      <c r="D320" s="271">
        <v>50000000</v>
      </c>
      <c r="E320" s="436"/>
      <c r="F320" s="271">
        <f t="shared" si="86"/>
        <v>50000000</v>
      </c>
      <c r="G320" s="437">
        <v>49999000</v>
      </c>
      <c r="H320" s="271">
        <f t="shared" si="82"/>
        <v>1000</v>
      </c>
      <c r="I320" s="438">
        <v>5</v>
      </c>
      <c r="J320" s="438">
        <v>0.2</v>
      </c>
      <c r="K320" s="68">
        <v>0</v>
      </c>
      <c r="L320" s="437">
        <f>ROUND(IF(F320*J320*K320/12&gt;=H320,H320-1000,F320*J320*K320/12),0)</f>
        <v>0</v>
      </c>
      <c r="M320" s="437">
        <f t="shared" si="84"/>
        <v>49999000</v>
      </c>
      <c r="N320" s="271">
        <f t="shared" si="85"/>
        <v>1000</v>
      </c>
      <c r="O320" s="439" t="s">
        <v>800</v>
      </c>
      <c r="P320" s="440">
        <v>1</v>
      </c>
      <c r="Q320" s="441" t="s">
        <v>988</v>
      </c>
      <c r="R320" s="23"/>
      <c r="S320" s="23">
        <f t="shared" si="93"/>
        <v>2500000</v>
      </c>
      <c r="T320" s="23">
        <f t="shared" si="89"/>
        <v>-2499000</v>
      </c>
      <c r="U320" s="23">
        <f t="shared" si="90"/>
        <v>0</v>
      </c>
      <c r="V320" s="10">
        <f t="shared" si="91"/>
        <v>10000000</v>
      </c>
      <c r="W320" s="10">
        <f t="shared" si="95"/>
        <v>0</v>
      </c>
      <c r="X320" s="10">
        <f t="shared" si="80"/>
        <v>0</v>
      </c>
      <c r="Y320" s="9" t="b">
        <f t="shared" si="87"/>
        <v>1</v>
      </c>
    </row>
    <row r="321" spans="1:25" s="9" customFormat="1" ht="13.5" customHeight="1" x14ac:dyDescent="0.2">
      <c r="A321" s="64">
        <f t="shared" si="81"/>
        <v>317</v>
      </c>
      <c r="B321" s="269" t="s">
        <v>1043</v>
      </c>
      <c r="C321" s="270">
        <v>42366</v>
      </c>
      <c r="D321" s="271">
        <v>67000000</v>
      </c>
      <c r="E321" s="436"/>
      <c r="F321" s="271">
        <f t="shared" si="86"/>
        <v>67000000</v>
      </c>
      <c r="G321" s="437">
        <v>66999000</v>
      </c>
      <c r="H321" s="271">
        <f t="shared" si="82"/>
        <v>1000</v>
      </c>
      <c r="I321" s="438">
        <v>5</v>
      </c>
      <c r="J321" s="438">
        <v>0.2</v>
      </c>
      <c r="K321" s="68">
        <v>0</v>
      </c>
      <c r="L321" s="437">
        <f t="shared" si="94"/>
        <v>0</v>
      </c>
      <c r="M321" s="437">
        <f t="shared" si="84"/>
        <v>66999000</v>
      </c>
      <c r="N321" s="271">
        <f t="shared" si="85"/>
        <v>1000</v>
      </c>
      <c r="O321" s="439" t="s">
        <v>800</v>
      </c>
      <c r="P321" s="440">
        <v>1</v>
      </c>
      <c r="Q321" s="441" t="s">
        <v>988</v>
      </c>
      <c r="R321" s="23"/>
      <c r="S321" s="23">
        <f t="shared" si="93"/>
        <v>3350000</v>
      </c>
      <c r="T321" s="23">
        <f t="shared" si="89"/>
        <v>-3349000</v>
      </c>
      <c r="U321" s="23">
        <f t="shared" si="90"/>
        <v>0</v>
      </c>
      <c r="V321" s="10">
        <f t="shared" si="91"/>
        <v>13400000</v>
      </c>
      <c r="W321" s="10">
        <f t="shared" si="95"/>
        <v>0</v>
      </c>
      <c r="X321" s="10">
        <f t="shared" si="80"/>
        <v>0</v>
      </c>
      <c r="Y321" s="9" t="b">
        <f t="shared" si="87"/>
        <v>1</v>
      </c>
    </row>
    <row r="322" spans="1:25" s="9" customFormat="1" ht="13.5" customHeight="1" x14ac:dyDescent="0.2">
      <c r="A322" s="64">
        <f t="shared" si="81"/>
        <v>318</v>
      </c>
      <c r="B322" s="269" t="s">
        <v>1044</v>
      </c>
      <c r="C322" s="270">
        <v>42397</v>
      </c>
      <c r="D322" s="436">
        <v>233000000</v>
      </c>
      <c r="E322" s="436"/>
      <c r="F322" s="271">
        <f t="shared" si="86"/>
        <v>233000000</v>
      </c>
      <c r="G322" s="437">
        <v>232999000</v>
      </c>
      <c r="H322" s="271">
        <f t="shared" si="82"/>
        <v>1000</v>
      </c>
      <c r="I322" s="438">
        <v>5</v>
      </c>
      <c r="J322" s="438">
        <v>0.2</v>
      </c>
      <c r="K322" s="68">
        <v>1</v>
      </c>
      <c r="L322" s="437">
        <f t="shared" si="94"/>
        <v>0</v>
      </c>
      <c r="M322" s="437">
        <f t="shared" si="84"/>
        <v>232999000</v>
      </c>
      <c r="N322" s="271">
        <f t="shared" si="85"/>
        <v>1000</v>
      </c>
      <c r="O322" s="439" t="s">
        <v>800</v>
      </c>
      <c r="P322" s="440">
        <v>1</v>
      </c>
      <c r="Q322" s="441" t="s">
        <v>988</v>
      </c>
      <c r="R322" s="23"/>
      <c r="S322" s="23">
        <f t="shared" si="93"/>
        <v>11650000</v>
      </c>
      <c r="T322" s="23">
        <f t="shared" si="89"/>
        <v>-11649000</v>
      </c>
      <c r="U322" s="23">
        <f t="shared" si="90"/>
        <v>0</v>
      </c>
      <c r="V322" s="10">
        <f t="shared" si="91"/>
        <v>46600000</v>
      </c>
      <c r="W322" s="10">
        <f t="shared" si="95"/>
        <v>0</v>
      </c>
      <c r="X322" s="10">
        <f t="shared" si="80"/>
        <v>0</v>
      </c>
      <c r="Y322" s="9" t="b">
        <f t="shared" si="87"/>
        <v>1</v>
      </c>
    </row>
    <row r="323" spans="1:25" s="9" customFormat="1" ht="13.5" customHeight="1" x14ac:dyDescent="0.2">
      <c r="A323" s="64">
        <f t="shared" si="81"/>
        <v>319</v>
      </c>
      <c r="B323" s="269" t="s">
        <v>1045</v>
      </c>
      <c r="C323" s="270">
        <v>42663</v>
      </c>
      <c r="D323" s="436">
        <v>16500000</v>
      </c>
      <c r="E323" s="436"/>
      <c r="F323" s="271">
        <f t="shared" si="86"/>
        <v>16500000</v>
      </c>
      <c r="G323" s="437">
        <v>14025000</v>
      </c>
      <c r="H323" s="271">
        <f t="shared" si="82"/>
        <v>2475000</v>
      </c>
      <c r="I323" s="438">
        <v>5</v>
      </c>
      <c r="J323" s="438">
        <v>0.2</v>
      </c>
      <c r="K323" s="68">
        <v>10</v>
      </c>
      <c r="L323" s="437">
        <f t="shared" si="94"/>
        <v>2474000</v>
      </c>
      <c r="M323" s="437">
        <f t="shared" si="84"/>
        <v>16499000</v>
      </c>
      <c r="N323" s="271">
        <f t="shared" si="85"/>
        <v>1000</v>
      </c>
      <c r="O323" s="439" t="s">
        <v>1040</v>
      </c>
      <c r="P323" s="440"/>
      <c r="Q323" s="441" t="s">
        <v>988</v>
      </c>
      <c r="R323" s="23"/>
      <c r="S323" s="23">
        <f t="shared" si="93"/>
        <v>825000</v>
      </c>
      <c r="T323" s="23">
        <f t="shared" si="89"/>
        <v>-824000</v>
      </c>
      <c r="U323" s="23">
        <f t="shared" si="90"/>
        <v>0</v>
      </c>
      <c r="V323" s="10">
        <f t="shared" si="91"/>
        <v>3300000</v>
      </c>
      <c r="W323" s="10">
        <f t="shared" si="95"/>
        <v>2750000</v>
      </c>
      <c r="X323" s="10">
        <f t="shared" si="80"/>
        <v>-276000</v>
      </c>
      <c r="Y323" s="9" t="b">
        <f t="shared" si="87"/>
        <v>0</v>
      </c>
    </row>
    <row r="324" spans="1:25" s="9" customFormat="1" ht="13.5" customHeight="1" x14ac:dyDescent="0.2">
      <c r="A324" s="64">
        <f t="shared" si="81"/>
        <v>320</v>
      </c>
      <c r="B324" s="269" t="s">
        <v>1046</v>
      </c>
      <c r="C324" s="270">
        <v>42671</v>
      </c>
      <c r="D324" s="436">
        <v>458000000</v>
      </c>
      <c r="E324" s="436"/>
      <c r="F324" s="271">
        <f t="shared" si="86"/>
        <v>458000000</v>
      </c>
      <c r="G324" s="437">
        <v>389300000</v>
      </c>
      <c r="H324" s="271">
        <f t="shared" si="82"/>
        <v>68700000</v>
      </c>
      <c r="I324" s="438">
        <v>5</v>
      </c>
      <c r="J324" s="438">
        <v>0.2</v>
      </c>
      <c r="K324" s="68">
        <v>10</v>
      </c>
      <c r="L324" s="437">
        <f t="shared" si="94"/>
        <v>68699000</v>
      </c>
      <c r="M324" s="437">
        <f t="shared" si="84"/>
        <v>457999000</v>
      </c>
      <c r="N324" s="271">
        <f t="shared" si="85"/>
        <v>1000</v>
      </c>
      <c r="O324" s="439" t="s">
        <v>1047</v>
      </c>
      <c r="P324" s="440"/>
      <c r="Q324" s="441" t="s">
        <v>988</v>
      </c>
      <c r="R324" s="23"/>
      <c r="S324" s="23">
        <f t="shared" si="93"/>
        <v>22900000</v>
      </c>
      <c r="T324" s="23">
        <f t="shared" si="89"/>
        <v>-22899000</v>
      </c>
      <c r="U324" s="23">
        <f t="shared" si="90"/>
        <v>0</v>
      </c>
      <c r="V324" s="10">
        <f t="shared" si="91"/>
        <v>91600000</v>
      </c>
      <c r="W324" s="10">
        <f t="shared" si="95"/>
        <v>76333333</v>
      </c>
      <c r="X324" s="10">
        <f t="shared" si="80"/>
        <v>-7634333</v>
      </c>
      <c r="Y324" s="9" t="b">
        <f t="shared" si="87"/>
        <v>0</v>
      </c>
    </row>
    <row r="325" spans="1:25" s="9" customFormat="1" ht="13.5" customHeight="1" x14ac:dyDescent="0.2">
      <c r="A325" s="64">
        <f t="shared" si="81"/>
        <v>321</v>
      </c>
      <c r="B325" s="269" t="s">
        <v>1048</v>
      </c>
      <c r="C325" s="270">
        <v>42685</v>
      </c>
      <c r="D325" s="436">
        <v>50000000</v>
      </c>
      <c r="E325" s="436"/>
      <c r="F325" s="271">
        <f t="shared" si="86"/>
        <v>50000000</v>
      </c>
      <c r="G325" s="437">
        <v>41666667</v>
      </c>
      <c r="H325" s="271">
        <f t="shared" si="82"/>
        <v>8333333</v>
      </c>
      <c r="I325" s="438">
        <v>5</v>
      </c>
      <c r="J325" s="438">
        <v>0.2</v>
      </c>
      <c r="K325" s="68">
        <v>11</v>
      </c>
      <c r="L325" s="437">
        <f t="shared" si="94"/>
        <v>8332333</v>
      </c>
      <c r="M325" s="437">
        <f t="shared" si="84"/>
        <v>49999000</v>
      </c>
      <c r="N325" s="271">
        <f t="shared" si="85"/>
        <v>1000</v>
      </c>
      <c r="O325" s="439" t="s">
        <v>1040</v>
      </c>
      <c r="P325" s="440">
        <v>1</v>
      </c>
      <c r="Q325" s="441" t="s">
        <v>988</v>
      </c>
      <c r="R325" s="23"/>
      <c r="S325" s="23">
        <f t="shared" si="93"/>
        <v>2500000</v>
      </c>
      <c r="T325" s="23">
        <f t="shared" si="89"/>
        <v>-2499000</v>
      </c>
      <c r="U325" s="23">
        <f t="shared" si="90"/>
        <v>0</v>
      </c>
      <c r="V325" s="10">
        <f t="shared" si="91"/>
        <v>10000000</v>
      </c>
      <c r="W325" s="10">
        <f t="shared" si="95"/>
        <v>9166667</v>
      </c>
      <c r="X325" s="10">
        <f t="shared" ref="X325:X361" si="96">L325-W325</f>
        <v>-834334</v>
      </c>
      <c r="Y325" s="9" t="b">
        <f t="shared" si="87"/>
        <v>0</v>
      </c>
    </row>
    <row r="326" spans="1:25" s="9" customFormat="1" ht="13.5" customHeight="1" x14ac:dyDescent="0.2">
      <c r="A326" s="64">
        <f t="shared" ref="A326:A372" si="97">+A325+1</f>
        <v>322</v>
      </c>
      <c r="B326" s="269" t="s">
        <v>1049</v>
      </c>
      <c r="C326" s="270">
        <v>42698</v>
      </c>
      <c r="D326" s="436">
        <v>11700000</v>
      </c>
      <c r="E326" s="436"/>
      <c r="F326" s="271">
        <f t="shared" si="86"/>
        <v>11700000</v>
      </c>
      <c r="G326" s="437">
        <v>9750000</v>
      </c>
      <c r="H326" s="271">
        <f t="shared" ref="H326:H363" si="98">+F326-G326</f>
        <v>1950000</v>
      </c>
      <c r="I326" s="438">
        <v>5</v>
      </c>
      <c r="J326" s="438">
        <v>0.2</v>
      </c>
      <c r="K326" s="68">
        <v>11</v>
      </c>
      <c r="L326" s="437">
        <f t="shared" si="94"/>
        <v>1949000</v>
      </c>
      <c r="M326" s="437">
        <f t="shared" ref="M326:M357" si="99">+G326+L326</f>
        <v>11699000</v>
      </c>
      <c r="N326" s="271">
        <f t="shared" ref="N326:N357" si="100">+F326-M326</f>
        <v>1000</v>
      </c>
      <c r="O326" s="439" t="s">
        <v>1050</v>
      </c>
      <c r="P326" s="440">
        <v>1</v>
      </c>
      <c r="Q326" s="441" t="s">
        <v>988</v>
      </c>
      <c r="R326" s="23"/>
      <c r="S326" s="23">
        <f t="shared" si="93"/>
        <v>585000</v>
      </c>
      <c r="T326" s="23">
        <f t="shared" si="89"/>
        <v>-584000</v>
      </c>
      <c r="U326" s="23">
        <f t="shared" si="90"/>
        <v>0</v>
      </c>
      <c r="V326" s="10">
        <f t="shared" si="91"/>
        <v>2340000</v>
      </c>
      <c r="W326" s="10">
        <f t="shared" si="95"/>
        <v>2145000</v>
      </c>
      <c r="X326" s="10">
        <f t="shared" si="96"/>
        <v>-196000</v>
      </c>
      <c r="Y326" s="9" t="b">
        <f t="shared" si="87"/>
        <v>0</v>
      </c>
    </row>
    <row r="327" spans="1:25" s="9" customFormat="1" ht="13.5" customHeight="1" x14ac:dyDescent="0.2">
      <c r="A327" s="64">
        <f t="shared" si="97"/>
        <v>323</v>
      </c>
      <c r="B327" s="269" t="s">
        <v>1051</v>
      </c>
      <c r="C327" s="270">
        <v>42704</v>
      </c>
      <c r="D327" s="436">
        <v>32500000</v>
      </c>
      <c r="E327" s="436"/>
      <c r="F327" s="271">
        <f t="shared" si="86"/>
        <v>32500000</v>
      </c>
      <c r="G327" s="437">
        <v>27083333</v>
      </c>
      <c r="H327" s="271">
        <f t="shared" si="98"/>
        <v>5416667</v>
      </c>
      <c r="I327" s="438">
        <v>5</v>
      </c>
      <c r="J327" s="438">
        <v>0.2</v>
      </c>
      <c r="K327" s="68">
        <v>11</v>
      </c>
      <c r="L327" s="437">
        <f t="shared" si="94"/>
        <v>5415667</v>
      </c>
      <c r="M327" s="437">
        <f t="shared" si="99"/>
        <v>32499000</v>
      </c>
      <c r="N327" s="271">
        <f t="shared" si="100"/>
        <v>1000</v>
      </c>
      <c r="O327" s="439" t="s">
        <v>774</v>
      </c>
      <c r="P327" s="440">
        <v>1</v>
      </c>
      <c r="Q327" s="441" t="s">
        <v>988</v>
      </c>
      <c r="R327" s="23"/>
      <c r="S327" s="23">
        <f t="shared" si="93"/>
        <v>1625000</v>
      </c>
      <c r="T327" s="23">
        <f t="shared" si="89"/>
        <v>-1624000</v>
      </c>
      <c r="U327" s="23">
        <f t="shared" si="90"/>
        <v>0</v>
      </c>
      <c r="V327" s="10">
        <f t="shared" si="91"/>
        <v>6500000</v>
      </c>
      <c r="W327" s="10">
        <f t="shared" si="95"/>
        <v>5958333</v>
      </c>
      <c r="X327" s="10">
        <f t="shared" si="96"/>
        <v>-542666</v>
      </c>
      <c r="Y327" s="9" t="b">
        <f t="shared" si="87"/>
        <v>0</v>
      </c>
    </row>
    <row r="328" spans="1:25" s="9" customFormat="1" ht="13.5" customHeight="1" x14ac:dyDescent="0.2">
      <c r="A328" s="64">
        <f t="shared" si="97"/>
        <v>324</v>
      </c>
      <c r="B328" s="269" t="s">
        <v>1052</v>
      </c>
      <c r="C328" s="270">
        <v>42704</v>
      </c>
      <c r="D328" s="436">
        <v>78500000</v>
      </c>
      <c r="E328" s="436"/>
      <c r="F328" s="271">
        <f t="shared" si="86"/>
        <v>78500000</v>
      </c>
      <c r="G328" s="437">
        <v>65416667</v>
      </c>
      <c r="H328" s="271">
        <f t="shared" si="98"/>
        <v>13083333</v>
      </c>
      <c r="I328" s="438">
        <v>5</v>
      </c>
      <c r="J328" s="438">
        <v>0.2</v>
      </c>
      <c r="K328" s="68">
        <v>11</v>
      </c>
      <c r="L328" s="437">
        <f t="shared" si="94"/>
        <v>13082333</v>
      </c>
      <c r="M328" s="437">
        <f t="shared" si="99"/>
        <v>78499000</v>
      </c>
      <c r="N328" s="271">
        <f t="shared" si="100"/>
        <v>1000</v>
      </c>
      <c r="O328" s="439" t="s">
        <v>774</v>
      </c>
      <c r="P328" s="440">
        <v>2</v>
      </c>
      <c r="Q328" s="441" t="s">
        <v>988</v>
      </c>
      <c r="R328" s="23"/>
      <c r="S328" s="23">
        <f t="shared" si="93"/>
        <v>3925000</v>
      </c>
      <c r="T328" s="23">
        <f t="shared" si="89"/>
        <v>-3924000</v>
      </c>
      <c r="U328" s="23">
        <f t="shared" si="90"/>
        <v>0</v>
      </c>
      <c r="V328" s="10">
        <f t="shared" si="91"/>
        <v>15700000</v>
      </c>
      <c r="W328" s="10">
        <f t="shared" si="95"/>
        <v>14391667</v>
      </c>
      <c r="X328" s="10">
        <f t="shared" si="96"/>
        <v>-1309334</v>
      </c>
      <c r="Y328" s="9" t="b">
        <f t="shared" si="87"/>
        <v>0</v>
      </c>
    </row>
    <row r="329" spans="1:25" s="9" customFormat="1" ht="13.5" customHeight="1" x14ac:dyDescent="0.2">
      <c r="A329" s="64">
        <f t="shared" si="97"/>
        <v>325</v>
      </c>
      <c r="B329" s="269" t="s">
        <v>1053</v>
      </c>
      <c r="C329" s="270">
        <v>42704</v>
      </c>
      <c r="D329" s="436">
        <v>8500000</v>
      </c>
      <c r="E329" s="436"/>
      <c r="F329" s="271">
        <f t="shared" si="86"/>
        <v>8500000</v>
      </c>
      <c r="G329" s="437">
        <v>7083333</v>
      </c>
      <c r="H329" s="271">
        <f t="shared" si="98"/>
        <v>1416667</v>
      </c>
      <c r="I329" s="438">
        <v>5</v>
      </c>
      <c r="J329" s="438">
        <v>0.2</v>
      </c>
      <c r="K329" s="68">
        <v>11</v>
      </c>
      <c r="L329" s="437">
        <f t="shared" si="94"/>
        <v>1415667</v>
      </c>
      <c r="M329" s="437">
        <f t="shared" si="99"/>
        <v>8499000</v>
      </c>
      <c r="N329" s="271">
        <f t="shared" si="100"/>
        <v>1000</v>
      </c>
      <c r="O329" s="439" t="s">
        <v>1054</v>
      </c>
      <c r="P329" s="440">
        <v>1</v>
      </c>
      <c r="Q329" s="441" t="s">
        <v>988</v>
      </c>
      <c r="R329" s="23"/>
      <c r="S329" s="23">
        <f t="shared" si="93"/>
        <v>425000</v>
      </c>
      <c r="T329" s="23">
        <f t="shared" si="89"/>
        <v>-424000</v>
      </c>
      <c r="U329" s="23">
        <f t="shared" si="90"/>
        <v>0</v>
      </c>
      <c r="V329" s="10">
        <f t="shared" si="91"/>
        <v>1700000</v>
      </c>
      <c r="W329" s="10">
        <f t="shared" si="95"/>
        <v>1558333</v>
      </c>
      <c r="X329" s="10">
        <f t="shared" si="96"/>
        <v>-142666</v>
      </c>
      <c r="Y329" s="9" t="b">
        <f t="shared" si="87"/>
        <v>0</v>
      </c>
    </row>
    <row r="330" spans="1:25" s="9" customFormat="1" ht="13.5" customHeight="1" x14ac:dyDescent="0.2">
      <c r="A330" s="64">
        <f t="shared" si="97"/>
        <v>326</v>
      </c>
      <c r="B330" s="269" t="s">
        <v>1055</v>
      </c>
      <c r="C330" s="270">
        <v>42704</v>
      </c>
      <c r="D330" s="436">
        <v>43000000</v>
      </c>
      <c r="E330" s="436"/>
      <c r="F330" s="271">
        <f t="shared" si="86"/>
        <v>43000000</v>
      </c>
      <c r="G330" s="437">
        <v>35833333</v>
      </c>
      <c r="H330" s="271">
        <f t="shared" si="98"/>
        <v>7166667</v>
      </c>
      <c r="I330" s="438">
        <v>5</v>
      </c>
      <c r="J330" s="438">
        <v>0.2</v>
      </c>
      <c r="K330" s="68">
        <v>11</v>
      </c>
      <c r="L330" s="437">
        <f t="shared" si="94"/>
        <v>7165667</v>
      </c>
      <c r="M330" s="437">
        <f t="shared" si="99"/>
        <v>42999000</v>
      </c>
      <c r="N330" s="271">
        <f t="shared" si="100"/>
        <v>1000</v>
      </c>
      <c r="O330" s="439" t="s">
        <v>1054</v>
      </c>
      <c r="P330" s="440">
        <v>1</v>
      </c>
      <c r="Q330" s="441" t="s">
        <v>988</v>
      </c>
      <c r="R330" s="23"/>
      <c r="S330" s="23">
        <f t="shared" si="93"/>
        <v>2150000</v>
      </c>
      <c r="T330" s="23">
        <f t="shared" si="89"/>
        <v>-2149000</v>
      </c>
      <c r="U330" s="23">
        <f t="shared" si="90"/>
        <v>0</v>
      </c>
      <c r="V330" s="10">
        <f t="shared" si="91"/>
        <v>8600000</v>
      </c>
      <c r="W330" s="10">
        <f t="shared" si="95"/>
        <v>7883333</v>
      </c>
      <c r="X330" s="10">
        <f t="shared" si="96"/>
        <v>-717666</v>
      </c>
      <c r="Y330" s="9" t="b">
        <f t="shared" si="87"/>
        <v>0</v>
      </c>
    </row>
    <row r="331" spans="1:25" s="9" customFormat="1" ht="13.5" customHeight="1" x14ac:dyDescent="0.2">
      <c r="A331" s="64">
        <f t="shared" si="97"/>
        <v>327</v>
      </c>
      <c r="B331" s="269" t="s">
        <v>1056</v>
      </c>
      <c r="C331" s="270">
        <v>42734</v>
      </c>
      <c r="D331" s="436">
        <v>7400000</v>
      </c>
      <c r="E331" s="436"/>
      <c r="F331" s="271">
        <f t="shared" si="86"/>
        <v>7400000</v>
      </c>
      <c r="G331" s="437">
        <v>6043333</v>
      </c>
      <c r="H331" s="271">
        <f t="shared" si="98"/>
        <v>1356667</v>
      </c>
      <c r="I331" s="438">
        <v>5</v>
      </c>
      <c r="J331" s="438">
        <v>0.2</v>
      </c>
      <c r="K331" s="68">
        <v>12</v>
      </c>
      <c r="L331" s="437">
        <f t="shared" si="94"/>
        <v>1355667</v>
      </c>
      <c r="M331" s="437">
        <f t="shared" si="99"/>
        <v>7399000</v>
      </c>
      <c r="N331" s="271">
        <f t="shared" si="100"/>
        <v>1000</v>
      </c>
      <c r="O331" s="439" t="s">
        <v>1057</v>
      </c>
      <c r="P331" s="440">
        <v>1</v>
      </c>
      <c r="Q331" s="441" t="s">
        <v>988</v>
      </c>
      <c r="R331" s="23"/>
      <c r="S331" s="23">
        <f t="shared" si="93"/>
        <v>370000</v>
      </c>
      <c r="T331" s="23">
        <f t="shared" si="89"/>
        <v>-369000</v>
      </c>
      <c r="U331" s="23">
        <f t="shared" si="90"/>
        <v>0</v>
      </c>
      <c r="V331" s="10">
        <f t="shared" si="91"/>
        <v>1480000</v>
      </c>
      <c r="W331" s="10">
        <f t="shared" si="95"/>
        <v>1480000</v>
      </c>
      <c r="X331" s="10">
        <f t="shared" si="96"/>
        <v>-124333</v>
      </c>
      <c r="Y331" s="9" t="b">
        <f t="shared" si="87"/>
        <v>0</v>
      </c>
    </row>
    <row r="332" spans="1:25" s="9" customFormat="1" ht="13.5" customHeight="1" x14ac:dyDescent="0.2">
      <c r="A332" s="64">
        <f t="shared" si="97"/>
        <v>328</v>
      </c>
      <c r="B332" s="269" t="s">
        <v>1058</v>
      </c>
      <c r="C332" s="270">
        <v>42752</v>
      </c>
      <c r="D332" s="436">
        <v>9000000</v>
      </c>
      <c r="E332" s="436"/>
      <c r="F332" s="271">
        <f t="shared" si="86"/>
        <v>9000000</v>
      </c>
      <c r="G332" s="437">
        <v>7200000</v>
      </c>
      <c r="H332" s="271">
        <f t="shared" si="98"/>
        <v>1800000</v>
      </c>
      <c r="I332" s="438">
        <v>5</v>
      </c>
      <c r="J332" s="438">
        <v>0.2</v>
      </c>
      <c r="K332" s="68">
        <v>12</v>
      </c>
      <c r="L332" s="437">
        <f t="shared" si="94"/>
        <v>1799000</v>
      </c>
      <c r="M332" s="437">
        <f t="shared" si="99"/>
        <v>8999000</v>
      </c>
      <c r="N332" s="271">
        <f t="shared" si="100"/>
        <v>1000</v>
      </c>
      <c r="O332" s="439" t="s">
        <v>1059</v>
      </c>
      <c r="P332" s="440">
        <v>1</v>
      </c>
      <c r="Q332" s="441" t="s">
        <v>988</v>
      </c>
      <c r="R332" s="23"/>
      <c r="S332" s="23">
        <f t="shared" si="93"/>
        <v>450000</v>
      </c>
      <c r="T332" s="23">
        <f t="shared" si="89"/>
        <v>-449000</v>
      </c>
      <c r="U332" s="23">
        <f t="shared" si="90"/>
        <v>0</v>
      </c>
      <c r="V332" s="10">
        <f t="shared" si="91"/>
        <v>1800000</v>
      </c>
      <c r="W332" s="10">
        <f t="shared" si="95"/>
        <v>1800000</v>
      </c>
      <c r="X332" s="10">
        <f t="shared" si="96"/>
        <v>-1000</v>
      </c>
      <c r="Y332" s="9" t="b">
        <f t="shared" si="87"/>
        <v>0</v>
      </c>
    </row>
    <row r="333" spans="1:25" s="9" customFormat="1" ht="13.5" customHeight="1" x14ac:dyDescent="0.2">
      <c r="A333" s="64">
        <f t="shared" si="97"/>
        <v>329</v>
      </c>
      <c r="B333" s="269" t="s">
        <v>1060</v>
      </c>
      <c r="C333" s="270">
        <v>42761</v>
      </c>
      <c r="D333" s="436">
        <v>169051536</v>
      </c>
      <c r="E333" s="436"/>
      <c r="F333" s="271">
        <f t="shared" si="86"/>
        <v>169051536</v>
      </c>
      <c r="G333" s="437">
        <v>135241228</v>
      </c>
      <c r="H333" s="271">
        <f t="shared" si="98"/>
        <v>33810308</v>
      </c>
      <c r="I333" s="438">
        <v>5</v>
      </c>
      <c r="J333" s="438">
        <v>0.2</v>
      </c>
      <c r="K333" s="68">
        <v>12</v>
      </c>
      <c r="L333" s="437">
        <f t="shared" si="94"/>
        <v>33810307</v>
      </c>
      <c r="M333" s="437">
        <f t="shared" si="99"/>
        <v>169051535</v>
      </c>
      <c r="N333" s="271">
        <f t="shared" si="100"/>
        <v>1</v>
      </c>
      <c r="O333" s="439" t="s">
        <v>800</v>
      </c>
      <c r="P333" s="440">
        <v>1</v>
      </c>
      <c r="Q333" s="441" t="s">
        <v>1061</v>
      </c>
      <c r="R333" s="23"/>
      <c r="S333" s="23">
        <f t="shared" si="93"/>
        <v>8452576.8000000007</v>
      </c>
      <c r="T333" s="23">
        <f t="shared" si="89"/>
        <v>-8452575.8000000007</v>
      </c>
      <c r="U333" s="23">
        <f t="shared" si="90"/>
        <v>-999</v>
      </c>
      <c r="V333" s="10">
        <f t="shared" si="91"/>
        <v>33810307.200000003</v>
      </c>
      <c r="W333" s="10">
        <f t="shared" si="95"/>
        <v>33810307</v>
      </c>
      <c r="X333" s="10">
        <f t="shared" si="96"/>
        <v>0</v>
      </c>
      <c r="Y333" s="9" t="b">
        <f t="shared" si="87"/>
        <v>1</v>
      </c>
    </row>
    <row r="334" spans="1:25" s="9" customFormat="1" ht="13.5" customHeight="1" x14ac:dyDescent="0.2">
      <c r="A334" s="64">
        <f t="shared" si="97"/>
        <v>330</v>
      </c>
      <c r="B334" s="269" t="s">
        <v>1062</v>
      </c>
      <c r="C334" s="270">
        <v>42761</v>
      </c>
      <c r="D334" s="436">
        <v>178711623</v>
      </c>
      <c r="E334" s="436"/>
      <c r="F334" s="271">
        <f t="shared" si="86"/>
        <v>178711623</v>
      </c>
      <c r="G334" s="437">
        <v>142969300</v>
      </c>
      <c r="H334" s="271">
        <f t="shared" si="98"/>
        <v>35742323</v>
      </c>
      <c r="I334" s="438">
        <v>5</v>
      </c>
      <c r="J334" s="438">
        <v>0.2</v>
      </c>
      <c r="K334" s="68">
        <v>12</v>
      </c>
      <c r="L334" s="437">
        <f t="shared" si="94"/>
        <v>35741323</v>
      </c>
      <c r="M334" s="437">
        <f t="shared" si="99"/>
        <v>178710623</v>
      </c>
      <c r="N334" s="271">
        <f t="shared" si="100"/>
        <v>1000</v>
      </c>
      <c r="O334" s="439" t="s">
        <v>800</v>
      </c>
      <c r="P334" s="440">
        <v>1</v>
      </c>
      <c r="Q334" s="441" t="s">
        <v>1061</v>
      </c>
      <c r="R334" s="23"/>
      <c r="S334" s="23">
        <f t="shared" si="93"/>
        <v>8935581.1500000004</v>
      </c>
      <c r="T334" s="23">
        <f t="shared" si="89"/>
        <v>-8934581.1500000004</v>
      </c>
      <c r="U334" s="23">
        <f t="shared" si="90"/>
        <v>0</v>
      </c>
      <c r="V334" s="10">
        <f t="shared" si="91"/>
        <v>35742324.600000001</v>
      </c>
      <c r="W334" s="10">
        <f t="shared" si="95"/>
        <v>35742325</v>
      </c>
      <c r="X334" s="10">
        <f t="shared" si="96"/>
        <v>-1002</v>
      </c>
      <c r="Y334" s="9" t="b">
        <f t="shared" si="87"/>
        <v>0</v>
      </c>
    </row>
    <row r="335" spans="1:25" s="9" customFormat="1" ht="13.5" customHeight="1" x14ac:dyDescent="0.2">
      <c r="A335" s="64">
        <f t="shared" si="97"/>
        <v>331</v>
      </c>
      <c r="B335" s="269" t="s">
        <v>1063</v>
      </c>
      <c r="C335" s="270">
        <v>42761</v>
      </c>
      <c r="D335" s="436">
        <v>280142544</v>
      </c>
      <c r="E335" s="436"/>
      <c r="F335" s="271">
        <f t="shared" si="86"/>
        <v>280142544</v>
      </c>
      <c r="G335" s="437">
        <v>224114036</v>
      </c>
      <c r="H335" s="271">
        <f t="shared" si="98"/>
        <v>56028508</v>
      </c>
      <c r="I335" s="438">
        <v>5</v>
      </c>
      <c r="J335" s="438">
        <v>0.2</v>
      </c>
      <c r="K335" s="68">
        <v>12</v>
      </c>
      <c r="L335" s="437">
        <f t="shared" si="94"/>
        <v>56027508</v>
      </c>
      <c r="M335" s="437">
        <f t="shared" si="99"/>
        <v>280141544</v>
      </c>
      <c r="N335" s="271">
        <f t="shared" si="100"/>
        <v>1000</v>
      </c>
      <c r="O335" s="439" t="s">
        <v>800</v>
      </c>
      <c r="P335" s="440">
        <v>1</v>
      </c>
      <c r="Q335" s="441" t="s">
        <v>1061</v>
      </c>
      <c r="R335" s="23"/>
      <c r="S335" s="23">
        <f t="shared" si="93"/>
        <v>14007127.200000001</v>
      </c>
      <c r="T335" s="23">
        <f t="shared" si="89"/>
        <v>-14006127.200000001</v>
      </c>
      <c r="U335" s="23">
        <f t="shared" si="90"/>
        <v>0</v>
      </c>
      <c r="V335" s="10">
        <f t="shared" si="91"/>
        <v>56028508.799999997</v>
      </c>
      <c r="W335" s="10">
        <f t="shared" si="95"/>
        <v>56028509</v>
      </c>
      <c r="X335" s="10">
        <f t="shared" si="96"/>
        <v>-1001</v>
      </c>
      <c r="Y335" s="9" t="b">
        <f t="shared" si="87"/>
        <v>0</v>
      </c>
    </row>
    <row r="336" spans="1:25" s="9" customFormat="1" ht="13.5" customHeight="1" x14ac:dyDescent="0.2">
      <c r="A336" s="64">
        <f t="shared" si="97"/>
        <v>332</v>
      </c>
      <c r="B336" s="269" t="s">
        <v>1064</v>
      </c>
      <c r="C336" s="270">
        <v>42761</v>
      </c>
      <c r="D336" s="436">
        <v>125581140</v>
      </c>
      <c r="E336" s="436"/>
      <c r="F336" s="271">
        <f t="shared" si="86"/>
        <v>125581140</v>
      </c>
      <c r="G336" s="437">
        <v>100464912</v>
      </c>
      <c r="H336" s="271">
        <f t="shared" si="98"/>
        <v>25116228</v>
      </c>
      <c r="I336" s="438">
        <v>5</v>
      </c>
      <c r="J336" s="438">
        <v>0.2</v>
      </c>
      <c r="K336" s="68">
        <v>12</v>
      </c>
      <c r="L336" s="437">
        <f t="shared" si="94"/>
        <v>25115228</v>
      </c>
      <c r="M336" s="437">
        <f t="shared" si="99"/>
        <v>125580140</v>
      </c>
      <c r="N336" s="271">
        <f t="shared" si="100"/>
        <v>1000</v>
      </c>
      <c r="O336" s="439" t="s">
        <v>800</v>
      </c>
      <c r="P336" s="440">
        <v>1</v>
      </c>
      <c r="Q336" s="441" t="s">
        <v>1061</v>
      </c>
      <c r="R336" s="23"/>
      <c r="S336" s="23">
        <f t="shared" si="93"/>
        <v>6279057</v>
      </c>
      <c r="T336" s="23">
        <f t="shared" si="89"/>
        <v>-6278057</v>
      </c>
      <c r="U336" s="23">
        <f t="shared" si="90"/>
        <v>0</v>
      </c>
      <c r="V336" s="10">
        <f t="shared" si="91"/>
        <v>25116228</v>
      </c>
      <c r="W336" s="10">
        <f t="shared" si="95"/>
        <v>25116228</v>
      </c>
      <c r="X336" s="10">
        <f t="shared" si="96"/>
        <v>-1000</v>
      </c>
      <c r="Y336" s="9" t="b">
        <f t="shared" si="87"/>
        <v>0</v>
      </c>
    </row>
    <row r="337" spans="1:25" s="9" customFormat="1" ht="13.5" customHeight="1" x14ac:dyDescent="0.2">
      <c r="A337" s="64">
        <f t="shared" si="97"/>
        <v>333</v>
      </c>
      <c r="B337" s="269" t="s">
        <v>1065</v>
      </c>
      <c r="C337" s="270">
        <v>42761</v>
      </c>
      <c r="D337" s="436">
        <v>14490132</v>
      </c>
      <c r="E337" s="436"/>
      <c r="F337" s="271">
        <f t="shared" si="86"/>
        <v>14490132</v>
      </c>
      <c r="G337" s="437">
        <v>11592104</v>
      </c>
      <c r="H337" s="271">
        <f t="shared" si="98"/>
        <v>2898028</v>
      </c>
      <c r="I337" s="438">
        <v>5</v>
      </c>
      <c r="J337" s="438">
        <v>0.2</v>
      </c>
      <c r="K337" s="68">
        <v>12</v>
      </c>
      <c r="L337" s="437">
        <f t="shared" si="94"/>
        <v>2898026</v>
      </c>
      <c r="M337" s="437">
        <f t="shared" si="99"/>
        <v>14490130</v>
      </c>
      <c r="N337" s="271">
        <f t="shared" si="100"/>
        <v>2</v>
      </c>
      <c r="O337" s="439" t="s">
        <v>800</v>
      </c>
      <c r="P337" s="440">
        <v>1</v>
      </c>
      <c r="Q337" s="441" t="s">
        <v>1061</v>
      </c>
      <c r="R337" s="23"/>
      <c r="S337" s="23">
        <f t="shared" si="93"/>
        <v>724506.60000000009</v>
      </c>
      <c r="T337" s="23">
        <f t="shared" si="89"/>
        <v>-724504.60000000009</v>
      </c>
      <c r="U337" s="23">
        <f t="shared" si="90"/>
        <v>-998</v>
      </c>
      <c r="V337" s="10">
        <f t="shared" si="91"/>
        <v>2898026.4</v>
      </c>
      <c r="W337" s="10">
        <f t="shared" si="95"/>
        <v>2898026</v>
      </c>
      <c r="X337" s="10">
        <f t="shared" si="96"/>
        <v>0</v>
      </c>
      <c r="Y337" s="9" t="b">
        <f t="shared" si="87"/>
        <v>1</v>
      </c>
    </row>
    <row r="338" spans="1:25" s="9" customFormat="1" ht="13.5" customHeight="1" x14ac:dyDescent="0.2">
      <c r="A338" s="64">
        <f t="shared" si="97"/>
        <v>334</v>
      </c>
      <c r="B338" s="269" t="s">
        <v>1066</v>
      </c>
      <c r="C338" s="270">
        <v>42761</v>
      </c>
      <c r="D338" s="436">
        <v>159391447</v>
      </c>
      <c r="E338" s="436"/>
      <c r="F338" s="271">
        <f t="shared" ref="F338:F360" si="101">+D338+E338</f>
        <v>159391447</v>
      </c>
      <c r="G338" s="437">
        <v>127513156</v>
      </c>
      <c r="H338" s="271">
        <f t="shared" si="98"/>
        <v>31878291</v>
      </c>
      <c r="I338" s="438">
        <v>5</v>
      </c>
      <c r="J338" s="438">
        <v>0.2</v>
      </c>
      <c r="K338" s="68">
        <v>12</v>
      </c>
      <c r="L338" s="437">
        <f t="shared" si="94"/>
        <v>31878289</v>
      </c>
      <c r="M338" s="437">
        <f t="shared" si="99"/>
        <v>159391445</v>
      </c>
      <c r="N338" s="271">
        <f t="shared" si="100"/>
        <v>2</v>
      </c>
      <c r="O338" s="439" t="s">
        <v>800</v>
      </c>
      <c r="P338" s="440">
        <v>1</v>
      </c>
      <c r="Q338" s="441" t="s">
        <v>1061</v>
      </c>
      <c r="R338" s="23"/>
      <c r="S338" s="23">
        <f t="shared" si="93"/>
        <v>7969572.3500000006</v>
      </c>
      <c r="T338" s="23">
        <f t="shared" si="89"/>
        <v>-7969570.3500000006</v>
      </c>
      <c r="U338" s="23">
        <f t="shared" si="90"/>
        <v>-998</v>
      </c>
      <c r="V338" s="10">
        <f t="shared" si="91"/>
        <v>31878289.399999999</v>
      </c>
      <c r="W338" s="10">
        <f t="shared" si="95"/>
        <v>31878289</v>
      </c>
      <c r="X338" s="10">
        <f t="shared" si="96"/>
        <v>0</v>
      </c>
      <c r="Y338" s="9" t="b">
        <f t="shared" ref="Y338:Y361" si="102">L338=W338</f>
        <v>1</v>
      </c>
    </row>
    <row r="339" spans="1:25" s="9" customFormat="1" ht="13.5" customHeight="1" x14ac:dyDescent="0.2">
      <c r="A339" s="64">
        <f t="shared" si="97"/>
        <v>335</v>
      </c>
      <c r="B339" s="269" t="s">
        <v>1066</v>
      </c>
      <c r="C339" s="270">
        <v>42761</v>
      </c>
      <c r="D339" s="436">
        <v>159391447</v>
      </c>
      <c r="E339" s="436"/>
      <c r="F339" s="271">
        <f t="shared" si="101"/>
        <v>159391447</v>
      </c>
      <c r="G339" s="437">
        <v>127513156</v>
      </c>
      <c r="H339" s="271">
        <f t="shared" si="98"/>
        <v>31878291</v>
      </c>
      <c r="I339" s="438">
        <v>5</v>
      </c>
      <c r="J339" s="438">
        <v>0.2</v>
      </c>
      <c r="K339" s="68">
        <v>12</v>
      </c>
      <c r="L339" s="437">
        <f t="shared" si="94"/>
        <v>31878289</v>
      </c>
      <c r="M339" s="437">
        <f t="shared" si="99"/>
        <v>159391445</v>
      </c>
      <c r="N339" s="271">
        <f t="shared" si="100"/>
        <v>2</v>
      </c>
      <c r="O339" s="439" t="s">
        <v>800</v>
      </c>
      <c r="P339" s="440">
        <v>1</v>
      </c>
      <c r="Q339" s="441" t="s">
        <v>1061</v>
      </c>
      <c r="R339" s="23"/>
      <c r="S339" s="23">
        <f t="shared" si="93"/>
        <v>7969572.3500000006</v>
      </c>
      <c r="T339" s="23">
        <f t="shared" si="89"/>
        <v>-7969570.3500000006</v>
      </c>
      <c r="U339" s="23">
        <f t="shared" si="90"/>
        <v>-998</v>
      </c>
      <c r="V339" s="10">
        <f t="shared" si="91"/>
        <v>31878289.399999999</v>
      </c>
      <c r="W339" s="10">
        <f t="shared" si="95"/>
        <v>31878289</v>
      </c>
      <c r="X339" s="10">
        <f t="shared" si="96"/>
        <v>0</v>
      </c>
      <c r="Y339" s="9" t="b">
        <f t="shared" si="102"/>
        <v>1</v>
      </c>
    </row>
    <row r="340" spans="1:25" s="9" customFormat="1" ht="13.5" customHeight="1" x14ac:dyDescent="0.2">
      <c r="A340" s="64">
        <f t="shared" si="97"/>
        <v>336</v>
      </c>
      <c r="B340" s="269" t="s">
        <v>1067</v>
      </c>
      <c r="C340" s="270">
        <v>42761</v>
      </c>
      <c r="D340" s="436">
        <v>231842105</v>
      </c>
      <c r="E340" s="436"/>
      <c r="F340" s="271">
        <f t="shared" si="101"/>
        <v>231842105</v>
      </c>
      <c r="G340" s="437">
        <v>185473684</v>
      </c>
      <c r="H340" s="271">
        <f t="shared" si="98"/>
        <v>46368421</v>
      </c>
      <c r="I340" s="438">
        <v>5</v>
      </c>
      <c r="J340" s="438">
        <v>0.2</v>
      </c>
      <c r="K340" s="68">
        <v>12</v>
      </c>
      <c r="L340" s="437">
        <f t="shared" si="94"/>
        <v>46367421</v>
      </c>
      <c r="M340" s="437">
        <f t="shared" si="99"/>
        <v>231841105</v>
      </c>
      <c r="N340" s="271">
        <f t="shared" si="100"/>
        <v>1000</v>
      </c>
      <c r="O340" s="439" t="s">
        <v>800</v>
      </c>
      <c r="P340" s="440">
        <v>1</v>
      </c>
      <c r="Q340" s="441" t="s">
        <v>1061</v>
      </c>
      <c r="R340" s="23"/>
      <c r="S340" s="23">
        <f t="shared" si="93"/>
        <v>11592105.25</v>
      </c>
      <c r="T340" s="23">
        <f t="shared" si="89"/>
        <v>-11591105.25</v>
      </c>
      <c r="U340" s="23">
        <f t="shared" si="90"/>
        <v>0</v>
      </c>
      <c r="V340" s="10">
        <f t="shared" si="91"/>
        <v>46368421</v>
      </c>
      <c r="W340" s="10">
        <f t="shared" si="95"/>
        <v>46368421</v>
      </c>
      <c r="X340" s="10">
        <f t="shared" si="96"/>
        <v>-1000</v>
      </c>
      <c r="Y340" s="9" t="b">
        <f t="shared" si="102"/>
        <v>0</v>
      </c>
    </row>
    <row r="341" spans="1:25" s="9" customFormat="1" ht="13.5" customHeight="1" x14ac:dyDescent="0.2">
      <c r="A341" s="64">
        <f t="shared" si="97"/>
        <v>337</v>
      </c>
      <c r="B341" s="269" t="s">
        <v>1068</v>
      </c>
      <c r="C341" s="270">
        <v>42761</v>
      </c>
      <c r="D341" s="436">
        <v>376743421</v>
      </c>
      <c r="E341" s="436"/>
      <c r="F341" s="271">
        <f t="shared" si="101"/>
        <v>376743421</v>
      </c>
      <c r="G341" s="437">
        <v>301394736</v>
      </c>
      <c r="H341" s="271">
        <f t="shared" si="98"/>
        <v>75348685</v>
      </c>
      <c r="I341" s="438">
        <v>5</v>
      </c>
      <c r="J341" s="438">
        <v>0.2</v>
      </c>
      <c r="K341" s="68">
        <v>12</v>
      </c>
      <c r="L341" s="437">
        <f t="shared" si="94"/>
        <v>75348684</v>
      </c>
      <c r="M341" s="437">
        <f t="shared" si="99"/>
        <v>376743420</v>
      </c>
      <c r="N341" s="271">
        <f t="shared" si="100"/>
        <v>1</v>
      </c>
      <c r="O341" s="439" t="s">
        <v>800</v>
      </c>
      <c r="P341" s="440">
        <v>1</v>
      </c>
      <c r="Q341" s="441" t="s">
        <v>1061</v>
      </c>
      <c r="R341" s="23"/>
      <c r="S341" s="23">
        <f t="shared" si="93"/>
        <v>18837171.050000001</v>
      </c>
      <c r="T341" s="23">
        <f t="shared" si="89"/>
        <v>-18837170.050000001</v>
      </c>
      <c r="U341" s="23">
        <f t="shared" si="90"/>
        <v>-999</v>
      </c>
      <c r="V341" s="10">
        <f t="shared" si="91"/>
        <v>75348684.200000003</v>
      </c>
      <c r="W341" s="10">
        <f t="shared" si="95"/>
        <v>75348684</v>
      </c>
      <c r="X341" s="10">
        <f t="shared" si="96"/>
        <v>0</v>
      </c>
      <c r="Y341" s="9" t="b">
        <f t="shared" si="102"/>
        <v>1</v>
      </c>
    </row>
    <row r="342" spans="1:25" s="9" customFormat="1" ht="13.5" customHeight="1" x14ac:dyDescent="0.2">
      <c r="A342" s="64">
        <f t="shared" si="97"/>
        <v>338</v>
      </c>
      <c r="B342" s="269" t="s">
        <v>1069</v>
      </c>
      <c r="C342" s="270">
        <v>42761</v>
      </c>
      <c r="D342" s="436">
        <v>28980263</v>
      </c>
      <c r="E342" s="436"/>
      <c r="F342" s="271">
        <f t="shared" si="101"/>
        <v>28980263</v>
      </c>
      <c r="G342" s="437">
        <v>23184212</v>
      </c>
      <c r="H342" s="271">
        <f t="shared" si="98"/>
        <v>5796051</v>
      </c>
      <c r="I342" s="438">
        <v>5</v>
      </c>
      <c r="J342" s="438">
        <v>0.2</v>
      </c>
      <c r="K342" s="68">
        <v>12</v>
      </c>
      <c r="L342" s="437">
        <f t="shared" si="94"/>
        <v>5795051</v>
      </c>
      <c r="M342" s="437">
        <f t="shared" si="99"/>
        <v>28979263</v>
      </c>
      <c r="N342" s="271">
        <f t="shared" si="100"/>
        <v>1000</v>
      </c>
      <c r="O342" s="439" t="s">
        <v>800</v>
      </c>
      <c r="P342" s="440">
        <v>1</v>
      </c>
      <c r="Q342" s="441" t="s">
        <v>1061</v>
      </c>
      <c r="R342" s="23"/>
      <c r="S342" s="23">
        <f t="shared" si="93"/>
        <v>1449013.1500000001</v>
      </c>
      <c r="T342" s="23">
        <f t="shared" si="89"/>
        <v>-1448013.1500000001</v>
      </c>
      <c r="U342" s="23">
        <f t="shared" si="90"/>
        <v>0</v>
      </c>
      <c r="V342" s="10">
        <f t="shared" si="91"/>
        <v>5796052.5999999996</v>
      </c>
      <c r="W342" s="10">
        <f t="shared" si="95"/>
        <v>5796053</v>
      </c>
      <c r="X342" s="10">
        <f t="shared" si="96"/>
        <v>-1002</v>
      </c>
      <c r="Y342" s="9" t="b">
        <f t="shared" si="102"/>
        <v>0</v>
      </c>
    </row>
    <row r="343" spans="1:25" s="9" customFormat="1" ht="13.5" customHeight="1" x14ac:dyDescent="0.2">
      <c r="A343" s="64">
        <f t="shared" si="97"/>
        <v>339</v>
      </c>
      <c r="B343" s="269" t="s">
        <v>1070</v>
      </c>
      <c r="C343" s="270">
        <v>42761</v>
      </c>
      <c r="D343" s="436">
        <v>9418585</v>
      </c>
      <c r="E343" s="436"/>
      <c r="F343" s="271">
        <f t="shared" si="101"/>
        <v>9418585</v>
      </c>
      <c r="G343" s="437">
        <v>7534868</v>
      </c>
      <c r="H343" s="271">
        <f t="shared" si="98"/>
        <v>1883717</v>
      </c>
      <c r="I343" s="438">
        <v>5</v>
      </c>
      <c r="J343" s="438">
        <v>0.2</v>
      </c>
      <c r="K343" s="68">
        <v>12</v>
      </c>
      <c r="L343" s="437">
        <f t="shared" si="94"/>
        <v>1882717</v>
      </c>
      <c r="M343" s="437">
        <f t="shared" si="99"/>
        <v>9417585</v>
      </c>
      <c r="N343" s="271">
        <f t="shared" si="100"/>
        <v>1000</v>
      </c>
      <c r="O343" s="439" t="s">
        <v>800</v>
      </c>
      <c r="P343" s="440">
        <v>1</v>
      </c>
      <c r="Q343" s="441" t="s">
        <v>1061</v>
      </c>
      <c r="R343" s="23"/>
      <c r="S343" s="23">
        <f t="shared" si="93"/>
        <v>470929.25</v>
      </c>
      <c r="T343" s="23">
        <f t="shared" si="89"/>
        <v>-469929.25</v>
      </c>
      <c r="U343" s="23">
        <f t="shared" si="90"/>
        <v>0</v>
      </c>
      <c r="V343" s="10">
        <f t="shared" si="91"/>
        <v>1883717</v>
      </c>
      <c r="W343" s="10">
        <f t="shared" si="95"/>
        <v>1883717</v>
      </c>
      <c r="X343" s="10">
        <f t="shared" si="96"/>
        <v>-1000</v>
      </c>
      <c r="Y343" s="9" t="b">
        <f t="shared" si="102"/>
        <v>0</v>
      </c>
    </row>
    <row r="344" spans="1:25" s="9" customFormat="1" ht="13.5" customHeight="1" x14ac:dyDescent="0.2">
      <c r="A344" s="64">
        <f t="shared" si="97"/>
        <v>340</v>
      </c>
      <c r="B344" s="269" t="s">
        <v>1071</v>
      </c>
      <c r="C344" s="270">
        <v>42761</v>
      </c>
      <c r="D344" s="436">
        <v>9418585</v>
      </c>
      <c r="E344" s="436"/>
      <c r="F344" s="271">
        <f t="shared" si="101"/>
        <v>9418585</v>
      </c>
      <c r="G344" s="437">
        <v>7534868</v>
      </c>
      <c r="H344" s="271">
        <f t="shared" si="98"/>
        <v>1883717</v>
      </c>
      <c r="I344" s="438">
        <v>5</v>
      </c>
      <c r="J344" s="438">
        <v>0.2</v>
      </c>
      <c r="K344" s="68">
        <v>12</v>
      </c>
      <c r="L344" s="437">
        <f t="shared" si="94"/>
        <v>1882717</v>
      </c>
      <c r="M344" s="437">
        <f t="shared" si="99"/>
        <v>9417585</v>
      </c>
      <c r="N344" s="271">
        <f t="shared" si="100"/>
        <v>1000</v>
      </c>
      <c r="O344" s="439" t="s">
        <v>800</v>
      </c>
      <c r="P344" s="440">
        <v>1</v>
      </c>
      <c r="Q344" s="441" t="s">
        <v>1061</v>
      </c>
      <c r="R344" s="23"/>
      <c r="S344" s="23">
        <f t="shared" si="93"/>
        <v>470929.25</v>
      </c>
      <c r="T344" s="23">
        <f t="shared" si="89"/>
        <v>-469929.25</v>
      </c>
      <c r="U344" s="23">
        <f t="shared" si="90"/>
        <v>0</v>
      </c>
      <c r="V344" s="10">
        <f t="shared" si="91"/>
        <v>1883717</v>
      </c>
      <c r="W344" s="10">
        <f t="shared" si="95"/>
        <v>1883717</v>
      </c>
      <c r="X344" s="10">
        <f t="shared" si="96"/>
        <v>-1000</v>
      </c>
      <c r="Y344" s="9" t="b">
        <f t="shared" si="102"/>
        <v>0</v>
      </c>
    </row>
    <row r="345" spans="1:25" s="9" customFormat="1" ht="13.5" customHeight="1" x14ac:dyDescent="0.2">
      <c r="A345" s="64">
        <f t="shared" si="97"/>
        <v>341</v>
      </c>
      <c r="B345" s="269" t="s">
        <v>1072</v>
      </c>
      <c r="C345" s="270">
        <v>42761</v>
      </c>
      <c r="D345" s="436">
        <v>9418587</v>
      </c>
      <c r="E345" s="436"/>
      <c r="F345" s="271">
        <f t="shared" si="101"/>
        <v>9418587</v>
      </c>
      <c r="G345" s="437">
        <v>7534868</v>
      </c>
      <c r="H345" s="271">
        <f t="shared" si="98"/>
        <v>1883719</v>
      </c>
      <c r="I345" s="438">
        <v>5</v>
      </c>
      <c r="J345" s="438">
        <v>0.2</v>
      </c>
      <c r="K345" s="68">
        <v>12</v>
      </c>
      <c r="L345" s="437">
        <f t="shared" si="94"/>
        <v>1883717</v>
      </c>
      <c r="M345" s="437">
        <f t="shared" si="99"/>
        <v>9418585</v>
      </c>
      <c r="N345" s="271">
        <f t="shared" si="100"/>
        <v>2</v>
      </c>
      <c r="O345" s="439" t="s">
        <v>800</v>
      </c>
      <c r="P345" s="440">
        <v>1</v>
      </c>
      <c r="Q345" s="441" t="s">
        <v>1061</v>
      </c>
      <c r="R345" s="23"/>
      <c r="S345" s="23">
        <f t="shared" si="93"/>
        <v>470929.35000000003</v>
      </c>
      <c r="T345" s="23">
        <f t="shared" si="89"/>
        <v>-470927.35000000003</v>
      </c>
      <c r="U345" s="23">
        <f t="shared" si="90"/>
        <v>-998</v>
      </c>
      <c r="V345" s="10">
        <f t="shared" si="91"/>
        <v>1883717.4</v>
      </c>
      <c r="W345" s="10">
        <f t="shared" si="95"/>
        <v>1883717</v>
      </c>
      <c r="X345" s="10">
        <f t="shared" si="96"/>
        <v>0</v>
      </c>
      <c r="Y345" s="9" t="b">
        <f t="shared" si="102"/>
        <v>1</v>
      </c>
    </row>
    <row r="346" spans="1:25" s="9" customFormat="1" ht="13.5" customHeight="1" x14ac:dyDescent="0.2">
      <c r="A346" s="64">
        <f t="shared" si="97"/>
        <v>342</v>
      </c>
      <c r="B346" s="269" t="s">
        <v>1073</v>
      </c>
      <c r="C346" s="270">
        <v>42761</v>
      </c>
      <c r="D346" s="436">
        <v>9418585</v>
      </c>
      <c r="E346" s="436"/>
      <c r="F346" s="271">
        <f t="shared" si="101"/>
        <v>9418585</v>
      </c>
      <c r="G346" s="437">
        <v>7534868</v>
      </c>
      <c r="H346" s="271">
        <f t="shared" si="98"/>
        <v>1883717</v>
      </c>
      <c r="I346" s="438">
        <v>5</v>
      </c>
      <c r="J346" s="438">
        <v>0.2</v>
      </c>
      <c r="K346" s="68">
        <v>12</v>
      </c>
      <c r="L346" s="437">
        <f t="shared" si="94"/>
        <v>1882717</v>
      </c>
      <c r="M346" s="437">
        <f t="shared" si="99"/>
        <v>9417585</v>
      </c>
      <c r="N346" s="271">
        <f t="shared" si="100"/>
        <v>1000</v>
      </c>
      <c r="O346" s="439" t="s">
        <v>800</v>
      </c>
      <c r="P346" s="440">
        <v>1</v>
      </c>
      <c r="Q346" s="441" t="s">
        <v>1061</v>
      </c>
      <c r="R346" s="23"/>
      <c r="S346" s="23">
        <f t="shared" si="93"/>
        <v>470929.25</v>
      </c>
      <c r="T346" s="23">
        <f t="shared" si="89"/>
        <v>-469929.25</v>
      </c>
      <c r="U346" s="23">
        <f t="shared" si="90"/>
        <v>0</v>
      </c>
      <c r="V346" s="10">
        <f t="shared" si="91"/>
        <v>1883717</v>
      </c>
      <c r="W346" s="10">
        <f t="shared" si="95"/>
        <v>1883717</v>
      </c>
      <c r="X346" s="10">
        <f t="shared" si="96"/>
        <v>-1000</v>
      </c>
      <c r="Y346" s="9" t="b">
        <f t="shared" si="102"/>
        <v>0</v>
      </c>
    </row>
    <row r="347" spans="1:25" s="9" customFormat="1" ht="13.5" customHeight="1" x14ac:dyDescent="0.2">
      <c r="A347" s="64">
        <f t="shared" si="97"/>
        <v>343</v>
      </c>
      <c r="B347" s="269" t="s">
        <v>1074</v>
      </c>
      <c r="C347" s="270">
        <v>42844</v>
      </c>
      <c r="D347" s="436">
        <v>55800000</v>
      </c>
      <c r="E347" s="436"/>
      <c r="F347" s="271">
        <f t="shared" si="101"/>
        <v>55800000</v>
      </c>
      <c r="G347" s="437">
        <v>41850000</v>
      </c>
      <c r="H347" s="271">
        <f t="shared" si="98"/>
        <v>13950000</v>
      </c>
      <c r="I347" s="438">
        <v>5</v>
      </c>
      <c r="J347" s="438">
        <v>0.2</v>
      </c>
      <c r="K347" s="68">
        <v>12</v>
      </c>
      <c r="L347" s="437">
        <f t="shared" si="94"/>
        <v>11160000</v>
      </c>
      <c r="M347" s="437">
        <f t="shared" si="99"/>
        <v>53010000</v>
      </c>
      <c r="N347" s="271">
        <f t="shared" si="100"/>
        <v>2790000</v>
      </c>
      <c r="O347" s="439" t="s">
        <v>849</v>
      </c>
      <c r="P347" s="440">
        <v>1</v>
      </c>
      <c r="Q347" s="441" t="s">
        <v>988</v>
      </c>
      <c r="R347" s="23"/>
      <c r="S347" s="23">
        <f t="shared" si="93"/>
        <v>2790000</v>
      </c>
      <c r="T347" s="23">
        <f t="shared" si="89"/>
        <v>0</v>
      </c>
      <c r="U347" s="23">
        <f t="shared" si="90"/>
        <v>2789000</v>
      </c>
      <c r="V347" s="10">
        <f t="shared" si="91"/>
        <v>11160000</v>
      </c>
      <c r="W347" s="10">
        <f t="shared" si="95"/>
        <v>11160000</v>
      </c>
      <c r="X347" s="10">
        <f t="shared" si="96"/>
        <v>0</v>
      </c>
      <c r="Y347" s="9" t="b">
        <f t="shared" si="102"/>
        <v>1</v>
      </c>
    </row>
    <row r="348" spans="1:25" s="9" customFormat="1" ht="13.5" customHeight="1" x14ac:dyDescent="0.2">
      <c r="A348" s="64">
        <f t="shared" si="97"/>
        <v>344</v>
      </c>
      <c r="B348" s="269" t="s">
        <v>1075</v>
      </c>
      <c r="C348" s="270">
        <v>42844</v>
      </c>
      <c r="D348" s="436">
        <v>85000000</v>
      </c>
      <c r="E348" s="436"/>
      <c r="F348" s="271">
        <f t="shared" si="101"/>
        <v>85000000</v>
      </c>
      <c r="G348" s="437">
        <v>63750000</v>
      </c>
      <c r="H348" s="271">
        <f t="shared" si="98"/>
        <v>21250000</v>
      </c>
      <c r="I348" s="438">
        <v>5</v>
      </c>
      <c r="J348" s="438">
        <v>0.2</v>
      </c>
      <c r="K348" s="68">
        <v>12</v>
      </c>
      <c r="L348" s="437">
        <f t="shared" si="94"/>
        <v>17000000</v>
      </c>
      <c r="M348" s="437">
        <f t="shared" si="99"/>
        <v>80750000</v>
      </c>
      <c r="N348" s="271">
        <f t="shared" si="100"/>
        <v>4250000</v>
      </c>
      <c r="O348" s="439" t="s">
        <v>1076</v>
      </c>
      <c r="P348" s="440">
        <v>1</v>
      </c>
      <c r="Q348" s="441" t="s">
        <v>988</v>
      </c>
      <c r="R348" s="23"/>
      <c r="S348" s="23">
        <f t="shared" si="93"/>
        <v>4250000</v>
      </c>
      <c r="T348" s="23">
        <f t="shared" si="89"/>
        <v>0</v>
      </c>
      <c r="U348" s="23">
        <f t="shared" si="90"/>
        <v>4249000</v>
      </c>
      <c r="V348" s="10">
        <f t="shared" si="91"/>
        <v>17000000</v>
      </c>
      <c r="W348" s="10">
        <f t="shared" si="95"/>
        <v>17000000</v>
      </c>
      <c r="X348" s="10">
        <f t="shared" si="96"/>
        <v>0</v>
      </c>
      <c r="Y348" s="9" t="b">
        <f t="shared" si="102"/>
        <v>1</v>
      </c>
    </row>
    <row r="349" spans="1:25" s="9" customFormat="1" ht="13.5" customHeight="1" x14ac:dyDescent="0.2">
      <c r="A349" s="64">
        <f t="shared" si="97"/>
        <v>345</v>
      </c>
      <c r="B349" s="269" t="s">
        <v>1077</v>
      </c>
      <c r="C349" s="270">
        <v>43157</v>
      </c>
      <c r="D349" s="436">
        <v>15000000</v>
      </c>
      <c r="E349" s="436"/>
      <c r="F349" s="271">
        <f t="shared" si="101"/>
        <v>15000000</v>
      </c>
      <c r="G349" s="437">
        <v>8750000</v>
      </c>
      <c r="H349" s="271">
        <f t="shared" si="98"/>
        <v>6250000</v>
      </c>
      <c r="I349" s="438">
        <v>5</v>
      </c>
      <c r="J349" s="438">
        <v>0.2</v>
      </c>
      <c r="K349" s="68">
        <v>12</v>
      </c>
      <c r="L349" s="437">
        <f t="shared" si="94"/>
        <v>3000000</v>
      </c>
      <c r="M349" s="437">
        <f t="shared" si="99"/>
        <v>11750000</v>
      </c>
      <c r="N349" s="271">
        <f t="shared" si="100"/>
        <v>3250000</v>
      </c>
      <c r="O349" s="439" t="s">
        <v>1078</v>
      </c>
      <c r="P349" s="440">
        <v>1</v>
      </c>
      <c r="Q349" s="441" t="s">
        <v>1079</v>
      </c>
      <c r="R349" s="23"/>
      <c r="S349" s="23">
        <f t="shared" si="93"/>
        <v>750000</v>
      </c>
      <c r="T349" s="23">
        <f t="shared" si="89"/>
        <v>2500000</v>
      </c>
      <c r="U349" s="23">
        <f t="shared" si="90"/>
        <v>3249000</v>
      </c>
      <c r="V349" s="10">
        <f t="shared" si="91"/>
        <v>3000000</v>
      </c>
      <c r="W349" s="10">
        <f t="shared" si="95"/>
        <v>3000000</v>
      </c>
      <c r="X349" s="10">
        <f t="shared" si="96"/>
        <v>0</v>
      </c>
      <c r="Y349" s="9" t="b">
        <f t="shared" si="102"/>
        <v>1</v>
      </c>
    </row>
    <row r="350" spans="1:25" s="9" customFormat="1" ht="13.5" customHeight="1" x14ac:dyDescent="0.2">
      <c r="A350" s="64">
        <f t="shared" si="97"/>
        <v>346</v>
      </c>
      <c r="B350" s="269" t="s">
        <v>1080</v>
      </c>
      <c r="C350" s="270">
        <v>43241</v>
      </c>
      <c r="D350" s="436">
        <v>85244178</v>
      </c>
      <c r="E350" s="436"/>
      <c r="F350" s="271">
        <f t="shared" si="101"/>
        <v>85244178</v>
      </c>
      <c r="G350" s="437">
        <v>45463562</v>
      </c>
      <c r="H350" s="271">
        <f t="shared" si="98"/>
        <v>39780616</v>
      </c>
      <c r="I350" s="438">
        <v>5</v>
      </c>
      <c r="J350" s="438">
        <v>0.2</v>
      </c>
      <c r="K350" s="68">
        <v>12</v>
      </c>
      <c r="L350" s="437">
        <f t="shared" si="94"/>
        <v>17048836</v>
      </c>
      <c r="M350" s="437">
        <f t="shared" si="99"/>
        <v>62512398</v>
      </c>
      <c r="N350" s="271">
        <f t="shared" si="100"/>
        <v>22731780</v>
      </c>
      <c r="O350" s="439" t="s">
        <v>1081</v>
      </c>
      <c r="P350" s="440">
        <v>4</v>
      </c>
      <c r="Q350" s="441"/>
      <c r="R350" s="23"/>
      <c r="S350" s="23">
        <f t="shared" si="93"/>
        <v>4262208.9000000004</v>
      </c>
      <c r="T350" s="23">
        <f t="shared" si="89"/>
        <v>18469571.100000001</v>
      </c>
      <c r="U350" s="23">
        <f t="shared" si="90"/>
        <v>22730780</v>
      </c>
      <c r="V350" s="10">
        <f t="shared" si="91"/>
        <v>17048835.600000001</v>
      </c>
      <c r="W350" s="10">
        <f t="shared" si="95"/>
        <v>17048836</v>
      </c>
      <c r="X350" s="10">
        <f t="shared" si="96"/>
        <v>0</v>
      </c>
      <c r="Y350" s="9" t="b">
        <f t="shared" si="102"/>
        <v>1</v>
      </c>
    </row>
    <row r="351" spans="1:25" s="9" customFormat="1" ht="13.5" customHeight="1" x14ac:dyDescent="0.2">
      <c r="A351" s="64">
        <f t="shared" si="97"/>
        <v>347</v>
      </c>
      <c r="B351" s="269" t="s">
        <v>1082</v>
      </c>
      <c r="C351" s="270">
        <v>43305</v>
      </c>
      <c r="D351" s="436">
        <v>21800000</v>
      </c>
      <c r="E351" s="436"/>
      <c r="F351" s="271">
        <f t="shared" si="101"/>
        <v>21800000</v>
      </c>
      <c r="G351" s="437">
        <v>10900000</v>
      </c>
      <c r="H351" s="271">
        <f t="shared" si="98"/>
        <v>10900000</v>
      </c>
      <c r="I351" s="438">
        <v>5</v>
      </c>
      <c r="J351" s="438">
        <v>0.2</v>
      </c>
      <c r="K351" s="68">
        <v>12</v>
      </c>
      <c r="L351" s="437">
        <f t="shared" si="94"/>
        <v>4360000</v>
      </c>
      <c r="M351" s="437">
        <f t="shared" si="99"/>
        <v>15260000</v>
      </c>
      <c r="N351" s="271">
        <f t="shared" si="100"/>
        <v>6540000</v>
      </c>
      <c r="O351" s="439" t="s">
        <v>1076</v>
      </c>
      <c r="P351" s="440">
        <v>1</v>
      </c>
      <c r="Q351" s="441"/>
      <c r="R351" s="23"/>
      <c r="S351" s="23">
        <f t="shared" si="93"/>
        <v>1090000</v>
      </c>
      <c r="T351" s="23">
        <f t="shared" si="89"/>
        <v>5450000</v>
      </c>
      <c r="U351" s="23">
        <f t="shared" si="90"/>
        <v>6539000</v>
      </c>
      <c r="V351" s="10">
        <f t="shared" si="91"/>
        <v>4360000</v>
      </c>
      <c r="W351" s="10">
        <f t="shared" si="95"/>
        <v>4360000</v>
      </c>
      <c r="X351" s="10">
        <f t="shared" si="96"/>
        <v>0</v>
      </c>
      <c r="Y351" s="9" t="b">
        <f t="shared" si="102"/>
        <v>1</v>
      </c>
    </row>
    <row r="352" spans="1:25" s="9" customFormat="1" ht="13.5" customHeight="1" x14ac:dyDescent="0.2">
      <c r="A352" s="64">
        <f t="shared" si="97"/>
        <v>348</v>
      </c>
      <c r="B352" s="269" t="s">
        <v>1083</v>
      </c>
      <c r="C352" s="270">
        <v>43305</v>
      </c>
      <c r="D352" s="436">
        <v>21800000</v>
      </c>
      <c r="E352" s="436"/>
      <c r="F352" s="271">
        <f t="shared" si="101"/>
        <v>21800000</v>
      </c>
      <c r="G352" s="437">
        <v>10900000</v>
      </c>
      <c r="H352" s="271">
        <f t="shared" si="98"/>
        <v>10900000</v>
      </c>
      <c r="I352" s="438">
        <v>5</v>
      </c>
      <c r="J352" s="438">
        <v>0.2</v>
      </c>
      <c r="K352" s="68">
        <v>12</v>
      </c>
      <c r="L352" s="437">
        <f t="shared" si="94"/>
        <v>4360000</v>
      </c>
      <c r="M352" s="437">
        <f t="shared" si="99"/>
        <v>15260000</v>
      </c>
      <c r="N352" s="271">
        <f t="shared" si="100"/>
        <v>6540000</v>
      </c>
      <c r="O352" s="439" t="s">
        <v>1076</v>
      </c>
      <c r="P352" s="440">
        <v>1</v>
      </c>
      <c r="Q352" s="441"/>
      <c r="R352" s="23"/>
      <c r="S352" s="23">
        <f t="shared" si="93"/>
        <v>1090000</v>
      </c>
      <c r="T352" s="23">
        <f t="shared" si="89"/>
        <v>5450000</v>
      </c>
      <c r="U352" s="23">
        <f t="shared" si="90"/>
        <v>6539000</v>
      </c>
      <c r="V352" s="10">
        <f t="shared" si="91"/>
        <v>4360000</v>
      </c>
      <c r="W352" s="10">
        <f t="shared" si="95"/>
        <v>4360000</v>
      </c>
      <c r="X352" s="10">
        <f t="shared" si="96"/>
        <v>0</v>
      </c>
      <c r="Y352" s="9" t="b">
        <f t="shared" si="102"/>
        <v>1</v>
      </c>
    </row>
    <row r="353" spans="1:25" s="9" customFormat="1" ht="13.5" customHeight="1" x14ac:dyDescent="0.2">
      <c r="A353" s="64">
        <f t="shared" si="97"/>
        <v>349</v>
      </c>
      <c r="B353" s="269" t="s">
        <v>1084</v>
      </c>
      <c r="C353" s="270">
        <v>43305</v>
      </c>
      <c r="D353" s="436">
        <v>21800000</v>
      </c>
      <c r="E353" s="436"/>
      <c r="F353" s="271">
        <f t="shared" si="101"/>
        <v>21800000</v>
      </c>
      <c r="G353" s="437">
        <v>10900000</v>
      </c>
      <c r="H353" s="271">
        <f t="shared" si="98"/>
        <v>10900000</v>
      </c>
      <c r="I353" s="438">
        <v>5</v>
      </c>
      <c r="J353" s="438">
        <v>0.2</v>
      </c>
      <c r="K353" s="68">
        <v>12</v>
      </c>
      <c r="L353" s="437">
        <f t="shared" si="94"/>
        <v>4360000</v>
      </c>
      <c r="M353" s="437">
        <f t="shared" si="99"/>
        <v>15260000</v>
      </c>
      <c r="N353" s="271">
        <f t="shared" si="100"/>
        <v>6540000</v>
      </c>
      <c r="O353" s="439" t="s">
        <v>1076</v>
      </c>
      <c r="P353" s="440">
        <v>1</v>
      </c>
      <c r="Q353" s="441"/>
      <c r="R353" s="23"/>
      <c r="S353" s="23">
        <f t="shared" si="93"/>
        <v>1090000</v>
      </c>
      <c r="T353" s="23">
        <f t="shared" si="89"/>
        <v>5450000</v>
      </c>
      <c r="U353" s="23">
        <f t="shared" si="90"/>
        <v>6539000</v>
      </c>
      <c r="V353" s="10">
        <f t="shared" si="91"/>
        <v>4360000</v>
      </c>
      <c r="W353" s="10">
        <f t="shared" si="95"/>
        <v>4360000</v>
      </c>
      <c r="X353" s="10">
        <f t="shared" si="96"/>
        <v>0</v>
      </c>
      <c r="Y353" s="9" t="b">
        <f t="shared" si="102"/>
        <v>1</v>
      </c>
    </row>
    <row r="354" spans="1:25" s="9" customFormat="1" ht="13.5" customHeight="1" x14ac:dyDescent="0.2">
      <c r="A354" s="64">
        <f t="shared" si="97"/>
        <v>350</v>
      </c>
      <c r="B354" s="269" t="s">
        <v>1085</v>
      </c>
      <c r="C354" s="270">
        <v>43305</v>
      </c>
      <c r="D354" s="436">
        <v>21800000</v>
      </c>
      <c r="E354" s="436"/>
      <c r="F354" s="271">
        <f t="shared" si="101"/>
        <v>21800000</v>
      </c>
      <c r="G354" s="437">
        <v>10900000</v>
      </c>
      <c r="H354" s="271">
        <f t="shared" si="98"/>
        <v>10900000</v>
      </c>
      <c r="I354" s="438">
        <v>5</v>
      </c>
      <c r="J354" s="438">
        <v>0.2</v>
      </c>
      <c r="K354" s="68">
        <v>12</v>
      </c>
      <c r="L354" s="437">
        <f t="shared" si="94"/>
        <v>4360000</v>
      </c>
      <c r="M354" s="437">
        <f t="shared" si="99"/>
        <v>15260000</v>
      </c>
      <c r="N354" s="271">
        <f t="shared" si="100"/>
        <v>6540000</v>
      </c>
      <c r="O354" s="439" t="s">
        <v>1076</v>
      </c>
      <c r="P354" s="440">
        <v>1</v>
      </c>
      <c r="Q354" s="441"/>
      <c r="R354" s="23"/>
      <c r="S354" s="23">
        <f t="shared" si="93"/>
        <v>1090000</v>
      </c>
      <c r="T354" s="23">
        <f t="shared" si="89"/>
        <v>5450000</v>
      </c>
      <c r="U354" s="23">
        <f t="shared" si="90"/>
        <v>6539000</v>
      </c>
      <c r="V354" s="10">
        <f t="shared" si="91"/>
        <v>4360000</v>
      </c>
      <c r="W354" s="10">
        <f t="shared" si="95"/>
        <v>4360000</v>
      </c>
      <c r="X354" s="10">
        <f t="shared" si="96"/>
        <v>0</v>
      </c>
      <c r="Y354" s="9" t="b">
        <f t="shared" si="102"/>
        <v>1</v>
      </c>
    </row>
    <row r="355" spans="1:25" s="9" customFormat="1" ht="13.5" customHeight="1" x14ac:dyDescent="0.2">
      <c r="A355" s="64">
        <f t="shared" si="97"/>
        <v>351</v>
      </c>
      <c r="B355" s="269" t="s">
        <v>1086</v>
      </c>
      <c r="C355" s="270">
        <v>43305</v>
      </c>
      <c r="D355" s="436">
        <v>21800000</v>
      </c>
      <c r="E355" s="436"/>
      <c r="F355" s="271">
        <f t="shared" si="101"/>
        <v>21800000</v>
      </c>
      <c r="G355" s="437">
        <v>10900000</v>
      </c>
      <c r="H355" s="271">
        <f t="shared" si="98"/>
        <v>10900000</v>
      </c>
      <c r="I355" s="438">
        <v>5</v>
      </c>
      <c r="J355" s="438">
        <v>0.2</v>
      </c>
      <c r="K355" s="68">
        <v>12</v>
      </c>
      <c r="L355" s="437">
        <f t="shared" si="94"/>
        <v>4360000</v>
      </c>
      <c r="M355" s="437">
        <f t="shared" si="99"/>
        <v>15260000</v>
      </c>
      <c r="N355" s="271">
        <f t="shared" si="100"/>
        <v>6540000</v>
      </c>
      <c r="O355" s="439" t="s">
        <v>1076</v>
      </c>
      <c r="P355" s="440">
        <v>1</v>
      </c>
      <c r="Q355" s="441"/>
      <c r="R355" s="23"/>
      <c r="S355" s="23">
        <f t="shared" si="93"/>
        <v>1090000</v>
      </c>
      <c r="T355" s="23">
        <f t="shared" si="89"/>
        <v>5450000</v>
      </c>
      <c r="U355" s="23">
        <f t="shared" si="90"/>
        <v>6539000</v>
      </c>
      <c r="V355" s="10">
        <f t="shared" si="91"/>
        <v>4360000</v>
      </c>
      <c r="W355" s="10">
        <f t="shared" si="95"/>
        <v>4360000</v>
      </c>
      <c r="X355" s="10">
        <f t="shared" si="96"/>
        <v>0</v>
      </c>
      <c r="Y355" s="9" t="b">
        <f t="shared" si="102"/>
        <v>1</v>
      </c>
    </row>
    <row r="356" spans="1:25" s="9" customFormat="1" ht="13.5" customHeight="1" x14ac:dyDescent="0.2">
      <c r="A356" s="64">
        <f t="shared" si="97"/>
        <v>352</v>
      </c>
      <c r="B356" s="269" t="s">
        <v>1087</v>
      </c>
      <c r="C356" s="270">
        <v>43307</v>
      </c>
      <c r="D356" s="436">
        <v>140000000</v>
      </c>
      <c r="E356" s="436"/>
      <c r="F356" s="271">
        <f t="shared" si="101"/>
        <v>140000000</v>
      </c>
      <c r="G356" s="437">
        <v>70000000</v>
      </c>
      <c r="H356" s="271">
        <f t="shared" si="98"/>
        <v>70000000</v>
      </c>
      <c r="I356" s="438">
        <v>5</v>
      </c>
      <c r="J356" s="438">
        <v>0.2</v>
      </c>
      <c r="K356" s="68">
        <v>12</v>
      </c>
      <c r="L356" s="437">
        <f t="shared" si="94"/>
        <v>28000000</v>
      </c>
      <c r="M356" s="437">
        <f t="shared" si="99"/>
        <v>98000000</v>
      </c>
      <c r="N356" s="271">
        <f t="shared" si="100"/>
        <v>42000000</v>
      </c>
      <c r="O356" s="439" t="s">
        <v>1088</v>
      </c>
      <c r="P356" s="440">
        <v>1</v>
      </c>
      <c r="Q356" s="441"/>
      <c r="R356" s="23"/>
      <c r="S356" s="23">
        <f t="shared" si="93"/>
        <v>7000000</v>
      </c>
      <c r="T356" s="23">
        <f t="shared" si="89"/>
        <v>35000000</v>
      </c>
      <c r="U356" s="23">
        <f t="shared" si="90"/>
        <v>41999000</v>
      </c>
      <c r="V356" s="10">
        <f t="shared" si="91"/>
        <v>28000000</v>
      </c>
      <c r="W356" s="10">
        <f t="shared" si="95"/>
        <v>28000000</v>
      </c>
      <c r="X356" s="10">
        <f t="shared" si="96"/>
        <v>0</v>
      </c>
      <c r="Y356" s="9" t="b">
        <f t="shared" si="102"/>
        <v>1</v>
      </c>
    </row>
    <row r="357" spans="1:25" s="9" customFormat="1" ht="13.5" customHeight="1" x14ac:dyDescent="0.2">
      <c r="A357" s="64">
        <f t="shared" si="97"/>
        <v>353</v>
      </c>
      <c r="B357" s="269" t="s">
        <v>1089</v>
      </c>
      <c r="C357" s="270">
        <v>43307</v>
      </c>
      <c r="D357" s="436">
        <v>110000000</v>
      </c>
      <c r="E357" s="436"/>
      <c r="F357" s="271">
        <f t="shared" si="101"/>
        <v>110000000</v>
      </c>
      <c r="G357" s="437">
        <v>55000000</v>
      </c>
      <c r="H357" s="271">
        <f t="shared" si="98"/>
        <v>55000000</v>
      </c>
      <c r="I357" s="438">
        <v>5</v>
      </c>
      <c r="J357" s="438">
        <v>0.2</v>
      </c>
      <c r="K357" s="68">
        <v>12</v>
      </c>
      <c r="L357" s="437">
        <f t="shared" si="94"/>
        <v>22000000</v>
      </c>
      <c r="M357" s="437">
        <f t="shared" si="99"/>
        <v>77000000</v>
      </c>
      <c r="N357" s="271">
        <f t="shared" si="100"/>
        <v>33000000</v>
      </c>
      <c r="O357" s="439" t="s">
        <v>1090</v>
      </c>
      <c r="P357" s="440">
        <v>1</v>
      </c>
      <c r="Q357" s="441"/>
      <c r="R357" s="23"/>
      <c r="S357" s="23">
        <f t="shared" si="93"/>
        <v>5500000</v>
      </c>
      <c r="T357" s="23">
        <f t="shared" si="89"/>
        <v>27500000</v>
      </c>
      <c r="U357" s="23">
        <f t="shared" si="90"/>
        <v>32999000</v>
      </c>
      <c r="V357" s="10">
        <f t="shared" si="91"/>
        <v>22000000</v>
      </c>
      <c r="W357" s="10">
        <f t="shared" si="95"/>
        <v>22000000</v>
      </c>
      <c r="X357" s="10">
        <f t="shared" si="96"/>
        <v>0</v>
      </c>
      <c r="Y357" s="9" t="b">
        <f t="shared" si="102"/>
        <v>1</v>
      </c>
    </row>
    <row r="358" spans="1:25" s="9" customFormat="1" ht="13.5" customHeight="1" x14ac:dyDescent="0.2">
      <c r="A358" s="64">
        <f t="shared" si="97"/>
        <v>354</v>
      </c>
      <c r="B358" s="269" t="s">
        <v>1091</v>
      </c>
      <c r="C358" s="270">
        <v>43307</v>
      </c>
      <c r="D358" s="436">
        <v>74333333</v>
      </c>
      <c r="E358" s="436"/>
      <c r="F358" s="271">
        <f t="shared" si="101"/>
        <v>74333333</v>
      </c>
      <c r="G358" s="437">
        <v>37166667</v>
      </c>
      <c r="H358" s="271">
        <f t="shared" si="98"/>
        <v>37166666</v>
      </c>
      <c r="I358" s="438">
        <v>5</v>
      </c>
      <c r="J358" s="438">
        <v>0.2</v>
      </c>
      <c r="K358" s="68">
        <v>12</v>
      </c>
      <c r="L358" s="437">
        <f t="shared" si="94"/>
        <v>14866667</v>
      </c>
      <c r="M358" s="437">
        <f t="shared" ref="M358:M363" si="103">+G358+L358</f>
        <v>52033334</v>
      </c>
      <c r="N358" s="271">
        <f t="shared" ref="N358:N363" si="104">+F358-M358</f>
        <v>22299999</v>
      </c>
      <c r="O358" s="439" t="s">
        <v>1090</v>
      </c>
      <c r="P358" s="440">
        <v>1</v>
      </c>
      <c r="Q358" s="441"/>
      <c r="R358" s="23"/>
      <c r="S358" s="23">
        <f t="shared" si="93"/>
        <v>3716666.6500000004</v>
      </c>
      <c r="T358" s="23">
        <f t="shared" si="89"/>
        <v>18583332.350000001</v>
      </c>
      <c r="U358" s="23">
        <f t="shared" si="90"/>
        <v>22298999</v>
      </c>
      <c r="V358" s="10">
        <f t="shared" si="91"/>
        <v>14866666.6</v>
      </c>
      <c r="W358" s="10">
        <f t="shared" si="95"/>
        <v>14866667</v>
      </c>
      <c r="X358" s="10">
        <f t="shared" si="96"/>
        <v>0</v>
      </c>
      <c r="Y358" s="9" t="b">
        <f t="shared" si="102"/>
        <v>1</v>
      </c>
    </row>
    <row r="359" spans="1:25" s="9" customFormat="1" ht="13.5" customHeight="1" x14ac:dyDescent="0.2">
      <c r="A359" s="64">
        <f t="shared" si="97"/>
        <v>355</v>
      </c>
      <c r="B359" s="269" t="s">
        <v>1092</v>
      </c>
      <c r="C359" s="270">
        <v>43307</v>
      </c>
      <c r="D359" s="436">
        <v>74333334</v>
      </c>
      <c r="E359" s="436"/>
      <c r="F359" s="271">
        <f t="shared" si="101"/>
        <v>74333334</v>
      </c>
      <c r="G359" s="437">
        <v>37166667</v>
      </c>
      <c r="H359" s="271">
        <f t="shared" si="98"/>
        <v>37166667</v>
      </c>
      <c r="I359" s="438">
        <v>5</v>
      </c>
      <c r="J359" s="438">
        <v>0.2</v>
      </c>
      <c r="K359" s="68">
        <v>12</v>
      </c>
      <c r="L359" s="437">
        <f t="shared" si="94"/>
        <v>14866667</v>
      </c>
      <c r="M359" s="437">
        <f t="shared" si="103"/>
        <v>52033334</v>
      </c>
      <c r="N359" s="271">
        <f t="shared" si="104"/>
        <v>22300000</v>
      </c>
      <c r="O359" s="439" t="s">
        <v>1090</v>
      </c>
      <c r="P359" s="440">
        <v>1</v>
      </c>
      <c r="Q359" s="441"/>
      <c r="R359" s="23"/>
      <c r="S359" s="23">
        <f t="shared" si="93"/>
        <v>3716666.7</v>
      </c>
      <c r="T359" s="23">
        <f>N359-S359</f>
        <v>18583333.300000001</v>
      </c>
      <c r="U359" s="23">
        <f>N359-1000</f>
        <v>22299000</v>
      </c>
      <c r="V359" s="10">
        <f>F359/I359</f>
        <v>14866666.800000001</v>
      </c>
      <c r="W359" s="10">
        <f t="shared" si="95"/>
        <v>14866667</v>
      </c>
      <c r="X359" s="10">
        <f t="shared" si="96"/>
        <v>0</v>
      </c>
      <c r="Y359" s="9" t="b">
        <f t="shared" si="102"/>
        <v>1</v>
      </c>
    </row>
    <row r="360" spans="1:25" s="9" customFormat="1" ht="13.5" customHeight="1" x14ac:dyDescent="0.2">
      <c r="A360" s="64">
        <f t="shared" si="97"/>
        <v>356</v>
      </c>
      <c r="B360" s="269" t="s">
        <v>1093</v>
      </c>
      <c r="C360" s="270">
        <v>43307</v>
      </c>
      <c r="D360" s="436">
        <v>74333333</v>
      </c>
      <c r="E360" s="436"/>
      <c r="F360" s="271">
        <f t="shared" si="101"/>
        <v>74333333</v>
      </c>
      <c r="G360" s="437">
        <v>37166667</v>
      </c>
      <c r="H360" s="271">
        <f t="shared" si="98"/>
        <v>37166666</v>
      </c>
      <c r="I360" s="438">
        <v>5</v>
      </c>
      <c r="J360" s="438">
        <v>0.2</v>
      </c>
      <c r="K360" s="68">
        <v>12</v>
      </c>
      <c r="L360" s="437">
        <f t="shared" si="94"/>
        <v>14866667</v>
      </c>
      <c r="M360" s="437">
        <f t="shared" si="103"/>
        <v>52033334</v>
      </c>
      <c r="N360" s="271">
        <f t="shared" si="104"/>
        <v>22299999</v>
      </c>
      <c r="O360" s="439" t="s">
        <v>1090</v>
      </c>
      <c r="P360" s="440">
        <v>1</v>
      </c>
      <c r="Q360" s="441"/>
      <c r="R360" s="23"/>
      <c r="S360" s="23">
        <f t="shared" si="93"/>
        <v>3716666.6500000004</v>
      </c>
      <c r="T360" s="23">
        <f>N360-S360</f>
        <v>18583332.350000001</v>
      </c>
      <c r="U360" s="23">
        <f>N360-1000</f>
        <v>22298999</v>
      </c>
      <c r="V360" s="10">
        <f>F360/I360</f>
        <v>14866666.6</v>
      </c>
      <c r="W360" s="10">
        <f t="shared" si="95"/>
        <v>14866667</v>
      </c>
      <c r="X360" s="10">
        <f t="shared" si="96"/>
        <v>0</v>
      </c>
      <c r="Y360" s="9" t="b">
        <f t="shared" si="102"/>
        <v>1</v>
      </c>
    </row>
    <row r="361" spans="1:25" s="9" customFormat="1" ht="13.5" customHeight="1" x14ac:dyDescent="0.2">
      <c r="A361" s="64">
        <f t="shared" si="97"/>
        <v>357</v>
      </c>
      <c r="B361" s="269" t="s">
        <v>1094</v>
      </c>
      <c r="C361" s="270">
        <v>43410</v>
      </c>
      <c r="D361" s="436">
        <v>15000000</v>
      </c>
      <c r="E361" s="436"/>
      <c r="F361" s="271">
        <f t="shared" ref="F361:F366" si="105">+D361+E361</f>
        <v>15000000</v>
      </c>
      <c r="G361" s="437">
        <v>6500000</v>
      </c>
      <c r="H361" s="271">
        <f t="shared" si="98"/>
        <v>8500000</v>
      </c>
      <c r="I361" s="438">
        <v>5</v>
      </c>
      <c r="J361" s="438">
        <v>0.2</v>
      </c>
      <c r="K361" s="68">
        <v>12</v>
      </c>
      <c r="L361" s="437">
        <f t="shared" ref="L361:L366" si="106">ROUND(IF(F361*J361*K361/12&gt;=H361,H361-1000,F361*J361*K361/12),0)</f>
        <v>3000000</v>
      </c>
      <c r="M361" s="437">
        <f t="shared" si="103"/>
        <v>9500000</v>
      </c>
      <c r="N361" s="271">
        <f t="shared" si="104"/>
        <v>5500000</v>
      </c>
      <c r="O361" s="439" t="s">
        <v>1095</v>
      </c>
      <c r="P361" s="440">
        <v>1</v>
      </c>
      <c r="Q361" s="441" t="s">
        <v>1079</v>
      </c>
      <c r="R361" s="23"/>
      <c r="S361" s="23">
        <f t="shared" si="93"/>
        <v>750000</v>
      </c>
      <c r="T361" s="23">
        <f>N361-S361</f>
        <v>4750000</v>
      </c>
      <c r="U361" s="23">
        <f>N361-1000</f>
        <v>5499000</v>
      </c>
      <c r="V361" s="10">
        <f>F361/I361</f>
        <v>3000000</v>
      </c>
      <c r="W361" s="10">
        <f t="shared" si="95"/>
        <v>3000000</v>
      </c>
      <c r="X361" s="10">
        <f t="shared" si="96"/>
        <v>0</v>
      </c>
      <c r="Y361" s="9" t="b">
        <f t="shared" si="102"/>
        <v>1</v>
      </c>
    </row>
    <row r="362" spans="1:25" s="9" customFormat="1" ht="13.5" customHeight="1" x14ac:dyDescent="0.2">
      <c r="A362" s="64">
        <f t="shared" si="97"/>
        <v>358</v>
      </c>
      <c r="B362" s="269" t="s">
        <v>1080</v>
      </c>
      <c r="C362" s="270">
        <v>43535</v>
      </c>
      <c r="D362" s="436">
        <v>26415195</v>
      </c>
      <c r="E362" s="436"/>
      <c r="F362" s="271">
        <f t="shared" si="105"/>
        <v>26415195</v>
      </c>
      <c r="G362" s="437">
        <v>9685572</v>
      </c>
      <c r="H362" s="271">
        <f t="shared" si="98"/>
        <v>16729623</v>
      </c>
      <c r="I362" s="438">
        <v>5</v>
      </c>
      <c r="J362" s="438">
        <v>0.2</v>
      </c>
      <c r="K362" s="68">
        <v>12</v>
      </c>
      <c r="L362" s="437">
        <f t="shared" si="106"/>
        <v>5283039</v>
      </c>
      <c r="M362" s="437">
        <f t="shared" si="103"/>
        <v>14968611</v>
      </c>
      <c r="N362" s="271">
        <f t="shared" si="104"/>
        <v>11446584</v>
      </c>
      <c r="O362" s="439" t="s">
        <v>2874</v>
      </c>
      <c r="P362" s="440">
        <v>1</v>
      </c>
      <c r="Q362" s="441"/>
      <c r="R362" s="23"/>
      <c r="S362" s="23"/>
      <c r="T362" s="23"/>
      <c r="U362" s="23"/>
      <c r="V362" s="10"/>
      <c r="W362" s="10"/>
      <c r="X362" s="10"/>
    </row>
    <row r="363" spans="1:25" s="9" customFormat="1" ht="13.5" customHeight="1" x14ac:dyDescent="0.2">
      <c r="A363" s="64">
        <f t="shared" si="97"/>
        <v>359</v>
      </c>
      <c r="B363" s="269" t="s">
        <v>1080</v>
      </c>
      <c r="C363" s="270">
        <v>43535</v>
      </c>
      <c r="D363" s="436">
        <v>26415195</v>
      </c>
      <c r="E363" s="436"/>
      <c r="F363" s="271">
        <f t="shared" si="105"/>
        <v>26415195</v>
      </c>
      <c r="G363" s="437">
        <v>9685572</v>
      </c>
      <c r="H363" s="271">
        <f t="shared" si="98"/>
        <v>16729623</v>
      </c>
      <c r="I363" s="438">
        <v>5</v>
      </c>
      <c r="J363" s="438">
        <v>0.2</v>
      </c>
      <c r="K363" s="68">
        <v>12</v>
      </c>
      <c r="L363" s="437">
        <f t="shared" si="106"/>
        <v>5283039</v>
      </c>
      <c r="M363" s="437">
        <f t="shared" si="103"/>
        <v>14968611</v>
      </c>
      <c r="N363" s="271">
        <f t="shared" si="104"/>
        <v>11446584</v>
      </c>
      <c r="O363" s="439" t="s">
        <v>2874</v>
      </c>
      <c r="P363" s="440">
        <v>1</v>
      </c>
      <c r="Q363" s="441"/>
      <c r="R363" s="23"/>
      <c r="S363" s="23"/>
      <c r="T363" s="23"/>
      <c r="U363" s="23"/>
      <c r="V363" s="10"/>
      <c r="W363" s="10"/>
      <c r="X363" s="10"/>
    </row>
    <row r="364" spans="1:25" s="9" customFormat="1" ht="13.5" customHeight="1" x14ac:dyDescent="0.2">
      <c r="A364" s="64">
        <f t="shared" si="97"/>
        <v>360</v>
      </c>
      <c r="B364" s="269" t="s">
        <v>2908</v>
      </c>
      <c r="C364" s="270">
        <v>43738</v>
      </c>
      <c r="D364" s="436">
        <v>243500000</v>
      </c>
      <c r="E364" s="436">
        <v>17000000</v>
      </c>
      <c r="F364" s="271">
        <f t="shared" si="105"/>
        <v>260500000</v>
      </c>
      <c r="G364" s="437">
        <v>64933333</v>
      </c>
      <c r="H364" s="271">
        <f t="shared" ref="H364:H375" si="107">+F364-G364</f>
        <v>195566667</v>
      </c>
      <c r="I364" s="438">
        <v>5</v>
      </c>
      <c r="J364" s="438">
        <v>0.2</v>
      </c>
      <c r="K364" s="68">
        <v>12</v>
      </c>
      <c r="L364" s="437">
        <f t="shared" si="106"/>
        <v>52100000</v>
      </c>
      <c r="M364" s="437">
        <f t="shared" ref="M364:M376" si="108">+G364+L364</f>
        <v>117033333</v>
      </c>
      <c r="N364" s="271">
        <f t="shared" ref="N364:N376" si="109">+F364-M364</f>
        <v>143466667</v>
      </c>
      <c r="O364" s="439" t="s">
        <v>2911</v>
      </c>
      <c r="P364" s="440">
        <v>1</v>
      </c>
      <c r="Q364" s="441"/>
      <c r="R364" s="23"/>
      <c r="S364" s="23"/>
      <c r="T364" s="23"/>
      <c r="U364" s="23"/>
      <c r="V364" s="10"/>
      <c r="W364" s="10"/>
      <c r="X364" s="10"/>
    </row>
    <row r="365" spans="1:25" s="9" customFormat="1" ht="13.5" customHeight="1" x14ac:dyDescent="0.2">
      <c r="A365" s="64">
        <f t="shared" si="97"/>
        <v>361</v>
      </c>
      <c r="B365" s="269" t="s">
        <v>2909</v>
      </c>
      <c r="C365" s="270">
        <v>43738</v>
      </c>
      <c r="D365" s="436">
        <v>3000000</v>
      </c>
      <c r="E365" s="436"/>
      <c r="F365" s="271">
        <f t="shared" si="105"/>
        <v>3000000</v>
      </c>
      <c r="G365" s="437">
        <v>800000</v>
      </c>
      <c r="H365" s="271">
        <f t="shared" si="107"/>
        <v>2200000</v>
      </c>
      <c r="I365" s="438">
        <v>5</v>
      </c>
      <c r="J365" s="438">
        <v>0.2</v>
      </c>
      <c r="K365" s="68">
        <v>12</v>
      </c>
      <c r="L365" s="437">
        <f t="shared" si="106"/>
        <v>600000</v>
      </c>
      <c r="M365" s="437">
        <f t="shared" si="108"/>
        <v>1400000</v>
      </c>
      <c r="N365" s="271">
        <f t="shared" si="109"/>
        <v>1600000</v>
      </c>
      <c r="O365" s="439" t="s">
        <v>2912</v>
      </c>
      <c r="P365" s="440">
        <v>1</v>
      </c>
      <c r="Q365" s="441"/>
      <c r="R365" s="23"/>
      <c r="S365" s="23"/>
      <c r="T365" s="23"/>
      <c r="U365" s="23"/>
      <c r="V365" s="10"/>
      <c r="W365" s="10"/>
      <c r="X365" s="10"/>
    </row>
    <row r="366" spans="1:25" s="9" customFormat="1" ht="13.5" customHeight="1" x14ac:dyDescent="0.2">
      <c r="A366" s="64">
        <f t="shared" si="97"/>
        <v>362</v>
      </c>
      <c r="B366" s="269" t="s">
        <v>2910</v>
      </c>
      <c r="C366" s="270">
        <v>43738</v>
      </c>
      <c r="D366" s="436">
        <v>8700000</v>
      </c>
      <c r="E366" s="436"/>
      <c r="F366" s="271">
        <f t="shared" si="105"/>
        <v>8700000</v>
      </c>
      <c r="G366" s="437">
        <v>2320000</v>
      </c>
      <c r="H366" s="271">
        <f t="shared" si="107"/>
        <v>6380000</v>
      </c>
      <c r="I366" s="438">
        <v>5</v>
      </c>
      <c r="J366" s="438">
        <v>0.2</v>
      </c>
      <c r="K366" s="68">
        <v>12</v>
      </c>
      <c r="L366" s="437">
        <f t="shared" si="106"/>
        <v>1740000</v>
      </c>
      <c r="M366" s="437">
        <f t="shared" si="108"/>
        <v>4060000</v>
      </c>
      <c r="N366" s="271">
        <f t="shared" si="109"/>
        <v>4640000</v>
      </c>
      <c r="O366" s="439" t="s">
        <v>2913</v>
      </c>
      <c r="P366" s="440">
        <v>1</v>
      </c>
      <c r="Q366" s="441"/>
      <c r="R366" s="23"/>
      <c r="S366" s="23"/>
      <c r="T366" s="23"/>
      <c r="U366" s="23"/>
      <c r="V366" s="10"/>
      <c r="W366" s="10"/>
      <c r="X366" s="10"/>
    </row>
    <row r="367" spans="1:25" s="9" customFormat="1" ht="13.5" customHeight="1" x14ac:dyDescent="0.2">
      <c r="A367" s="64">
        <f t="shared" si="97"/>
        <v>363</v>
      </c>
      <c r="B367" s="269" t="s">
        <v>2951</v>
      </c>
      <c r="C367" s="270">
        <v>43748</v>
      </c>
      <c r="D367" s="436">
        <v>16911500</v>
      </c>
      <c r="E367" s="436"/>
      <c r="F367" s="271">
        <f t="shared" ref="F367:F375" si="110">+D367+E367</f>
        <v>16911500</v>
      </c>
      <c r="G367" s="437">
        <v>4227875</v>
      </c>
      <c r="H367" s="271">
        <f t="shared" si="107"/>
        <v>12683625</v>
      </c>
      <c r="I367" s="438">
        <v>5</v>
      </c>
      <c r="J367" s="438">
        <v>0.2</v>
      </c>
      <c r="K367" s="68">
        <v>12</v>
      </c>
      <c r="L367" s="437">
        <f t="shared" ref="L367:L376" si="111">ROUND(IF(F367*J367*K367/12&gt;=H367,H367-1000,F367*J367*K367/12),0)</f>
        <v>3382300</v>
      </c>
      <c r="M367" s="437">
        <f t="shared" si="108"/>
        <v>7610175</v>
      </c>
      <c r="N367" s="271">
        <f t="shared" si="109"/>
        <v>9301325</v>
      </c>
      <c r="O367" s="439" t="s">
        <v>2953</v>
      </c>
      <c r="P367" s="440">
        <v>1</v>
      </c>
      <c r="Q367" s="441" t="s">
        <v>2955</v>
      </c>
      <c r="R367" s="23"/>
      <c r="S367" s="23"/>
      <c r="T367" s="23"/>
      <c r="U367" s="23"/>
      <c r="V367" s="10"/>
      <c r="W367" s="10"/>
      <c r="X367" s="10"/>
    </row>
    <row r="368" spans="1:25" s="9" customFormat="1" ht="13.5" customHeight="1" x14ac:dyDescent="0.2">
      <c r="A368" s="64">
        <f t="shared" si="97"/>
        <v>364</v>
      </c>
      <c r="B368" s="269" t="s">
        <v>2952</v>
      </c>
      <c r="C368" s="270">
        <v>43749</v>
      </c>
      <c r="D368" s="436">
        <v>240000000</v>
      </c>
      <c r="E368" s="436"/>
      <c r="F368" s="271">
        <f t="shared" si="110"/>
        <v>240000000</v>
      </c>
      <c r="G368" s="437">
        <v>60000000</v>
      </c>
      <c r="H368" s="271">
        <f t="shared" si="107"/>
        <v>180000000</v>
      </c>
      <c r="I368" s="438">
        <v>5</v>
      </c>
      <c r="J368" s="438">
        <v>0.2</v>
      </c>
      <c r="K368" s="68">
        <v>12</v>
      </c>
      <c r="L368" s="437">
        <f t="shared" si="111"/>
        <v>48000000</v>
      </c>
      <c r="M368" s="437">
        <f t="shared" si="108"/>
        <v>108000000</v>
      </c>
      <c r="N368" s="271">
        <f t="shared" si="109"/>
        <v>132000000</v>
      </c>
      <c r="O368" s="439" t="s">
        <v>2954</v>
      </c>
      <c r="P368" s="440">
        <v>1</v>
      </c>
      <c r="Q368" s="441"/>
      <c r="R368" s="23"/>
      <c r="S368" s="23"/>
      <c r="T368" s="23"/>
      <c r="U368" s="23"/>
      <c r="V368" s="10"/>
      <c r="W368" s="10"/>
      <c r="X368" s="10"/>
    </row>
    <row r="369" spans="1:24" s="9" customFormat="1" ht="13.5" customHeight="1" x14ac:dyDescent="0.2">
      <c r="A369" s="64">
        <f t="shared" si="97"/>
        <v>365</v>
      </c>
      <c r="B369" s="269" t="s">
        <v>2963</v>
      </c>
      <c r="C369" s="270">
        <v>43915</v>
      </c>
      <c r="D369" s="436">
        <v>31500000</v>
      </c>
      <c r="E369" s="436"/>
      <c r="F369" s="271">
        <f t="shared" si="110"/>
        <v>31500000</v>
      </c>
      <c r="G369" s="437">
        <v>5250000</v>
      </c>
      <c r="H369" s="271">
        <f t="shared" si="107"/>
        <v>26250000</v>
      </c>
      <c r="I369" s="438">
        <v>5</v>
      </c>
      <c r="J369" s="438">
        <v>0.2</v>
      </c>
      <c r="K369" s="68">
        <v>12</v>
      </c>
      <c r="L369" s="437">
        <f t="shared" si="111"/>
        <v>6300000</v>
      </c>
      <c r="M369" s="437">
        <f t="shared" si="108"/>
        <v>11550000</v>
      </c>
      <c r="N369" s="271">
        <f t="shared" si="109"/>
        <v>19950000</v>
      </c>
      <c r="O369" s="439" t="s">
        <v>2964</v>
      </c>
      <c r="P369" s="440">
        <v>1</v>
      </c>
      <c r="Q369" s="441"/>
      <c r="R369" s="23"/>
      <c r="S369" s="23"/>
      <c r="T369" s="23"/>
      <c r="U369" s="23"/>
      <c r="V369" s="10"/>
      <c r="W369" s="10"/>
      <c r="X369" s="10"/>
    </row>
    <row r="370" spans="1:24" s="9" customFormat="1" ht="13.5" customHeight="1" x14ac:dyDescent="0.2">
      <c r="A370" s="64">
        <f t="shared" si="97"/>
        <v>366</v>
      </c>
      <c r="B370" s="269" t="s">
        <v>2963</v>
      </c>
      <c r="C370" s="270">
        <v>43915</v>
      </c>
      <c r="D370" s="436">
        <v>31500000</v>
      </c>
      <c r="E370" s="436"/>
      <c r="F370" s="271">
        <f t="shared" si="110"/>
        <v>31500000</v>
      </c>
      <c r="G370" s="437">
        <v>5250000</v>
      </c>
      <c r="H370" s="271">
        <f t="shared" si="107"/>
        <v>26250000</v>
      </c>
      <c r="I370" s="438">
        <v>5</v>
      </c>
      <c r="J370" s="438">
        <v>0.2</v>
      </c>
      <c r="K370" s="68">
        <v>12</v>
      </c>
      <c r="L370" s="437">
        <f t="shared" si="111"/>
        <v>6300000</v>
      </c>
      <c r="M370" s="437">
        <f t="shared" si="108"/>
        <v>11550000</v>
      </c>
      <c r="N370" s="271">
        <f t="shared" si="109"/>
        <v>19950000</v>
      </c>
      <c r="O370" s="439" t="s">
        <v>2964</v>
      </c>
      <c r="P370" s="440">
        <v>1</v>
      </c>
      <c r="Q370" s="441"/>
      <c r="R370" s="23"/>
      <c r="S370" s="23"/>
      <c r="T370" s="23"/>
      <c r="U370" s="23"/>
      <c r="V370" s="10"/>
      <c r="W370" s="10"/>
      <c r="X370" s="10"/>
    </row>
    <row r="371" spans="1:24" s="9" customFormat="1" ht="13.5" customHeight="1" x14ac:dyDescent="0.2">
      <c r="A371" s="64">
        <f t="shared" si="97"/>
        <v>367</v>
      </c>
      <c r="B371" s="269" t="s">
        <v>3011</v>
      </c>
      <c r="C371" s="270" t="s">
        <v>3013</v>
      </c>
      <c r="D371" s="436">
        <v>70000000</v>
      </c>
      <c r="E371" s="436"/>
      <c r="F371" s="271">
        <f t="shared" si="110"/>
        <v>70000000</v>
      </c>
      <c r="G371" s="437">
        <v>2333333</v>
      </c>
      <c r="H371" s="271">
        <f t="shared" si="107"/>
        <v>67666667</v>
      </c>
      <c r="I371" s="438">
        <v>5</v>
      </c>
      <c r="J371" s="438">
        <v>0.2</v>
      </c>
      <c r="K371" s="68">
        <v>12</v>
      </c>
      <c r="L371" s="437">
        <f t="shared" si="111"/>
        <v>14000000</v>
      </c>
      <c r="M371" s="437">
        <f t="shared" si="108"/>
        <v>16333333</v>
      </c>
      <c r="N371" s="271">
        <f t="shared" si="109"/>
        <v>53666667</v>
      </c>
      <c r="O371" s="439" t="s">
        <v>3015</v>
      </c>
      <c r="P371" s="440">
        <v>1</v>
      </c>
      <c r="Q371" s="441"/>
      <c r="R371" s="23"/>
      <c r="S371" s="23"/>
      <c r="T371" s="23"/>
      <c r="U371" s="23"/>
      <c r="V371" s="10"/>
      <c r="W371" s="10"/>
      <c r="X371" s="10"/>
    </row>
    <row r="372" spans="1:24" s="9" customFormat="1" ht="13.5" customHeight="1" x14ac:dyDescent="0.2">
      <c r="A372" s="64">
        <f t="shared" si="97"/>
        <v>368</v>
      </c>
      <c r="B372" s="269" t="s">
        <v>3012</v>
      </c>
      <c r="C372" s="270" t="s">
        <v>3014</v>
      </c>
      <c r="D372" s="436">
        <v>25569090</v>
      </c>
      <c r="E372" s="436"/>
      <c r="F372" s="271">
        <f t="shared" si="110"/>
        <v>25569090</v>
      </c>
      <c r="G372" s="437">
        <v>852303</v>
      </c>
      <c r="H372" s="271">
        <f t="shared" si="107"/>
        <v>24716787</v>
      </c>
      <c r="I372" s="438">
        <v>5</v>
      </c>
      <c r="J372" s="438">
        <v>0.2</v>
      </c>
      <c r="K372" s="68">
        <v>12</v>
      </c>
      <c r="L372" s="437">
        <f t="shared" si="111"/>
        <v>5113818</v>
      </c>
      <c r="M372" s="437">
        <f t="shared" si="108"/>
        <v>5966121</v>
      </c>
      <c r="N372" s="271">
        <f t="shared" si="109"/>
        <v>19602969</v>
      </c>
      <c r="O372" s="439" t="s">
        <v>3016</v>
      </c>
      <c r="P372" s="440">
        <v>1</v>
      </c>
      <c r="Q372" s="441"/>
      <c r="R372" s="23"/>
      <c r="S372" s="23"/>
      <c r="T372" s="23"/>
      <c r="U372" s="23"/>
      <c r="V372" s="10"/>
      <c r="W372" s="10"/>
      <c r="X372" s="10"/>
    </row>
    <row r="373" spans="1:24" s="9" customFormat="1" ht="13.5" customHeight="1" x14ac:dyDescent="0.2">
      <c r="A373" s="107">
        <v>369</v>
      </c>
      <c r="B373" s="269" t="s">
        <v>3047</v>
      </c>
      <c r="C373" s="270">
        <v>44292</v>
      </c>
      <c r="D373" s="436"/>
      <c r="E373" s="436">
        <v>180000000</v>
      </c>
      <c r="F373" s="271">
        <f t="shared" si="110"/>
        <v>180000000</v>
      </c>
      <c r="G373" s="437"/>
      <c r="H373" s="271">
        <f t="shared" si="107"/>
        <v>180000000</v>
      </c>
      <c r="I373" s="438">
        <v>5</v>
      </c>
      <c r="J373" s="438">
        <v>0.2</v>
      </c>
      <c r="K373" s="74">
        <v>9</v>
      </c>
      <c r="L373" s="437">
        <f t="shared" si="111"/>
        <v>27000000</v>
      </c>
      <c r="M373" s="437">
        <f t="shared" si="108"/>
        <v>27000000</v>
      </c>
      <c r="N373" s="271">
        <f t="shared" si="109"/>
        <v>153000000</v>
      </c>
      <c r="O373" s="439" t="s">
        <v>3049</v>
      </c>
      <c r="P373" s="440">
        <v>8</v>
      </c>
      <c r="Q373" s="441"/>
      <c r="R373" s="23"/>
      <c r="S373" s="23"/>
      <c r="T373" s="23"/>
      <c r="U373" s="23"/>
      <c r="V373" s="10"/>
      <c r="W373" s="10"/>
      <c r="X373" s="10"/>
    </row>
    <row r="374" spans="1:24" s="9" customFormat="1" ht="13.5" customHeight="1" x14ac:dyDescent="0.2">
      <c r="A374" s="107">
        <v>370</v>
      </c>
      <c r="B374" s="269" t="s">
        <v>709</v>
      </c>
      <c r="C374" s="270">
        <v>44293</v>
      </c>
      <c r="D374" s="436"/>
      <c r="E374" s="436">
        <v>156000000</v>
      </c>
      <c r="F374" s="271">
        <f t="shared" si="110"/>
        <v>156000000</v>
      </c>
      <c r="G374" s="437"/>
      <c r="H374" s="271">
        <f t="shared" si="107"/>
        <v>156000000</v>
      </c>
      <c r="I374" s="438">
        <v>5</v>
      </c>
      <c r="J374" s="438">
        <v>0.2</v>
      </c>
      <c r="K374" s="74">
        <v>9</v>
      </c>
      <c r="L374" s="437">
        <f t="shared" si="111"/>
        <v>23400000</v>
      </c>
      <c r="M374" s="437">
        <f t="shared" si="108"/>
        <v>23400000</v>
      </c>
      <c r="N374" s="271">
        <f t="shared" si="109"/>
        <v>132600000</v>
      </c>
      <c r="O374" s="439" t="s">
        <v>3050</v>
      </c>
      <c r="P374" s="440">
        <v>3</v>
      </c>
      <c r="Q374" s="441"/>
      <c r="R374" s="23"/>
      <c r="S374" s="23"/>
      <c r="T374" s="23"/>
      <c r="U374" s="23"/>
      <c r="V374" s="10"/>
      <c r="W374" s="10"/>
      <c r="X374" s="10"/>
    </row>
    <row r="375" spans="1:24" s="9" customFormat="1" ht="13.5" customHeight="1" x14ac:dyDescent="0.2">
      <c r="A375" s="107">
        <v>371</v>
      </c>
      <c r="B375" s="269" t="s">
        <v>3048</v>
      </c>
      <c r="C375" s="270">
        <v>44293</v>
      </c>
      <c r="D375" s="436"/>
      <c r="E375" s="436">
        <v>64000000</v>
      </c>
      <c r="F375" s="271">
        <f t="shared" si="110"/>
        <v>64000000</v>
      </c>
      <c r="G375" s="437"/>
      <c r="H375" s="271">
        <f t="shared" si="107"/>
        <v>64000000</v>
      </c>
      <c r="I375" s="438">
        <v>5</v>
      </c>
      <c r="J375" s="438">
        <v>0.2</v>
      </c>
      <c r="K375" s="74">
        <v>9</v>
      </c>
      <c r="L375" s="437">
        <f t="shared" si="111"/>
        <v>9600000</v>
      </c>
      <c r="M375" s="437">
        <f t="shared" si="108"/>
        <v>9600000</v>
      </c>
      <c r="N375" s="271">
        <f t="shared" si="109"/>
        <v>54400000</v>
      </c>
      <c r="O375" s="439" t="s">
        <v>3050</v>
      </c>
      <c r="P375" s="440">
        <v>8</v>
      </c>
      <c r="Q375" s="441"/>
      <c r="R375" s="23"/>
      <c r="S375" s="23"/>
      <c r="T375" s="23"/>
      <c r="U375" s="23"/>
      <c r="V375" s="10"/>
      <c r="W375" s="10"/>
      <c r="X375" s="10"/>
    </row>
    <row r="376" spans="1:24" s="9" customFormat="1" ht="13.5" customHeight="1" x14ac:dyDescent="0.2">
      <c r="A376" s="107">
        <v>372</v>
      </c>
      <c r="B376" s="269" t="s">
        <v>3106</v>
      </c>
      <c r="C376" s="270">
        <v>44516</v>
      </c>
      <c r="D376" s="436"/>
      <c r="E376" s="436">
        <v>127200000</v>
      </c>
      <c r="F376" s="271">
        <f t="shared" ref="F376" si="112">+D376+E376</f>
        <v>127200000</v>
      </c>
      <c r="G376" s="437"/>
      <c r="H376" s="271">
        <f t="shared" ref="H376" si="113">+F376-G376</f>
        <v>127200000</v>
      </c>
      <c r="I376" s="438">
        <v>5</v>
      </c>
      <c r="J376" s="438">
        <v>0.2</v>
      </c>
      <c r="K376" s="74">
        <v>2</v>
      </c>
      <c r="L376" s="437">
        <f t="shared" si="111"/>
        <v>4240000</v>
      </c>
      <c r="M376" s="437">
        <f t="shared" si="108"/>
        <v>4240000</v>
      </c>
      <c r="N376" s="271">
        <f t="shared" si="109"/>
        <v>122960000</v>
      </c>
      <c r="O376" s="439" t="s">
        <v>3107</v>
      </c>
      <c r="P376" s="440">
        <v>1</v>
      </c>
      <c r="Q376" s="441"/>
      <c r="R376" s="23"/>
      <c r="S376" s="23"/>
      <c r="T376" s="23"/>
      <c r="U376" s="23"/>
      <c r="V376" s="10"/>
      <c r="W376" s="10"/>
      <c r="X376" s="10"/>
    </row>
    <row r="377" spans="1:24" s="9" customFormat="1" ht="13.5" customHeight="1" thickBot="1" x14ac:dyDescent="0.25">
      <c r="A377" s="442"/>
      <c r="B377" s="443"/>
      <c r="C377" s="444"/>
      <c r="D377" s="445"/>
      <c r="E377" s="446"/>
      <c r="F377" s="445"/>
      <c r="G377" s="447"/>
      <c r="H377" s="445"/>
      <c r="I377" s="448"/>
      <c r="J377" s="448"/>
      <c r="K377" s="448"/>
      <c r="L377" s="447"/>
      <c r="M377" s="447"/>
      <c r="N377" s="445"/>
      <c r="O377" s="449"/>
      <c r="P377" s="450"/>
      <c r="Q377" s="451"/>
      <c r="R377" s="23"/>
      <c r="S377" s="23"/>
      <c r="T377" s="23"/>
      <c r="U377" s="23"/>
      <c r="V377" s="10"/>
      <c r="W377" s="10"/>
      <c r="X377" s="10"/>
    </row>
    <row r="378" spans="1:24" s="9" customFormat="1" ht="13.5" customHeight="1" thickTop="1" thickBot="1" x14ac:dyDescent="0.25">
      <c r="A378" s="95"/>
      <c r="B378" s="452" t="s">
        <v>118</v>
      </c>
      <c r="C378" s="97"/>
      <c r="D378" s="453">
        <f>ROUND(SUM(D5:D377),0)</f>
        <v>23398390035</v>
      </c>
      <c r="E378" s="453">
        <f>ROUND(SUM(E5:E377),0)</f>
        <v>544200000</v>
      </c>
      <c r="F378" s="453">
        <f>ROUND(SUM(F5:F377),0)</f>
        <v>23942590035</v>
      </c>
      <c r="G378" s="454">
        <f>ROUND(SUM(G5:G377),0)</f>
        <v>21995133090</v>
      </c>
      <c r="H378" s="453">
        <f>ROUND(SUM(H5:H377),0)</f>
        <v>1947456945</v>
      </c>
      <c r="I378" s="453"/>
      <c r="J378" s="453"/>
      <c r="K378" s="453"/>
      <c r="L378" s="455">
        <f>ROUND(SUM(L5:L377),0)</f>
        <v>844031361</v>
      </c>
      <c r="M378" s="453">
        <f>ROUND(SUM(M5:M377),0)</f>
        <v>22839164451</v>
      </c>
      <c r="N378" s="453">
        <f>ROUND(SUM(N5:N377),0)</f>
        <v>1103425584</v>
      </c>
      <c r="O378" s="456"/>
      <c r="P378" s="456"/>
      <c r="Q378" s="457"/>
      <c r="R378" s="23">
        <f>SUM(R5:R203)</f>
        <v>15800</v>
      </c>
      <c r="S378" s="23"/>
      <c r="T378" s="23"/>
      <c r="U378" s="23"/>
      <c r="V378" s="279"/>
      <c r="W378" s="10">
        <f>SUM(W5:W377)</f>
        <v>643470501</v>
      </c>
    </row>
  </sheetData>
  <autoFilter ref="A4:Q378"/>
  <mergeCells count="2">
    <mergeCell ref="B1:Q1"/>
    <mergeCell ref="S3:T3"/>
  </mergeCells>
  <phoneticPr fontId="4" type="noConversion"/>
  <pageMargins left="0.39370078740157483" right="0.23622047244094491" top="0.27559055118110237" bottom="0.31496062992125984" header="0.19685039370078741" footer="0.31496062992125984"/>
  <pageSetup paperSize="9" scale="60" orientation="landscape" r:id="rId1"/>
  <headerFooter alignWithMargins="0"/>
  <rowBreaks count="3" manualBreakCount="3">
    <brk id="228" max="16" man="1"/>
    <brk id="284" max="16" man="1"/>
    <brk id="340" max="1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이름이 지정된 범위</vt:lpstr>
      </vt:variant>
      <vt:variant>
        <vt:i4>20</vt:i4>
      </vt:variant>
    </vt:vector>
  </HeadingPairs>
  <TitlesOfParts>
    <vt:vector size="37" baseType="lpstr">
      <vt:lpstr>감가상각분개</vt:lpstr>
      <vt:lpstr>유형자산</vt:lpstr>
      <vt:lpstr>토지</vt:lpstr>
      <vt:lpstr>건물(DM)</vt:lpstr>
      <vt:lpstr>건물(반도체)</vt:lpstr>
      <vt:lpstr>구축물(DM)</vt:lpstr>
      <vt:lpstr>구축물(반도체)</vt:lpstr>
      <vt:lpstr>기계설비(D&amp;M)</vt:lpstr>
      <vt:lpstr>기계설비(반도체)</vt:lpstr>
      <vt:lpstr>차량운반(D&amp;M)</vt:lpstr>
      <vt:lpstr>차량운반(반도체)</vt:lpstr>
      <vt:lpstr>공구와기구(D&amp;M)</vt:lpstr>
      <vt:lpstr>공구와기구(반도체)</vt:lpstr>
      <vt:lpstr>비품(D&amp;M)</vt:lpstr>
      <vt:lpstr>비품(반도체)</vt:lpstr>
      <vt:lpstr>무형자산-D&amp;M사업부</vt:lpstr>
      <vt:lpstr>무형자산분개</vt:lpstr>
      <vt:lpstr>'건물(DM)'!Print_Area</vt:lpstr>
      <vt:lpstr>'건물(반도체)'!Print_Area</vt:lpstr>
      <vt:lpstr>'공구와기구(D&amp;M)'!Print_Area</vt:lpstr>
      <vt:lpstr>'공구와기구(반도체)'!Print_Area</vt:lpstr>
      <vt:lpstr>'구축물(DM)'!Print_Area</vt:lpstr>
      <vt:lpstr>'구축물(반도체)'!Print_Area</vt:lpstr>
      <vt:lpstr>'기계설비(D&amp;M)'!Print_Area</vt:lpstr>
      <vt:lpstr>'기계설비(반도체)'!Print_Area</vt:lpstr>
      <vt:lpstr>'비품(D&amp;M)'!Print_Area</vt:lpstr>
      <vt:lpstr>'비품(반도체)'!Print_Area</vt:lpstr>
      <vt:lpstr>'차량운반(D&amp;M)'!Print_Area</vt:lpstr>
      <vt:lpstr>'차량운반(반도체)'!Print_Area</vt:lpstr>
      <vt:lpstr>토지!Print_Area</vt:lpstr>
      <vt:lpstr>'공구와기구(D&amp;M)'!Print_Titles</vt:lpstr>
      <vt:lpstr>'공구와기구(반도체)'!Print_Titles</vt:lpstr>
      <vt:lpstr>'기계설비(D&amp;M)'!Print_Titles</vt:lpstr>
      <vt:lpstr>'기계설비(반도체)'!Print_Titles</vt:lpstr>
      <vt:lpstr>'무형자산-D&amp;M사업부'!Print_Titles</vt:lpstr>
      <vt:lpstr>'비품(D&amp;M)'!Print_Titles</vt:lpstr>
      <vt:lpstr>'비품(반도체)'!Print_Titles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김수민</dc:creator>
  <cp:lastModifiedBy>다.최수민</cp:lastModifiedBy>
  <dcterms:created xsi:type="dcterms:W3CDTF">2019-02-15T08:07:57Z</dcterms:created>
  <dcterms:modified xsi:type="dcterms:W3CDTF">2024-01-23T06:22:12Z</dcterms:modified>
</cp:coreProperties>
</file>