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YUJINOH\Desktop\"/>
    </mc:Choice>
  </mc:AlternateContent>
  <xr:revisionPtr revIDLastSave="0" documentId="13_ncr:1_{F6030D36-8500-4D60-B219-FAEC82527B3A}" xr6:coauthVersionLast="47" xr6:coauthVersionMax="47" xr10:uidLastSave="{00000000-0000-0000-0000-000000000000}"/>
  <bookViews>
    <workbookView xWindow="-120" yWindow="-120" windowWidth="29040" windowHeight="15840" tabRatio="939" firstSheet="35" activeTab="37" xr2:uid="{00000000-000D-0000-FFFF-FFFF00000000}"/>
  </bookViews>
  <sheets>
    <sheet name="기본가정" sheetId="23" state="hidden" r:id="rId1"/>
    <sheet name="3-2.2019년 3분기" sheetId="25" state="hidden" r:id="rId2"/>
    <sheet name="4-2.2019년 4분기" sheetId="31" state="hidden" r:id="rId3"/>
    <sheet name="1-2.2020년 1분기" sheetId="26" state="hidden" r:id="rId4"/>
    <sheet name="2-2.2020년 2분기" sheetId="24" state="hidden" r:id="rId5"/>
    <sheet name="부도율 적용(2020.02Q)" sheetId="27" state="hidden" r:id="rId6"/>
    <sheet name="전이율 적용(2020.02Q)" sheetId="28" state="hidden" r:id="rId7"/>
    <sheet name="부도율 적용(2020.3Q)" sheetId="20" state="hidden" r:id="rId8"/>
    <sheet name="전이율 적용(2020.3Q)" sheetId="22" state="hidden" r:id="rId9"/>
    <sheet name="부도율 적용(2020.4Q)" sheetId="29" state="hidden" r:id="rId10"/>
    <sheet name="전이율 적용(2020.4Q)-기존" sheetId="34" state="hidden" r:id="rId11"/>
    <sheet name="전이율 적용(2020.4Q)-국내" sheetId="30" state="hidden" r:id="rId12"/>
    <sheet name="전이율 적용(2020.4Q)-수출" sheetId="32" state="hidden" r:id="rId13"/>
    <sheet name="전이율 적용(2021.1Q)-국내" sheetId="35" state="hidden" r:id="rId14"/>
    <sheet name="전이율 적용(2021.1Q)-수출" sheetId="36" state="hidden" r:id="rId15"/>
    <sheet name="전이율 적용(2021.2Q)-국내" sheetId="37" state="hidden" r:id="rId16"/>
    <sheet name="전이율 적용(2021.2Q)-수출" sheetId="38" state="hidden" r:id="rId17"/>
    <sheet name="전이율 적용(2021.3Q)-국내" sheetId="39" state="hidden" r:id="rId18"/>
    <sheet name="전이율 적용(2021.3Q)-수출" sheetId="40" state="hidden" r:id="rId19"/>
    <sheet name="전이율 적용(2021.4Q)-국내" sheetId="41" state="hidden" r:id="rId20"/>
    <sheet name="전이율 적용(2021.4Q)-수출" sheetId="42" state="hidden" r:id="rId21"/>
    <sheet name="전이율 적용(2022.1Q)-국내" sheetId="43" state="hidden" r:id="rId22"/>
    <sheet name="전이율 적용(2022.1Q)-수출" sheetId="44" state="hidden" r:id="rId23"/>
    <sheet name="전이율 적용(2022.2Q)-국내" sheetId="45" state="hidden" r:id="rId24"/>
    <sheet name="전이율 적용(2022.2Q)-수출" sheetId="46" state="hidden" r:id="rId25"/>
    <sheet name="전이율 적용(2022.3Q)-국내." sheetId="51" state="hidden" r:id="rId26"/>
    <sheet name="전이율 적용(2022.3Q)-수출." sheetId="52" state="hidden" r:id="rId27"/>
    <sheet name="전이율 적용(2022.3Q)-국내" sheetId="47" state="hidden" r:id="rId28"/>
    <sheet name="전이율 적용(2022.3Q)-수출" sheetId="48" state="hidden" r:id="rId29"/>
    <sheet name="전이율 적용(2022.4Q)-국내" sheetId="49" state="hidden" r:id="rId30"/>
    <sheet name="전이율 적용(2022.4Q)-수출" sheetId="50" state="hidden" r:id="rId31"/>
    <sheet name="전이율 적용(2023.1Q)-국내" sheetId="53" state="hidden" r:id="rId32"/>
    <sheet name="전이율 적용(2023.1Q)-수출" sheetId="54" state="hidden" r:id="rId33"/>
    <sheet name="전이율 적용(2023.2Q)-국내" sheetId="55" state="hidden" r:id="rId34"/>
    <sheet name="전이율 적용(2023.2Q)-수출" sheetId="56" state="hidden" r:id="rId35"/>
    <sheet name="전이율 적용(2023.3Q)-국내" sheetId="57" r:id="rId36"/>
    <sheet name="전이율 적용(2023.3Q)-수출" sheetId="58" r:id="rId37"/>
    <sheet name="전이율 적용(2023.4Q)-국내" sheetId="59" r:id="rId38"/>
    <sheet name="전이율 적용(2023.4Q)-수출" sheetId="60" r:id="rId39"/>
  </sheets>
  <externalReferences>
    <externalReference r:id="rId40"/>
    <externalReference r:id="rId41"/>
    <externalReference r:id="rId42"/>
  </externalReferences>
  <definedNames>
    <definedName name="_xlnm.Print_Area" localSheetId="8">'전이율 적용(2020.3Q)'!$A$1:$N$64</definedName>
    <definedName name="_xlnm.Print_Area" localSheetId="11">'전이율 적용(2020.4Q)-국내'!$A$1:$N$64</definedName>
    <definedName name="_xlnm.Print_Area" localSheetId="10">'전이율 적용(2020.4Q)-기존'!$A$1:$N$64</definedName>
    <definedName name="_xlnm.Print_Area" localSheetId="12">'전이율 적용(2020.4Q)-수출'!$A$1:$N$64</definedName>
    <definedName name="_xlnm.Print_Area" localSheetId="13">'전이율 적용(2021.1Q)-국내'!$A$1:$N$64</definedName>
    <definedName name="_xlnm.Print_Area" localSheetId="14">'전이율 적용(2021.1Q)-수출'!$A$1:$N$64</definedName>
    <definedName name="_xlnm.Print_Area" localSheetId="15">'전이율 적용(2021.2Q)-국내'!$A$1:$N$64</definedName>
    <definedName name="_xlnm.Print_Area" localSheetId="16">'전이율 적용(2021.2Q)-수출'!$A$1:$N$64</definedName>
    <definedName name="_xlnm.Print_Area" localSheetId="17">'전이율 적용(2021.3Q)-국내'!$A$1:$N$64</definedName>
    <definedName name="_xlnm.Print_Area" localSheetId="18">'전이율 적용(2021.3Q)-수출'!$A$1:$N$64</definedName>
    <definedName name="_xlnm.Print_Area" localSheetId="19">'전이율 적용(2021.4Q)-국내'!$A$1:$N$64</definedName>
    <definedName name="_xlnm.Print_Area" localSheetId="20">'전이율 적용(2021.4Q)-수출'!$A$1:$N$64</definedName>
    <definedName name="_xlnm.Print_Area" localSheetId="21">'전이율 적용(2022.1Q)-국내'!$A$1:$N$64</definedName>
    <definedName name="_xlnm.Print_Area" localSheetId="22">'전이율 적용(2022.1Q)-수출'!$A$1:$N$64</definedName>
    <definedName name="_xlnm.Print_Area" localSheetId="23">'전이율 적용(2022.2Q)-국내'!$A$1:$N$64</definedName>
    <definedName name="_xlnm.Print_Area" localSheetId="24">'전이율 적용(2022.2Q)-수출'!$A$1:$N$64</definedName>
    <definedName name="_xlnm.Print_Area" localSheetId="27">'전이율 적용(2022.3Q)-국내'!$A$1:$N$64</definedName>
    <definedName name="_xlnm.Print_Area" localSheetId="25">'전이율 적용(2022.3Q)-국내.'!$A$1:$N$64</definedName>
    <definedName name="_xlnm.Print_Area" localSheetId="28">'전이율 적용(2022.3Q)-수출'!$A$1:$N$64</definedName>
    <definedName name="_xlnm.Print_Area" localSheetId="26">'전이율 적용(2022.3Q)-수출.'!$A$1:$N$64</definedName>
    <definedName name="_xlnm.Print_Area" localSheetId="29">'전이율 적용(2022.4Q)-국내'!$A$1:$N$64</definedName>
    <definedName name="_xlnm.Print_Area" localSheetId="30">'전이율 적용(2022.4Q)-수출'!$A$1:$N$64</definedName>
    <definedName name="_xlnm.Print_Area" localSheetId="31">'전이율 적용(2023.1Q)-국내'!$A$1:$N$64</definedName>
    <definedName name="_xlnm.Print_Area" localSheetId="32">'전이율 적용(2023.1Q)-수출'!$A$1:$N$64</definedName>
    <definedName name="_xlnm.Print_Area" localSheetId="33">'전이율 적용(2023.2Q)-국내'!$A$1:$N$64</definedName>
    <definedName name="_xlnm.Print_Area" localSheetId="34">'전이율 적용(2023.2Q)-수출'!$A$1:$N$64</definedName>
    <definedName name="_xlnm.Print_Area" localSheetId="35">'전이율 적용(2023.3Q)-국내'!$A$1:$N$64</definedName>
    <definedName name="_xlnm.Print_Area" localSheetId="36">'전이율 적용(2023.3Q)-수출'!$A$1:$N$64</definedName>
    <definedName name="_xlnm.Print_Area" localSheetId="37">'전이율 적용(2023.4Q)-국내'!$A$1:$N$64</definedName>
    <definedName name="_xlnm.Print_Area" localSheetId="38">'전이율 적용(2023.4Q)-수출'!$A$1:$N$64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0" i="59" l="1"/>
  <c r="L36" i="60"/>
  <c r="J75" i="59" s="1"/>
  <c r="J80" i="59" s="1"/>
  <c r="L38" i="60"/>
  <c r="L35" i="60"/>
  <c r="L34" i="60"/>
  <c r="L33" i="60"/>
  <c r="J35" i="60"/>
  <c r="J34" i="60"/>
  <c r="J33" i="60"/>
  <c r="L39" i="59"/>
  <c r="L36" i="59"/>
  <c r="L34" i="59"/>
  <c r="L33" i="59"/>
  <c r="J35" i="59"/>
  <c r="J34" i="59"/>
  <c r="J33" i="59"/>
  <c r="J79" i="59"/>
  <c r="I79" i="59"/>
  <c r="J77" i="59"/>
  <c r="J76" i="59"/>
  <c r="J74" i="59"/>
  <c r="I77" i="59"/>
  <c r="I76" i="59"/>
  <c r="I74" i="59"/>
  <c r="L40" i="60"/>
  <c r="J40" i="60"/>
  <c r="L39" i="60"/>
  <c r="L37" i="60"/>
  <c r="J37" i="60"/>
  <c r="J36" i="60"/>
  <c r="L40" i="59"/>
  <c r="J40" i="59"/>
  <c r="L35" i="59"/>
  <c r="L37" i="59"/>
  <c r="L38" i="59"/>
  <c r="P19" i="59"/>
  <c r="O19" i="59"/>
  <c r="J36" i="59"/>
  <c r="J37" i="59"/>
  <c r="I61" i="59"/>
  <c r="I64" i="59" s="1"/>
  <c r="D64" i="60"/>
  <c r="C54" i="60"/>
  <c r="C55" i="60" s="1"/>
  <c r="D39" i="60"/>
  <c r="C39" i="60"/>
  <c r="D38" i="60"/>
  <c r="C38" i="60"/>
  <c r="E38" i="60" s="1"/>
  <c r="G38" i="60" s="1"/>
  <c r="E37" i="60"/>
  <c r="D37" i="60"/>
  <c r="C37" i="60"/>
  <c r="D36" i="60"/>
  <c r="C36" i="60"/>
  <c r="E36" i="60" s="1"/>
  <c r="D35" i="60"/>
  <c r="C35" i="60"/>
  <c r="E35" i="60" s="1"/>
  <c r="D34" i="60"/>
  <c r="D40" i="60" s="1"/>
  <c r="C34" i="60"/>
  <c r="E33" i="60"/>
  <c r="D33" i="60"/>
  <c r="C33" i="60"/>
  <c r="M25" i="60"/>
  <c r="L25" i="60"/>
  <c r="K25" i="60"/>
  <c r="J25" i="60"/>
  <c r="I25" i="60"/>
  <c r="H25" i="60"/>
  <c r="G25" i="60"/>
  <c r="F25" i="60"/>
  <c r="E25" i="60"/>
  <c r="D25" i="60"/>
  <c r="C25" i="60"/>
  <c r="M24" i="60"/>
  <c r="L24" i="60"/>
  <c r="K24" i="60"/>
  <c r="J24" i="60"/>
  <c r="I24" i="60"/>
  <c r="H24" i="60"/>
  <c r="G24" i="60"/>
  <c r="F24" i="60"/>
  <c r="E24" i="60"/>
  <c r="D24" i="60"/>
  <c r="C24" i="60"/>
  <c r="N24" i="60" s="1"/>
  <c r="M23" i="60"/>
  <c r="L23" i="60"/>
  <c r="K23" i="60"/>
  <c r="J23" i="60"/>
  <c r="I23" i="60"/>
  <c r="H23" i="60"/>
  <c r="G23" i="60"/>
  <c r="F23" i="60"/>
  <c r="E23" i="60"/>
  <c r="D23" i="60"/>
  <c r="C23" i="60"/>
  <c r="M22" i="60"/>
  <c r="L22" i="60"/>
  <c r="K22" i="60"/>
  <c r="J22" i="60"/>
  <c r="I22" i="60"/>
  <c r="H22" i="60"/>
  <c r="G22" i="60"/>
  <c r="F22" i="60"/>
  <c r="E22" i="60"/>
  <c r="D22" i="60"/>
  <c r="C22" i="60"/>
  <c r="M21" i="60"/>
  <c r="L21" i="60"/>
  <c r="K21" i="60"/>
  <c r="J21" i="60"/>
  <c r="I21" i="60"/>
  <c r="H21" i="60"/>
  <c r="G21" i="60"/>
  <c r="F21" i="60"/>
  <c r="E21" i="60"/>
  <c r="D21" i="60"/>
  <c r="C21" i="60"/>
  <c r="J70" i="59"/>
  <c r="I70" i="59"/>
  <c r="J64" i="59"/>
  <c r="D64" i="59"/>
  <c r="D54" i="59"/>
  <c r="D55" i="59" s="1"/>
  <c r="E57" i="59" s="1"/>
  <c r="C54" i="59"/>
  <c r="C55" i="59" s="1"/>
  <c r="E39" i="59"/>
  <c r="G39" i="59" s="1"/>
  <c r="D39" i="59"/>
  <c r="C39" i="59"/>
  <c r="E38" i="59"/>
  <c r="G38" i="59" s="1"/>
  <c r="D38" i="59"/>
  <c r="C38" i="59"/>
  <c r="E37" i="59"/>
  <c r="D37" i="59"/>
  <c r="C37" i="59"/>
  <c r="D36" i="59"/>
  <c r="C36" i="59"/>
  <c r="E36" i="59" s="1"/>
  <c r="D35" i="59"/>
  <c r="C35" i="59"/>
  <c r="E35" i="59" s="1"/>
  <c r="D34" i="59"/>
  <c r="C34" i="59"/>
  <c r="E34" i="59" s="1"/>
  <c r="D33" i="59"/>
  <c r="D40" i="59" s="1"/>
  <c r="C33" i="59"/>
  <c r="M25" i="59"/>
  <c r="L25" i="59"/>
  <c r="K25" i="59"/>
  <c r="J25" i="59"/>
  <c r="I25" i="59"/>
  <c r="H25" i="59"/>
  <c r="G25" i="59"/>
  <c r="F25" i="59"/>
  <c r="E25" i="59"/>
  <c r="D25" i="59"/>
  <c r="C25" i="59"/>
  <c r="M24" i="59"/>
  <c r="L24" i="59"/>
  <c r="K24" i="59"/>
  <c r="J24" i="59"/>
  <c r="I24" i="59"/>
  <c r="H24" i="59"/>
  <c r="G24" i="59"/>
  <c r="F24" i="59"/>
  <c r="N24" i="59" s="1"/>
  <c r="E24" i="59"/>
  <c r="D24" i="59"/>
  <c r="C24" i="59"/>
  <c r="M23" i="59"/>
  <c r="L23" i="59"/>
  <c r="K23" i="59"/>
  <c r="J23" i="59"/>
  <c r="I23" i="59"/>
  <c r="H23" i="59"/>
  <c r="G23" i="59"/>
  <c r="F23" i="59"/>
  <c r="E23" i="59"/>
  <c r="D23" i="59"/>
  <c r="C23" i="59"/>
  <c r="M22" i="59"/>
  <c r="L22" i="59"/>
  <c r="K22" i="59"/>
  <c r="J22" i="59"/>
  <c r="I22" i="59"/>
  <c r="H22" i="59"/>
  <c r="G22" i="59"/>
  <c r="F22" i="59"/>
  <c r="E22" i="59"/>
  <c r="D22" i="59"/>
  <c r="C22" i="59"/>
  <c r="M21" i="59"/>
  <c r="L21" i="59"/>
  <c r="K21" i="59"/>
  <c r="J21" i="59"/>
  <c r="I21" i="59"/>
  <c r="H21" i="59"/>
  <c r="G21" i="59"/>
  <c r="F21" i="59"/>
  <c r="E21" i="59"/>
  <c r="D21" i="59"/>
  <c r="C21" i="59"/>
  <c r="I75" i="59" l="1"/>
  <c r="I80" i="59" s="1"/>
  <c r="C40" i="59"/>
  <c r="E39" i="60"/>
  <c r="G39" i="60" s="1"/>
  <c r="C40" i="60"/>
  <c r="E33" i="59"/>
  <c r="N23" i="60"/>
  <c r="N22" i="60"/>
  <c r="N21" i="60"/>
  <c r="N25" i="60"/>
  <c r="F37" i="60" s="1"/>
  <c r="G37" i="60" s="1"/>
  <c r="N23" i="59"/>
  <c r="N22" i="59"/>
  <c r="N21" i="59"/>
  <c r="N25" i="59"/>
  <c r="F37" i="59" s="1"/>
  <c r="G37" i="59" s="1"/>
  <c r="E34" i="60"/>
  <c r="D54" i="60"/>
  <c r="D55" i="60" s="1"/>
  <c r="E57" i="60" s="1"/>
  <c r="E40" i="59"/>
  <c r="I61" i="57"/>
  <c r="D64" i="58"/>
  <c r="C54" i="58"/>
  <c r="D54" i="58" s="1"/>
  <c r="D55" i="58" s="1"/>
  <c r="E57" i="58" s="1"/>
  <c r="C39" i="58"/>
  <c r="D38" i="58"/>
  <c r="E38" i="58" s="1"/>
  <c r="G38" i="58" s="1"/>
  <c r="C38" i="58"/>
  <c r="D37" i="58"/>
  <c r="C37" i="58"/>
  <c r="E37" i="58" s="1"/>
  <c r="D36" i="58"/>
  <c r="C36" i="58"/>
  <c r="D35" i="58"/>
  <c r="C35" i="58"/>
  <c r="E35" i="58" s="1"/>
  <c r="D34" i="58"/>
  <c r="C34" i="58"/>
  <c r="D33" i="58"/>
  <c r="E33" i="58" s="1"/>
  <c r="C33" i="58"/>
  <c r="M25" i="58"/>
  <c r="L25" i="58"/>
  <c r="K25" i="58"/>
  <c r="J25" i="58"/>
  <c r="I25" i="58"/>
  <c r="H25" i="58"/>
  <c r="G25" i="58"/>
  <c r="F25" i="58"/>
  <c r="E25" i="58"/>
  <c r="D25" i="58"/>
  <c r="C25" i="58"/>
  <c r="M24" i="58"/>
  <c r="L24" i="58"/>
  <c r="K24" i="58"/>
  <c r="J24" i="58"/>
  <c r="I24" i="58"/>
  <c r="H24" i="58"/>
  <c r="G24" i="58"/>
  <c r="F24" i="58"/>
  <c r="E24" i="58"/>
  <c r="D24" i="58"/>
  <c r="C24" i="58"/>
  <c r="M23" i="58"/>
  <c r="L23" i="58"/>
  <c r="K23" i="58"/>
  <c r="J23" i="58"/>
  <c r="I23" i="58"/>
  <c r="H23" i="58"/>
  <c r="G23" i="58"/>
  <c r="F23" i="58"/>
  <c r="E23" i="58"/>
  <c r="N23" i="58" s="1"/>
  <c r="D23" i="58"/>
  <c r="C23" i="58"/>
  <c r="M22" i="58"/>
  <c r="L22" i="58"/>
  <c r="K22" i="58"/>
  <c r="J22" i="58"/>
  <c r="I22" i="58"/>
  <c r="H22" i="58"/>
  <c r="G22" i="58"/>
  <c r="F22" i="58"/>
  <c r="E22" i="58"/>
  <c r="D22" i="58"/>
  <c r="C22" i="58"/>
  <c r="M21" i="58"/>
  <c r="L21" i="58"/>
  <c r="K21" i="58"/>
  <c r="J21" i="58"/>
  <c r="I21" i="58"/>
  <c r="H21" i="58"/>
  <c r="G21" i="58"/>
  <c r="F21" i="58"/>
  <c r="E21" i="58"/>
  <c r="D21" i="58"/>
  <c r="C21" i="58"/>
  <c r="J70" i="57"/>
  <c r="I70" i="57"/>
  <c r="J64" i="57"/>
  <c r="D64" i="57"/>
  <c r="I64" i="57"/>
  <c r="C54" i="57"/>
  <c r="C55" i="57" s="1"/>
  <c r="C39" i="57"/>
  <c r="D38" i="57"/>
  <c r="C38" i="57"/>
  <c r="E38" i="57" s="1"/>
  <c r="G38" i="57" s="1"/>
  <c r="D37" i="57"/>
  <c r="C37" i="57"/>
  <c r="E37" i="57" s="1"/>
  <c r="D36" i="57"/>
  <c r="C36" i="57"/>
  <c r="E36" i="57" s="1"/>
  <c r="D35" i="57"/>
  <c r="C35" i="57"/>
  <c r="E34" i="57"/>
  <c r="D34" i="57"/>
  <c r="C34" i="57"/>
  <c r="D33" i="57"/>
  <c r="C33" i="57"/>
  <c r="E33" i="57" s="1"/>
  <c r="M25" i="57"/>
  <c r="L25" i="57"/>
  <c r="K25" i="57"/>
  <c r="J25" i="57"/>
  <c r="I25" i="57"/>
  <c r="H25" i="57"/>
  <c r="G25" i="57"/>
  <c r="F25" i="57"/>
  <c r="E25" i="57"/>
  <c r="D25" i="57"/>
  <c r="C25" i="57"/>
  <c r="M24" i="57"/>
  <c r="L24" i="57"/>
  <c r="K24" i="57"/>
  <c r="J24" i="57"/>
  <c r="I24" i="57"/>
  <c r="H24" i="57"/>
  <c r="G24" i="57"/>
  <c r="F24" i="57"/>
  <c r="E24" i="57"/>
  <c r="D24" i="57"/>
  <c r="C24" i="57"/>
  <c r="M23" i="57"/>
  <c r="L23" i="57"/>
  <c r="K23" i="57"/>
  <c r="J23" i="57"/>
  <c r="I23" i="57"/>
  <c r="H23" i="57"/>
  <c r="G23" i="57"/>
  <c r="F23" i="57"/>
  <c r="E23" i="57"/>
  <c r="D23" i="57"/>
  <c r="C23" i="57"/>
  <c r="M22" i="57"/>
  <c r="L22" i="57"/>
  <c r="K22" i="57"/>
  <c r="J22" i="57"/>
  <c r="I22" i="57"/>
  <c r="H22" i="57"/>
  <c r="G22" i="57"/>
  <c r="F22" i="57"/>
  <c r="E22" i="57"/>
  <c r="D22" i="57"/>
  <c r="C22" i="57"/>
  <c r="M21" i="57"/>
  <c r="L21" i="57"/>
  <c r="K21" i="57"/>
  <c r="J21" i="57"/>
  <c r="I21" i="57"/>
  <c r="H21" i="57"/>
  <c r="G21" i="57"/>
  <c r="F21" i="57"/>
  <c r="E21" i="57"/>
  <c r="D21" i="57"/>
  <c r="C21" i="57"/>
  <c r="E35" i="57" l="1"/>
  <c r="E36" i="58"/>
  <c r="F34" i="59"/>
  <c r="G34" i="59" s="1"/>
  <c r="F35" i="59"/>
  <c r="G35" i="59" s="1"/>
  <c r="D54" i="57"/>
  <c r="D55" i="57" s="1"/>
  <c r="E57" i="57" s="1"/>
  <c r="N25" i="57"/>
  <c r="F37" i="57" s="1"/>
  <c r="N21" i="57"/>
  <c r="D39" i="57"/>
  <c r="E39" i="57" s="1"/>
  <c r="G39" i="57" s="1"/>
  <c r="F35" i="60"/>
  <c r="G35" i="60" s="1"/>
  <c r="F34" i="60"/>
  <c r="F36" i="60"/>
  <c r="G36" i="60" s="1"/>
  <c r="F33" i="59"/>
  <c r="G33" i="59" s="1"/>
  <c r="G34" i="60"/>
  <c r="F33" i="60"/>
  <c r="G33" i="60" s="1"/>
  <c r="F36" i="59"/>
  <c r="G36" i="59" s="1"/>
  <c r="E40" i="60"/>
  <c r="C40" i="58"/>
  <c r="E34" i="58"/>
  <c r="C40" i="57"/>
  <c r="N22" i="58"/>
  <c r="N21" i="58"/>
  <c r="N25" i="58"/>
  <c r="F37" i="58" s="1"/>
  <c r="G37" i="58" s="1"/>
  <c r="N24" i="58"/>
  <c r="N24" i="57"/>
  <c r="G37" i="57"/>
  <c r="N23" i="57"/>
  <c r="F35" i="57" s="1"/>
  <c r="G35" i="57" s="1"/>
  <c r="N22" i="57"/>
  <c r="D39" i="58"/>
  <c r="E39" i="58" s="1"/>
  <c r="G39" i="58" s="1"/>
  <c r="C55" i="58"/>
  <c r="E40" i="57"/>
  <c r="F36" i="57"/>
  <c r="G36" i="57" s="1"/>
  <c r="I61" i="55"/>
  <c r="I64" i="55" s="1"/>
  <c r="D64" i="56"/>
  <c r="C54" i="56"/>
  <c r="C55" i="56" s="1"/>
  <c r="D39" i="56"/>
  <c r="C39" i="56"/>
  <c r="D38" i="56"/>
  <c r="C38" i="56"/>
  <c r="E38" i="56" s="1"/>
  <c r="G38" i="56" s="1"/>
  <c r="D37" i="56"/>
  <c r="C37" i="56"/>
  <c r="E37" i="56" s="1"/>
  <c r="D36" i="56"/>
  <c r="C36" i="56"/>
  <c r="E36" i="56" s="1"/>
  <c r="D35" i="56"/>
  <c r="C35" i="56"/>
  <c r="E35" i="56" s="1"/>
  <c r="D34" i="56"/>
  <c r="D40" i="56" s="1"/>
  <c r="C34" i="56"/>
  <c r="D33" i="56"/>
  <c r="C33" i="56"/>
  <c r="M25" i="56"/>
  <c r="L25" i="56"/>
  <c r="K25" i="56"/>
  <c r="J25" i="56"/>
  <c r="I25" i="56"/>
  <c r="H25" i="56"/>
  <c r="G25" i="56"/>
  <c r="F25" i="56"/>
  <c r="E25" i="56"/>
  <c r="D25" i="56"/>
  <c r="C25" i="56"/>
  <c r="M24" i="56"/>
  <c r="L24" i="56"/>
  <c r="K24" i="56"/>
  <c r="J24" i="56"/>
  <c r="I24" i="56"/>
  <c r="H24" i="56"/>
  <c r="G24" i="56"/>
  <c r="F24" i="56"/>
  <c r="E24" i="56"/>
  <c r="D24" i="56"/>
  <c r="C24" i="56"/>
  <c r="M23" i="56"/>
  <c r="L23" i="56"/>
  <c r="K23" i="56"/>
  <c r="J23" i="56"/>
  <c r="I23" i="56"/>
  <c r="H23" i="56"/>
  <c r="G23" i="56"/>
  <c r="F23" i="56"/>
  <c r="E23" i="56"/>
  <c r="D23" i="56"/>
  <c r="C23" i="56"/>
  <c r="M22" i="56"/>
  <c r="L22" i="56"/>
  <c r="K22" i="56"/>
  <c r="J22" i="56"/>
  <c r="I22" i="56"/>
  <c r="H22" i="56"/>
  <c r="G22" i="56"/>
  <c r="F22" i="56"/>
  <c r="E22" i="56"/>
  <c r="D22" i="56"/>
  <c r="C22" i="56"/>
  <c r="M21" i="56"/>
  <c r="L21" i="56"/>
  <c r="K21" i="56"/>
  <c r="J21" i="56"/>
  <c r="I21" i="56"/>
  <c r="H21" i="56"/>
  <c r="G21" i="56"/>
  <c r="F21" i="56"/>
  <c r="E21" i="56"/>
  <c r="D21" i="56"/>
  <c r="C21" i="56"/>
  <c r="J70" i="55"/>
  <c r="I70" i="55"/>
  <c r="J64" i="55"/>
  <c r="D64" i="55"/>
  <c r="C55" i="55"/>
  <c r="D54" i="55"/>
  <c r="D55" i="55" s="1"/>
  <c r="E57" i="55" s="1"/>
  <c r="C54" i="55"/>
  <c r="D39" i="55"/>
  <c r="C39" i="55"/>
  <c r="E39" i="55" s="1"/>
  <c r="G39" i="55" s="1"/>
  <c r="D38" i="55"/>
  <c r="C38" i="55"/>
  <c r="E38" i="55" s="1"/>
  <c r="G38" i="55" s="1"/>
  <c r="D37" i="55"/>
  <c r="C37" i="55"/>
  <c r="E37" i="55" s="1"/>
  <c r="D36" i="55"/>
  <c r="C36" i="55"/>
  <c r="D35" i="55"/>
  <c r="C35" i="55"/>
  <c r="E35" i="55" s="1"/>
  <c r="D34" i="55"/>
  <c r="C34" i="55"/>
  <c r="E34" i="55" s="1"/>
  <c r="D33" i="55"/>
  <c r="D40" i="55" s="1"/>
  <c r="C33" i="55"/>
  <c r="E33" i="55" s="1"/>
  <c r="M25" i="55"/>
  <c r="L25" i="55"/>
  <c r="K25" i="55"/>
  <c r="J25" i="55"/>
  <c r="I25" i="55"/>
  <c r="H25" i="55"/>
  <c r="G25" i="55"/>
  <c r="F25" i="55"/>
  <c r="E25" i="55"/>
  <c r="D25" i="55"/>
  <c r="C25" i="55"/>
  <c r="M24" i="55"/>
  <c r="L24" i="55"/>
  <c r="K24" i="55"/>
  <c r="J24" i="55"/>
  <c r="I24" i="55"/>
  <c r="H24" i="55"/>
  <c r="G24" i="55"/>
  <c r="F24" i="55"/>
  <c r="E24" i="55"/>
  <c r="D24" i="55"/>
  <c r="C24" i="55"/>
  <c r="M23" i="55"/>
  <c r="L23" i="55"/>
  <c r="K23" i="55"/>
  <c r="J23" i="55"/>
  <c r="I23" i="55"/>
  <c r="H23" i="55"/>
  <c r="G23" i="55"/>
  <c r="F23" i="55"/>
  <c r="E23" i="55"/>
  <c r="D23" i="55"/>
  <c r="C23" i="55"/>
  <c r="M22" i="55"/>
  <c r="L22" i="55"/>
  <c r="K22" i="55"/>
  <c r="J22" i="55"/>
  <c r="I22" i="55"/>
  <c r="H22" i="55"/>
  <c r="G22" i="55"/>
  <c r="F22" i="55"/>
  <c r="E22" i="55"/>
  <c r="D22" i="55"/>
  <c r="C22" i="55"/>
  <c r="M21" i="55"/>
  <c r="L21" i="55"/>
  <c r="K21" i="55"/>
  <c r="J21" i="55"/>
  <c r="I21" i="55"/>
  <c r="H21" i="55"/>
  <c r="G21" i="55"/>
  <c r="F21" i="55"/>
  <c r="E21" i="55"/>
  <c r="D21" i="55"/>
  <c r="C21" i="55"/>
  <c r="F33" i="57" l="1"/>
  <c r="G33" i="57" s="1"/>
  <c r="G40" i="57" s="1"/>
  <c r="G42" i="57" s="1"/>
  <c r="E36" i="55"/>
  <c r="D40" i="57"/>
  <c r="E39" i="56"/>
  <c r="G39" i="56" s="1"/>
  <c r="F34" i="58"/>
  <c r="G34" i="58" s="1"/>
  <c r="N23" i="56"/>
  <c r="F34" i="57"/>
  <c r="G34" i="57" s="1"/>
  <c r="G40" i="59"/>
  <c r="G42" i="59" s="1"/>
  <c r="E63" i="59" s="1"/>
  <c r="G40" i="60"/>
  <c r="G42" i="60" s="1"/>
  <c r="E63" i="60" s="1"/>
  <c r="D40" i="58"/>
  <c r="F33" i="58"/>
  <c r="G33" i="58" s="1"/>
  <c r="F35" i="58"/>
  <c r="G35" i="58" s="1"/>
  <c r="F36" i="58"/>
  <c r="G36" i="58" s="1"/>
  <c r="E40" i="58"/>
  <c r="C40" i="56"/>
  <c r="E33" i="56"/>
  <c r="N22" i="56"/>
  <c r="N21" i="56"/>
  <c r="N25" i="56"/>
  <c r="F37" i="56" s="1"/>
  <c r="G37" i="56" s="1"/>
  <c r="N24" i="56"/>
  <c r="N23" i="55"/>
  <c r="N22" i="55"/>
  <c r="N25" i="55"/>
  <c r="F37" i="55" s="1"/>
  <c r="G37" i="55" s="1"/>
  <c r="N21" i="55"/>
  <c r="N24" i="55"/>
  <c r="E34" i="56"/>
  <c r="E40" i="56" s="1"/>
  <c r="D54" i="56"/>
  <c r="D55" i="56" s="1"/>
  <c r="E57" i="56" s="1"/>
  <c r="E40" i="55"/>
  <c r="C40" i="55"/>
  <c r="I61" i="53"/>
  <c r="I64" i="53" s="1"/>
  <c r="D64" i="54"/>
  <c r="C54" i="54"/>
  <c r="C55" i="54" s="1"/>
  <c r="C39" i="54"/>
  <c r="D38" i="54"/>
  <c r="C38" i="54"/>
  <c r="E37" i="54"/>
  <c r="D37" i="54"/>
  <c r="C37" i="54"/>
  <c r="D36" i="54"/>
  <c r="C36" i="54"/>
  <c r="E36" i="54" s="1"/>
  <c r="D35" i="54"/>
  <c r="C35" i="54"/>
  <c r="E35" i="54" s="1"/>
  <c r="D34" i="54"/>
  <c r="C34" i="54"/>
  <c r="D33" i="54"/>
  <c r="C33" i="54"/>
  <c r="M25" i="54"/>
  <c r="L25" i="54"/>
  <c r="K25" i="54"/>
  <c r="J25" i="54"/>
  <c r="I25" i="54"/>
  <c r="H25" i="54"/>
  <c r="G25" i="54"/>
  <c r="F25" i="54"/>
  <c r="E25" i="54"/>
  <c r="D25" i="54"/>
  <c r="C25" i="54"/>
  <c r="M24" i="54"/>
  <c r="L24" i="54"/>
  <c r="K24" i="54"/>
  <c r="J24" i="54"/>
  <c r="I24" i="54"/>
  <c r="H24" i="54"/>
  <c r="G24" i="54"/>
  <c r="F24" i="54"/>
  <c r="E24" i="54"/>
  <c r="D24" i="54"/>
  <c r="C24" i="54"/>
  <c r="M23" i="54"/>
  <c r="L23" i="54"/>
  <c r="K23" i="54"/>
  <c r="J23" i="54"/>
  <c r="I23" i="54"/>
  <c r="H23" i="54"/>
  <c r="G23" i="54"/>
  <c r="F23" i="54"/>
  <c r="E23" i="54"/>
  <c r="D23" i="54"/>
  <c r="C23" i="54"/>
  <c r="M22" i="54"/>
  <c r="L22" i="54"/>
  <c r="K22" i="54"/>
  <c r="J22" i="54"/>
  <c r="I22" i="54"/>
  <c r="H22" i="54"/>
  <c r="G22" i="54"/>
  <c r="F22" i="54"/>
  <c r="E22" i="54"/>
  <c r="D22" i="54"/>
  <c r="C22" i="54"/>
  <c r="M21" i="54"/>
  <c r="L21" i="54"/>
  <c r="K21" i="54"/>
  <c r="J21" i="54"/>
  <c r="I21" i="54"/>
  <c r="H21" i="54"/>
  <c r="G21" i="54"/>
  <c r="F21" i="54"/>
  <c r="E21" i="54"/>
  <c r="D21" i="54"/>
  <c r="C21" i="54"/>
  <c r="J70" i="53"/>
  <c r="I70" i="53"/>
  <c r="J64" i="53"/>
  <c r="D64" i="53"/>
  <c r="C55" i="53"/>
  <c r="D54" i="53"/>
  <c r="D55" i="53" s="1"/>
  <c r="E57" i="53" s="1"/>
  <c r="C54" i="53"/>
  <c r="D39" i="53"/>
  <c r="C39" i="53"/>
  <c r="D38" i="53"/>
  <c r="C38" i="53"/>
  <c r="D37" i="53"/>
  <c r="C37" i="53"/>
  <c r="E37" i="53" s="1"/>
  <c r="D36" i="53"/>
  <c r="C36" i="53"/>
  <c r="E36" i="53" s="1"/>
  <c r="D35" i="53"/>
  <c r="E35" i="53" s="1"/>
  <c r="C35" i="53"/>
  <c r="D34" i="53"/>
  <c r="C34" i="53"/>
  <c r="E34" i="53" s="1"/>
  <c r="D33" i="53"/>
  <c r="C33" i="53"/>
  <c r="E33" i="53" s="1"/>
  <c r="M25" i="53"/>
  <c r="L25" i="53"/>
  <c r="K25" i="53"/>
  <c r="J25" i="53"/>
  <c r="I25" i="53"/>
  <c r="H25" i="53"/>
  <c r="G25" i="53"/>
  <c r="F25" i="53"/>
  <c r="E25" i="53"/>
  <c r="D25" i="53"/>
  <c r="C25" i="53"/>
  <c r="M24" i="53"/>
  <c r="L24" i="53"/>
  <c r="K24" i="53"/>
  <c r="J24" i="53"/>
  <c r="I24" i="53"/>
  <c r="H24" i="53"/>
  <c r="G24" i="53"/>
  <c r="F24" i="53"/>
  <c r="E24" i="53"/>
  <c r="D24" i="53"/>
  <c r="C24" i="53"/>
  <c r="M23" i="53"/>
  <c r="L23" i="53"/>
  <c r="K23" i="53"/>
  <c r="J23" i="53"/>
  <c r="I23" i="53"/>
  <c r="H23" i="53"/>
  <c r="G23" i="53"/>
  <c r="F23" i="53"/>
  <c r="E23" i="53"/>
  <c r="D23" i="53"/>
  <c r="C23" i="53"/>
  <c r="M22" i="53"/>
  <c r="L22" i="53"/>
  <c r="K22" i="53"/>
  <c r="J22" i="53"/>
  <c r="I22" i="53"/>
  <c r="H22" i="53"/>
  <c r="G22" i="53"/>
  <c r="F22" i="53"/>
  <c r="E22" i="53"/>
  <c r="D22" i="53"/>
  <c r="C22" i="53"/>
  <c r="M21" i="53"/>
  <c r="L21" i="53"/>
  <c r="K21" i="53"/>
  <c r="J21" i="53"/>
  <c r="I21" i="53"/>
  <c r="H21" i="53"/>
  <c r="G21" i="53"/>
  <c r="F21" i="53"/>
  <c r="E21" i="53"/>
  <c r="D21" i="53"/>
  <c r="C21" i="53"/>
  <c r="D40" i="53" l="1"/>
  <c r="N23" i="53"/>
  <c r="E64" i="59"/>
  <c r="E64" i="60"/>
  <c r="E38" i="54"/>
  <c r="G38" i="54" s="1"/>
  <c r="E38" i="53"/>
  <c r="G38" i="53" s="1"/>
  <c r="D39" i="54"/>
  <c r="D40" i="54" s="1"/>
  <c r="F36" i="56"/>
  <c r="G36" i="56" s="1"/>
  <c r="N23" i="54"/>
  <c r="E39" i="53"/>
  <c r="G39" i="53" s="1"/>
  <c r="G40" i="58"/>
  <c r="G42" i="58" s="1"/>
  <c r="E63" i="58" s="1"/>
  <c r="E63" i="57"/>
  <c r="E64" i="57"/>
  <c r="F35" i="55"/>
  <c r="G35" i="55" s="1"/>
  <c r="F33" i="56"/>
  <c r="G33" i="56" s="1"/>
  <c r="F35" i="56"/>
  <c r="G35" i="56" s="1"/>
  <c r="F34" i="56"/>
  <c r="G34" i="56" s="1"/>
  <c r="F33" i="55"/>
  <c r="G33" i="55" s="1"/>
  <c r="F34" i="55"/>
  <c r="G34" i="55" s="1"/>
  <c r="F36" i="55"/>
  <c r="G36" i="55" s="1"/>
  <c r="E34" i="54"/>
  <c r="C40" i="54"/>
  <c r="E33" i="54"/>
  <c r="N22" i="54"/>
  <c r="N21" i="54"/>
  <c r="N25" i="54"/>
  <c r="F37" i="54" s="1"/>
  <c r="G37" i="54" s="1"/>
  <c r="N24" i="54"/>
  <c r="F36" i="54" s="1"/>
  <c r="G36" i="54" s="1"/>
  <c r="N22" i="53"/>
  <c r="N25" i="53"/>
  <c r="F37" i="53" s="1"/>
  <c r="G37" i="53" s="1"/>
  <c r="N21" i="53"/>
  <c r="N24" i="53"/>
  <c r="D54" i="54"/>
  <c r="D55" i="54" s="1"/>
  <c r="E57" i="54" s="1"/>
  <c r="C40" i="53"/>
  <c r="D64" i="52"/>
  <c r="C54" i="52"/>
  <c r="C55" i="52" s="1"/>
  <c r="C39" i="52"/>
  <c r="D38" i="52"/>
  <c r="E38" i="52" s="1"/>
  <c r="G38" i="52" s="1"/>
  <c r="C38" i="52"/>
  <c r="D37" i="52"/>
  <c r="C37" i="52"/>
  <c r="E37" i="52" s="1"/>
  <c r="D36" i="52"/>
  <c r="C36" i="52"/>
  <c r="E36" i="52" s="1"/>
  <c r="D35" i="52"/>
  <c r="C35" i="52"/>
  <c r="D34" i="52"/>
  <c r="C34" i="52"/>
  <c r="D33" i="52"/>
  <c r="C33" i="52"/>
  <c r="M25" i="52"/>
  <c r="L25" i="52"/>
  <c r="K25" i="52"/>
  <c r="J25" i="52"/>
  <c r="I25" i="52"/>
  <c r="H25" i="52"/>
  <c r="G25" i="52"/>
  <c r="F25" i="52"/>
  <c r="E25" i="52"/>
  <c r="D25" i="52"/>
  <c r="C25" i="52"/>
  <c r="M24" i="52"/>
  <c r="L24" i="52"/>
  <c r="K24" i="52"/>
  <c r="J24" i="52"/>
  <c r="I24" i="52"/>
  <c r="H24" i="52"/>
  <c r="G24" i="52"/>
  <c r="F24" i="52"/>
  <c r="E24" i="52"/>
  <c r="D24" i="52"/>
  <c r="C24" i="52"/>
  <c r="M23" i="52"/>
  <c r="L23" i="52"/>
  <c r="K23" i="52"/>
  <c r="J23" i="52"/>
  <c r="I23" i="52"/>
  <c r="H23" i="52"/>
  <c r="G23" i="52"/>
  <c r="F23" i="52"/>
  <c r="E23" i="52"/>
  <c r="D23" i="52"/>
  <c r="C23" i="52"/>
  <c r="M22" i="52"/>
  <c r="L22" i="52"/>
  <c r="K22" i="52"/>
  <c r="J22" i="52"/>
  <c r="I22" i="52"/>
  <c r="H22" i="52"/>
  <c r="G22" i="52"/>
  <c r="F22" i="52"/>
  <c r="E22" i="52"/>
  <c r="N22" i="52" s="1"/>
  <c r="D22" i="52"/>
  <c r="C22" i="52"/>
  <c r="M21" i="52"/>
  <c r="L21" i="52"/>
  <c r="K21" i="52"/>
  <c r="J21" i="52"/>
  <c r="I21" i="52"/>
  <c r="H21" i="52"/>
  <c r="G21" i="52"/>
  <c r="F21" i="52"/>
  <c r="E21" i="52"/>
  <c r="D21" i="52"/>
  <c r="C21" i="52"/>
  <c r="J70" i="51"/>
  <c r="I70" i="51"/>
  <c r="J64" i="51"/>
  <c r="D64" i="51"/>
  <c r="I61" i="51"/>
  <c r="I64" i="51" s="1"/>
  <c r="C54" i="51"/>
  <c r="C55" i="51" s="1"/>
  <c r="C39" i="51"/>
  <c r="D38" i="51"/>
  <c r="C38" i="51"/>
  <c r="E38" i="51" s="1"/>
  <c r="G38" i="51" s="1"/>
  <c r="D37" i="51"/>
  <c r="C37" i="51"/>
  <c r="E37" i="51" s="1"/>
  <c r="D36" i="51"/>
  <c r="C36" i="51"/>
  <c r="E36" i="51" s="1"/>
  <c r="D35" i="51"/>
  <c r="E35" i="51" s="1"/>
  <c r="C35" i="51"/>
  <c r="E34" i="51"/>
  <c r="D34" i="51"/>
  <c r="C34" i="51"/>
  <c r="D33" i="51"/>
  <c r="C33" i="51"/>
  <c r="M25" i="51"/>
  <c r="L25" i="51"/>
  <c r="K25" i="51"/>
  <c r="J25" i="51"/>
  <c r="I25" i="51"/>
  <c r="H25" i="51"/>
  <c r="G25" i="51"/>
  <c r="F25" i="51"/>
  <c r="E25" i="51"/>
  <c r="D25" i="51"/>
  <c r="C25" i="51"/>
  <c r="M24" i="51"/>
  <c r="L24" i="51"/>
  <c r="K24" i="51"/>
  <c r="J24" i="51"/>
  <c r="I24" i="51"/>
  <c r="H24" i="51"/>
  <c r="G24" i="51"/>
  <c r="F24" i="51"/>
  <c r="E24" i="51"/>
  <c r="D24" i="51"/>
  <c r="C24" i="51"/>
  <c r="N24" i="51" s="1"/>
  <c r="M23" i="51"/>
  <c r="L23" i="51"/>
  <c r="K23" i="51"/>
  <c r="J23" i="51"/>
  <c r="I23" i="51"/>
  <c r="H23" i="51"/>
  <c r="G23" i="51"/>
  <c r="F23" i="51"/>
  <c r="E23" i="51"/>
  <c r="D23" i="51"/>
  <c r="C23" i="51"/>
  <c r="M22" i="51"/>
  <c r="L22" i="51"/>
  <c r="K22" i="51"/>
  <c r="J22" i="51"/>
  <c r="I22" i="51"/>
  <c r="H22" i="51"/>
  <c r="G22" i="51"/>
  <c r="F22" i="51"/>
  <c r="E22" i="51"/>
  <c r="D22" i="51"/>
  <c r="C22" i="51"/>
  <c r="M21" i="51"/>
  <c r="L21" i="51"/>
  <c r="K21" i="51"/>
  <c r="J21" i="51"/>
  <c r="I21" i="51"/>
  <c r="H21" i="51"/>
  <c r="G21" i="51"/>
  <c r="F21" i="51"/>
  <c r="E21" i="51"/>
  <c r="D21" i="51"/>
  <c r="C21" i="51"/>
  <c r="N22" i="51" l="1"/>
  <c r="N21" i="52"/>
  <c r="N24" i="52"/>
  <c r="N25" i="52"/>
  <c r="F37" i="52" s="1"/>
  <c r="D39" i="51"/>
  <c r="E39" i="51" s="1"/>
  <c r="D39" i="52"/>
  <c r="E39" i="52" s="1"/>
  <c r="G39" i="52" s="1"/>
  <c r="E33" i="51"/>
  <c r="C40" i="52"/>
  <c r="E39" i="54"/>
  <c r="G39" i="54" s="1"/>
  <c r="N23" i="51"/>
  <c r="N23" i="52"/>
  <c r="F34" i="52" s="1"/>
  <c r="G34" i="52" s="1"/>
  <c r="F36" i="53"/>
  <c r="G36" i="53" s="1"/>
  <c r="D40" i="51"/>
  <c r="D54" i="51"/>
  <c r="D55" i="51" s="1"/>
  <c r="E57" i="51" s="1"/>
  <c r="E33" i="52"/>
  <c r="E40" i="53"/>
  <c r="E34" i="52"/>
  <c r="G40" i="56"/>
  <c r="G42" i="56" s="1"/>
  <c r="E63" i="56" s="1"/>
  <c r="N21" i="51"/>
  <c r="F33" i="51" s="1"/>
  <c r="G33" i="51" s="1"/>
  <c r="N25" i="51"/>
  <c r="F37" i="51" s="1"/>
  <c r="G37" i="51" s="1"/>
  <c r="E35" i="52"/>
  <c r="E64" i="58"/>
  <c r="G40" i="55"/>
  <c r="G42" i="55" s="1"/>
  <c r="E63" i="55"/>
  <c r="E64" i="55"/>
  <c r="E64" i="56"/>
  <c r="F33" i="54"/>
  <c r="G33" i="54" s="1"/>
  <c r="G40" i="54" s="1"/>
  <c r="G42" i="54" s="1"/>
  <c r="E63" i="54" s="1"/>
  <c r="F34" i="54"/>
  <c r="G34" i="54" s="1"/>
  <c r="F35" i="54"/>
  <c r="G35" i="54" s="1"/>
  <c r="F35" i="53"/>
  <c r="G35" i="53" s="1"/>
  <c r="F33" i="53"/>
  <c r="G33" i="53" s="1"/>
  <c r="F34" i="53"/>
  <c r="G34" i="53" s="1"/>
  <c r="G37" i="52"/>
  <c r="F36" i="52"/>
  <c r="G36" i="52" s="1"/>
  <c r="D40" i="52"/>
  <c r="E40" i="52"/>
  <c r="D54" i="52"/>
  <c r="D55" i="52" s="1"/>
  <c r="E57" i="52" s="1"/>
  <c r="C40" i="51"/>
  <c r="G39" i="51" l="1"/>
  <c r="E40" i="51"/>
  <c r="F36" i="51"/>
  <c r="G36" i="51" s="1"/>
  <c r="F35" i="51"/>
  <c r="G35" i="51" s="1"/>
  <c r="F35" i="52"/>
  <c r="G35" i="52" s="1"/>
  <c r="E40" i="54"/>
  <c r="F33" i="52"/>
  <c r="G33" i="52" s="1"/>
  <c r="G40" i="52" s="1"/>
  <c r="G42" i="52" s="1"/>
  <c r="E63" i="52" s="1"/>
  <c r="G40" i="53"/>
  <c r="G42" i="53" s="1"/>
  <c r="E63" i="53" s="1"/>
  <c r="F34" i="51"/>
  <c r="G34" i="51" s="1"/>
  <c r="G40" i="51" s="1"/>
  <c r="G42" i="51" s="1"/>
  <c r="E64" i="54"/>
  <c r="E64" i="53"/>
  <c r="E64" i="52"/>
  <c r="E63" i="51" l="1"/>
  <c r="E64" i="51"/>
  <c r="I61" i="49"/>
  <c r="I64" i="49" s="1"/>
  <c r="D64" i="50"/>
  <c r="C54" i="50"/>
  <c r="C55" i="50" s="1"/>
  <c r="C39" i="50"/>
  <c r="D38" i="50"/>
  <c r="C38" i="50"/>
  <c r="E38" i="50" s="1"/>
  <c r="G38" i="50" s="1"/>
  <c r="D37" i="50"/>
  <c r="C37" i="50"/>
  <c r="D36" i="50"/>
  <c r="C36" i="50"/>
  <c r="D35" i="50"/>
  <c r="C35" i="50"/>
  <c r="D34" i="50"/>
  <c r="C34" i="50"/>
  <c r="D33" i="50"/>
  <c r="C33" i="50"/>
  <c r="E33" i="50" s="1"/>
  <c r="M25" i="50"/>
  <c r="L25" i="50"/>
  <c r="K25" i="50"/>
  <c r="J25" i="50"/>
  <c r="I25" i="50"/>
  <c r="H25" i="50"/>
  <c r="G25" i="50"/>
  <c r="F25" i="50"/>
  <c r="E25" i="50"/>
  <c r="D25" i="50"/>
  <c r="C25" i="50"/>
  <c r="N25" i="50" s="1"/>
  <c r="F37" i="50" s="1"/>
  <c r="M24" i="50"/>
  <c r="L24" i="50"/>
  <c r="K24" i="50"/>
  <c r="J24" i="50"/>
  <c r="I24" i="50"/>
  <c r="H24" i="50"/>
  <c r="G24" i="50"/>
  <c r="F24" i="50"/>
  <c r="E24" i="50"/>
  <c r="D24" i="50"/>
  <c r="C24" i="50"/>
  <c r="M23" i="50"/>
  <c r="L23" i="50"/>
  <c r="K23" i="50"/>
  <c r="J23" i="50"/>
  <c r="I23" i="50"/>
  <c r="H23" i="50"/>
  <c r="G23" i="50"/>
  <c r="F23" i="50"/>
  <c r="E23" i="50"/>
  <c r="D23" i="50"/>
  <c r="C23" i="50"/>
  <c r="M22" i="50"/>
  <c r="L22" i="50"/>
  <c r="K22" i="50"/>
  <c r="J22" i="50"/>
  <c r="I22" i="50"/>
  <c r="H22" i="50"/>
  <c r="G22" i="50"/>
  <c r="F22" i="50"/>
  <c r="E22" i="50"/>
  <c r="D22" i="50"/>
  <c r="C22" i="50"/>
  <c r="M21" i="50"/>
  <c r="L21" i="50"/>
  <c r="K21" i="50"/>
  <c r="J21" i="50"/>
  <c r="I21" i="50"/>
  <c r="H21" i="50"/>
  <c r="G21" i="50"/>
  <c r="F21" i="50"/>
  <c r="E21" i="50"/>
  <c r="D21" i="50"/>
  <c r="C21" i="50"/>
  <c r="J70" i="49"/>
  <c r="I70" i="49"/>
  <c r="J64" i="49"/>
  <c r="D64" i="49"/>
  <c r="C54" i="49"/>
  <c r="C55" i="49" s="1"/>
  <c r="D39" i="49"/>
  <c r="C39" i="49"/>
  <c r="D38" i="49"/>
  <c r="C38" i="49"/>
  <c r="D37" i="49"/>
  <c r="C37" i="49"/>
  <c r="E37" i="49" s="1"/>
  <c r="D36" i="49"/>
  <c r="C36" i="49"/>
  <c r="E36" i="49" s="1"/>
  <c r="D35" i="49"/>
  <c r="C35" i="49"/>
  <c r="E35" i="49" s="1"/>
  <c r="D34" i="49"/>
  <c r="C34" i="49"/>
  <c r="E34" i="49" s="1"/>
  <c r="D33" i="49"/>
  <c r="C33" i="49"/>
  <c r="E33" i="49" s="1"/>
  <c r="M25" i="49"/>
  <c r="L25" i="49"/>
  <c r="K25" i="49"/>
  <c r="J25" i="49"/>
  <c r="I25" i="49"/>
  <c r="H25" i="49"/>
  <c r="G25" i="49"/>
  <c r="F25" i="49"/>
  <c r="E25" i="49"/>
  <c r="D25" i="49"/>
  <c r="C25" i="49"/>
  <c r="M24" i="49"/>
  <c r="L24" i="49"/>
  <c r="K24" i="49"/>
  <c r="J24" i="49"/>
  <c r="I24" i="49"/>
  <c r="H24" i="49"/>
  <c r="G24" i="49"/>
  <c r="F24" i="49"/>
  <c r="E24" i="49"/>
  <c r="D24" i="49"/>
  <c r="C24" i="49"/>
  <c r="M23" i="49"/>
  <c r="L23" i="49"/>
  <c r="K23" i="49"/>
  <c r="J23" i="49"/>
  <c r="I23" i="49"/>
  <c r="H23" i="49"/>
  <c r="G23" i="49"/>
  <c r="F23" i="49"/>
  <c r="E23" i="49"/>
  <c r="D23" i="49"/>
  <c r="C23" i="49"/>
  <c r="M22" i="49"/>
  <c r="L22" i="49"/>
  <c r="K22" i="49"/>
  <c r="J22" i="49"/>
  <c r="I22" i="49"/>
  <c r="H22" i="49"/>
  <c r="G22" i="49"/>
  <c r="F22" i="49"/>
  <c r="E22" i="49"/>
  <c r="D22" i="49"/>
  <c r="C22" i="49"/>
  <c r="M21" i="49"/>
  <c r="L21" i="49"/>
  <c r="K21" i="49"/>
  <c r="J21" i="49"/>
  <c r="I21" i="49"/>
  <c r="H21" i="49"/>
  <c r="G21" i="49"/>
  <c r="F21" i="49"/>
  <c r="E21" i="49"/>
  <c r="D21" i="49"/>
  <c r="C21" i="49"/>
  <c r="D54" i="49" l="1"/>
  <c r="D55" i="49" s="1"/>
  <c r="E57" i="49" s="1"/>
  <c r="E35" i="50"/>
  <c r="E37" i="50"/>
  <c r="E36" i="50"/>
  <c r="D40" i="49"/>
  <c r="E38" i="49"/>
  <c r="G38" i="49" s="1"/>
  <c r="N21" i="50"/>
  <c r="E39" i="49"/>
  <c r="G39" i="49" s="1"/>
  <c r="C40" i="50"/>
  <c r="N23" i="49"/>
  <c r="N24" i="50"/>
  <c r="F36" i="50" s="1"/>
  <c r="G36" i="50" s="1"/>
  <c r="N23" i="50"/>
  <c r="F35" i="50" s="1"/>
  <c r="G35" i="50" s="1"/>
  <c r="N22" i="50"/>
  <c r="F33" i="50" s="1"/>
  <c r="G33" i="50" s="1"/>
  <c r="C40" i="49"/>
  <c r="N22" i="49"/>
  <c r="N21" i="49"/>
  <c r="N25" i="49"/>
  <c r="F37" i="49" s="1"/>
  <c r="G37" i="49" s="1"/>
  <c r="N24" i="49"/>
  <c r="G37" i="50"/>
  <c r="E34" i="50"/>
  <c r="D54" i="50"/>
  <c r="D55" i="50" s="1"/>
  <c r="E57" i="50" s="1"/>
  <c r="D39" i="50"/>
  <c r="D40" i="50" s="1"/>
  <c r="E40" i="49"/>
  <c r="I61" i="47"/>
  <c r="F34" i="50" l="1"/>
  <c r="G34" i="50" s="1"/>
  <c r="F34" i="49"/>
  <c r="G34" i="49" s="1"/>
  <c r="F33" i="49"/>
  <c r="G33" i="49" s="1"/>
  <c r="F36" i="49"/>
  <c r="G36" i="49" s="1"/>
  <c r="F35" i="49"/>
  <c r="G35" i="49" s="1"/>
  <c r="E39" i="50"/>
  <c r="D64" i="48"/>
  <c r="C54" i="48"/>
  <c r="C55" i="48" s="1"/>
  <c r="D39" i="48"/>
  <c r="C39" i="48"/>
  <c r="D38" i="48"/>
  <c r="C38" i="48"/>
  <c r="E38" i="48" s="1"/>
  <c r="G38" i="48" s="1"/>
  <c r="D37" i="48"/>
  <c r="C37" i="48"/>
  <c r="D36" i="48"/>
  <c r="C36" i="48"/>
  <c r="E36" i="48" s="1"/>
  <c r="D35" i="48"/>
  <c r="C35" i="48"/>
  <c r="E35" i="48" s="1"/>
  <c r="D34" i="48"/>
  <c r="C34" i="48"/>
  <c r="D33" i="48"/>
  <c r="C33" i="48"/>
  <c r="E33" i="48" s="1"/>
  <c r="M25" i="48"/>
  <c r="L25" i="48"/>
  <c r="K25" i="48"/>
  <c r="J25" i="48"/>
  <c r="I25" i="48"/>
  <c r="H25" i="48"/>
  <c r="G25" i="48"/>
  <c r="F25" i="48"/>
  <c r="E25" i="48"/>
  <c r="D25" i="48"/>
  <c r="C25" i="48"/>
  <c r="M24" i="48"/>
  <c r="L24" i="48"/>
  <c r="K24" i="48"/>
  <c r="J24" i="48"/>
  <c r="I24" i="48"/>
  <c r="H24" i="48"/>
  <c r="G24" i="48"/>
  <c r="F24" i="48"/>
  <c r="E24" i="48"/>
  <c r="D24" i="48"/>
  <c r="C24" i="48"/>
  <c r="M23" i="48"/>
  <c r="L23" i="48"/>
  <c r="K23" i="48"/>
  <c r="J23" i="48"/>
  <c r="I23" i="48"/>
  <c r="H23" i="48"/>
  <c r="G23" i="48"/>
  <c r="F23" i="48"/>
  <c r="E23" i="48"/>
  <c r="D23" i="48"/>
  <c r="C23" i="48"/>
  <c r="M22" i="48"/>
  <c r="L22" i="48"/>
  <c r="K22" i="48"/>
  <c r="J22" i="48"/>
  <c r="I22" i="48"/>
  <c r="H22" i="48"/>
  <c r="G22" i="48"/>
  <c r="F22" i="48"/>
  <c r="E22" i="48"/>
  <c r="D22" i="48"/>
  <c r="C22" i="48"/>
  <c r="M21" i="48"/>
  <c r="L21" i="48"/>
  <c r="K21" i="48"/>
  <c r="J21" i="48"/>
  <c r="I21" i="48"/>
  <c r="H21" i="48"/>
  <c r="G21" i="48"/>
  <c r="F21" i="48"/>
  <c r="E21" i="48"/>
  <c r="D21" i="48"/>
  <c r="C21" i="48"/>
  <c r="J70" i="47"/>
  <c r="I70" i="47"/>
  <c r="J64" i="47"/>
  <c r="D64" i="47"/>
  <c r="I64" i="47"/>
  <c r="D54" i="47"/>
  <c r="D55" i="47" s="1"/>
  <c r="E57" i="47" s="1"/>
  <c r="C54" i="47"/>
  <c r="C55" i="47" s="1"/>
  <c r="D39" i="47"/>
  <c r="C39" i="47"/>
  <c r="E39" i="47" s="1"/>
  <c r="G39" i="47" s="1"/>
  <c r="D38" i="47"/>
  <c r="E38" i="47" s="1"/>
  <c r="G38" i="47" s="1"/>
  <c r="C38" i="47"/>
  <c r="D37" i="47"/>
  <c r="C37" i="47"/>
  <c r="E37" i="47" s="1"/>
  <c r="D36" i="47"/>
  <c r="C36" i="47"/>
  <c r="E36" i="47" s="1"/>
  <c r="D35" i="47"/>
  <c r="C35" i="47"/>
  <c r="D34" i="47"/>
  <c r="C34" i="47"/>
  <c r="D33" i="47"/>
  <c r="C33" i="47"/>
  <c r="E33" i="47" s="1"/>
  <c r="M25" i="47"/>
  <c r="L25" i="47"/>
  <c r="K25" i="47"/>
  <c r="J25" i="47"/>
  <c r="I25" i="47"/>
  <c r="H25" i="47"/>
  <c r="G25" i="47"/>
  <c r="F25" i="47"/>
  <c r="E25" i="47"/>
  <c r="D25" i="47"/>
  <c r="C25" i="47"/>
  <c r="M24" i="47"/>
  <c r="L24" i="47"/>
  <c r="K24" i="47"/>
  <c r="J24" i="47"/>
  <c r="I24" i="47"/>
  <c r="H24" i="47"/>
  <c r="G24" i="47"/>
  <c r="F24" i="47"/>
  <c r="E24" i="47"/>
  <c r="D24" i="47"/>
  <c r="C24" i="47"/>
  <c r="M23" i="47"/>
  <c r="L23" i="47"/>
  <c r="K23" i="47"/>
  <c r="J23" i="47"/>
  <c r="I23" i="47"/>
  <c r="H23" i="47"/>
  <c r="G23" i="47"/>
  <c r="F23" i="47"/>
  <c r="E23" i="47"/>
  <c r="D23" i="47"/>
  <c r="C23" i="47"/>
  <c r="M22" i="47"/>
  <c r="L22" i="47"/>
  <c r="K22" i="47"/>
  <c r="J22" i="47"/>
  <c r="I22" i="47"/>
  <c r="H22" i="47"/>
  <c r="G22" i="47"/>
  <c r="F22" i="47"/>
  <c r="E22" i="47"/>
  <c r="D22" i="47"/>
  <c r="C22" i="47"/>
  <c r="M21" i="47"/>
  <c r="L21" i="47"/>
  <c r="K21" i="47"/>
  <c r="J21" i="47"/>
  <c r="I21" i="47"/>
  <c r="H21" i="47"/>
  <c r="G21" i="47"/>
  <c r="F21" i="47"/>
  <c r="E21" i="47"/>
  <c r="D21" i="47"/>
  <c r="C21" i="47"/>
  <c r="N25" i="47" l="1"/>
  <c r="F37" i="47" s="1"/>
  <c r="N21" i="48"/>
  <c r="E37" i="48"/>
  <c r="E39" i="48"/>
  <c r="G39" i="48" s="1"/>
  <c r="D40" i="48"/>
  <c r="D40" i="47"/>
  <c r="E35" i="47"/>
  <c r="G40" i="49"/>
  <c r="G42" i="49" s="1"/>
  <c r="E64" i="49" s="1"/>
  <c r="E63" i="49"/>
  <c r="G39" i="50"/>
  <c r="G40" i="50" s="1"/>
  <c r="G42" i="50" s="1"/>
  <c r="E63" i="50" s="1"/>
  <c r="E40" i="50"/>
  <c r="N24" i="47"/>
  <c r="F36" i="47" s="1"/>
  <c r="G36" i="47" s="1"/>
  <c r="C40" i="47"/>
  <c r="E34" i="47"/>
  <c r="E40" i="47" s="1"/>
  <c r="N22" i="47"/>
  <c r="N23" i="47"/>
  <c r="F35" i="47" s="1"/>
  <c r="G35" i="47" s="1"/>
  <c r="N21" i="47"/>
  <c r="C40" i="48"/>
  <c r="N25" i="48"/>
  <c r="F37" i="48" s="1"/>
  <c r="N23" i="48"/>
  <c r="N24" i="48"/>
  <c r="F36" i="48" s="1"/>
  <c r="G36" i="48" s="1"/>
  <c r="N22" i="48"/>
  <c r="G37" i="48"/>
  <c r="E34" i="48"/>
  <c r="E40" i="48" s="1"/>
  <c r="D54" i="48"/>
  <c r="D55" i="48" s="1"/>
  <c r="E57" i="48" s="1"/>
  <c r="G37" i="47"/>
  <c r="I61" i="45"/>
  <c r="I64" i="45" s="1"/>
  <c r="D36" i="45"/>
  <c r="D64" i="46"/>
  <c r="C54" i="46"/>
  <c r="D54" i="46" s="1"/>
  <c r="D55" i="46" s="1"/>
  <c r="E57" i="46" s="1"/>
  <c r="C39" i="46"/>
  <c r="D38" i="46"/>
  <c r="C38" i="46"/>
  <c r="D37" i="46"/>
  <c r="C37" i="46"/>
  <c r="E37" i="46" s="1"/>
  <c r="D36" i="46"/>
  <c r="C36" i="46"/>
  <c r="D35" i="46"/>
  <c r="C35" i="46"/>
  <c r="E35" i="46" s="1"/>
  <c r="D34" i="46"/>
  <c r="C34" i="46"/>
  <c r="D33" i="46"/>
  <c r="C33" i="46"/>
  <c r="E33" i="46" s="1"/>
  <c r="M25" i="46"/>
  <c r="L25" i="46"/>
  <c r="K25" i="46"/>
  <c r="J25" i="46"/>
  <c r="I25" i="46"/>
  <c r="H25" i="46"/>
  <c r="G25" i="46"/>
  <c r="F25" i="46"/>
  <c r="E25" i="46"/>
  <c r="D25" i="46"/>
  <c r="C25" i="46"/>
  <c r="M24" i="46"/>
  <c r="L24" i="46"/>
  <c r="K24" i="46"/>
  <c r="J24" i="46"/>
  <c r="I24" i="46"/>
  <c r="H24" i="46"/>
  <c r="G24" i="46"/>
  <c r="F24" i="46"/>
  <c r="E24" i="46"/>
  <c r="D24" i="46"/>
  <c r="C24" i="46"/>
  <c r="M23" i="46"/>
  <c r="L23" i="46"/>
  <c r="K23" i="46"/>
  <c r="J23" i="46"/>
  <c r="I23" i="46"/>
  <c r="H23" i="46"/>
  <c r="G23" i="46"/>
  <c r="F23" i="46"/>
  <c r="E23" i="46"/>
  <c r="D23" i="46"/>
  <c r="C23" i="46"/>
  <c r="M22" i="46"/>
  <c r="L22" i="46"/>
  <c r="K22" i="46"/>
  <c r="J22" i="46"/>
  <c r="I22" i="46"/>
  <c r="H22" i="46"/>
  <c r="G22" i="46"/>
  <c r="F22" i="46"/>
  <c r="E22" i="46"/>
  <c r="D22" i="46"/>
  <c r="C22" i="46"/>
  <c r="M21" i="46"/>
  <c r="L21" i="46"/>
  <c r="K21" i="46"/>
  <c r="J21" i="46"/>
  <c r="I21" i="46"/>
  <c r="H21" i="46"/>
  <c r="G21" i="46"/>
  <c r="F21" i="46"/>
  <c r="E21" i="46"/>
  <c r="D21" i="46"/>
  <c r="C21" i="46"/>
  <c r="J70" i="45"/>
  <c r="I70" i="45"/>
  <c r="J64" i="45"/>
  <c r="D64" i="45"/>
  <c r="C55" i="45"/>
  <c r="C54" i="45"/>
  <c r="D54" i="45" s="1"/>
  <c r="D55" i="45" s="1"/>
  <c r="E57" i="45" s="1"/>
  <c r="D39" i="45"/>
  <c r="C39" i="45"/>
  <c r="E39" i="45" s="1"/>
  <c r="G39" i="45" s="1"/>
  <c r="D38" i="45"/>
  <c r="C38" i="45"/>
  <c r="E38" i="45" s="1"/>
  <c r="G38" i="45" s="1"/>
  <c r="D37" i="45"/>
  <c r="C37" i="45"/>
  <c r="C36" i="45"/>
  <c r="D35" i="45"/>
  <c r="C35" i="45"/>
  <c r="D34" i="45"/>
  <c r="C34" i="45"/>
  <c r="D33" i="45"/>
  <c r="C33" i="45"/>
  <c r="E33" i="45" s="1"/>
  <c r="M25" i="45"/>
  <c r="L25" i="45"/>
  <c r="K25" i="45"/>
  <c r="J25" i="45"/>
  <c r="I25" i="45"/>
  <c r="H25" i="45"/>
  <c r="G25" i="45"/>
  <c r="F25" i="45"/>
  <c r="E25" i="45"/>
  <c r="D25" i="45"/>
  <c r="C25" i="45"/>
  <c r="M24" i="45"/>
  <c r="L24" i="45"/>
  <c r="K24" i="45"/>
  <c r="J24" i="45"/>
  <c r="I24" i="45"/>
  <c r="H24" i="45"/>
  <c r="G24" i="45"/>
  <c r="F24" i="45"/>
  <c r="E24" i="45"/>
  <c r="D24" i="45"/>
  <c r="C24" i="45"/>
  <c r="M23" i="45"/>
  <c r="L23" i="45"/>
  <c r="K23" i="45"/>
  <c r="J23" i="45"/>
  <c r="I23" i="45"/>
  <c r="H23" i="45"/>
  <c r="G23" i="45"/>
  <c r="F23" i="45"/>
  <c r="E23" i="45"/>
  <c r="D23" i="45"/>
  <c r="C23" i="45"/>
  <c r="M22" i="45"/>
  <c r="L22" i="45"/>
  <c r="K22" i="45"/>
  <c r="J22" i="45"/>
  <c r="I22" i="45"/>
  <c r="H22" i="45"/>
  <c r="G22" i="45"/>
  <c r="F22" i="45"/>
  <c r="E22" i="45"/>
  <c r="D22" i="45"/>
  <c r="C22" i="45"/>
  <c r="M21" i="45"/>
  <c r="L21" i="45"/>
  <c r="K21" i="45"/>
  <c r="J21" i="45"/>
  <c r="I21" i="45"/>
  <c r="H21" i="45"/>
  <c r="G21" i="45"/>
  <c r="F21" i="45"/>
  <c r="E21" i="45"/>
  <c r="D21" i="45"/>
  <c r="C21" i="45"/>
  <c r="N21" i="45" s="1"/>
  <c r="E36" i="46" l="1"/>
  <c r="N25" i="45"/>
  <c r="F37" i="45" s="1"/>
  <c r="E36" i="45"/>
  <c r="D40" i="45"/>
  <c r="E37" i="45"/>
  <c r="E64" i="50"/>
  <c r="F34" i="47"/>
  <c r="G34" i="47" s="1"/>
  <c r="F33" i="47"/>
  <c r="G33" i="47" s="1"/>
  <c r="G40" i="47" s="1"/>
  <c r="G42" i="47" s="1"/>
  <c r="E63" i="47" s="1"/>
  <c r="F34" i="48"/>
  <c r="G34" i="48" s="1"/>
  <c r="G40" i="48" s="1"/>
  <c r="G42" i="48" s="1"/>
  <c r="F35" i="48"/>
  <c r="G35" i="48" s="1"/>
  <c r="F33" i="48"/>
  <c r="G33" i="48" s="1"/>
  <c r="E64" i="47"/>
  <c r="N22" i="46"/>
  <c r="C40" i="46"/>
  <c r="E34" i="46"/>
  <c r="E38" i="46"/>
  <c r="G38" i="46" s="1"/>
  <c r="N21" i="46"/>
  <c r="N25" i="46"/>
  <c r="F37" i="46" s="1"/>
  <c r="G37" i="46" s="1"/>
  <c r="N24" i="46"/>
  <c r="N23" i="46"/>
  <c r="F35" i="46" s="1"/>
  <c r="G35" i="46" s="1"/>
  <c r="C40" i="45"/>
  <c r="E35" i="45"/>
  <c r="E34" i="45"/>
  <c r="E40" i="45" s="1"/>
  <c r="N24" i="45"/>
  <c r="F36" i="45" s="1"/>
  <c r="G36" i="45" s="1"/>
  <c r="N23" i="45"/>
  <c r="N22" i="45"/>
  <c r="F36" i="46"/>
  <c r="G36" i="46" s="1"/>
  <c r="C55" i="46"/>
  <c r="D39" i="46"/>
  <c r="E39" i="46" s="1"/>
  <c r="G39" i="46" s="1"/>
  <c r="G37" i="45"/>
  <c r="I61" i="43"/>
  <c r="I64" i="43" s="1"/>
  <c r="D64" i="44"/>
  <c r="C54" i="44"/>
  <c r="C55" i="44" s="1"/>
  <c r="C39" i="44"/>
  <c r="D38" i="44"/>
  <c r="C38" i="44"/>
  <c r="E38" i="44" s="1"/>
  <c r="G38" i="44" s="1"/>
  <c r="D37" i="44"/>
  <c r="C37" i="44"/>
  <c r="E37" i="44" s="1"/>
  <c r="D36" i="44"/>
  <c r="C36" i="44"/>
  <c r="E36" i="44" s="1"/>
  <c r="D35" i="44"/>
  <c r="C35" i="44"/>
  <c r="D34" i="44"/>
  <c r="C34" i="44"/>
  <c r="E34" i="44" s="1"/>
  <c r="D33" i="44"/>
  <c r="C33" i="44"/>
  <c r="E33" i="44" s="1"/>
  <c r="M25" i="44"/>
  <c r="L25" i="44"/>
  <c r="K25" i="44"/>
  <c r="J25" i="44"/>
  <c r="I25" i="44"/>
  <c r="H25" i="44"/>
  <c r="G25" i="44"/>
  <c r="F25" i="44"/>
  <c r="E25" i="44"/>
  <c r="D25" i="44"/>
  <c r="C25" i="44"/>
  <c r="M24" i="44"/>
  <c r="L24" i="44"/>
  <c r="K24" i="44"/>
  <c r="J24" i="44"/>
  <c r="I24" i="44"/>
  <c r="H24" i="44"/>
  <c r="G24" i="44"/>
  <c r="F24" i="44"/>
  <c r="E24" i="44"/>
  <c r="D24" i="44"/>
  <c r="C24" i="44"/>
  <c r="M23" i="44"/>
  <c r="L23" i="44"/>
  <c r="K23" i="44"/>
  <c r="J23" i="44"/>
  <c r="I23" i="44"/>
  <c r="H23" i="44"/>
  <c r="G23" i="44"/>
  <c r="F23" i="44"/>
  <c r="E23" i="44"/>
  <c r="D23" i="44"/>
  <c r="C23" i="44"/>
  <c r="M22" i="44"/>
  <c r="L22" i="44"/>
  <c r="K22" i="44"/>
  <c r="J22" i="44"/>
  <c r="I22" i="44"/>
  <c r="H22" i="44"/>
  <c r="G22" i="44"/>
  <c r="F22" i="44"/>
  <c r="E22" i="44"/>
  <c r="D22" i="44"/>
  <c r="C22" i="44"/>
  <c r="M21" i="44"/>
  <c r="L21" i="44"/>
  <c r="K21" i="44"/>
  <c r="J21" i="44"/>
  <c r="I21" i="44"/>
  <c r="H21" i="44"/>
  <c r="G21" i="44"/>
  <c r="F21" i="44"/>
  <c r="E21" i="44"/>
  <c r="D21" i="44"/>
  <c r="C21" i="44"/>
  <c r="J70" i="43"/>
  <c r="I70" i="43"/>
  <c r="J64" i="43"/>
  <c r="D64" i="43"/>
  <c r="C54" i="43"/>
  <c r="D54" i="43" s="1"/>
  <c r="D55" i="43" s="1"/>
  <c r="E57" i="43" s="1"/>
  <c r="D39" i="43"/>
  <c r="C39" i="43"/>
  <c r="E39" i="43" s="1"/>
  <c r="G39" i="43" s="1"/>
  <c r="E38" i="43"/>
  <c r="G38" i="43" s="1"/>
  <c r="D38" i="43"/>
  <c r="C38" i="43"/>
  <c r="D37" i="43"/>
  <c r="C37" i="43"/>
  <c r="E37" i="43" s="1"/>
  <c r="D36" i="43"/>
  <c r="C36" i="43"/>
  <c r="D35" i="43"/>
  <c r="C35" i="43"/>
  <c r="D34" i="43"/>
  <c r="C34" i="43"/>
  <c r="E34" i="43" s="1"/>
  <c r="D33" i="43"/>
  <c r="C33" i="43"/>
  <c r="E33" i="43" s="1"/>
  <c r="M25" i="43"/>
  <c r="L25" i="43"/>
  <c r="K25" i="43"/>
  <c r="J25" i="43"/>
  <c r="I25" i="43"/>
  <c r="H25" i="43"/>
  <c r="G25" i="43"/>
  <c r="F25" i="43"/>
  <c r="E25" i="43"/>
  <c r="D25" i="43"/>
  <c r="C25" i="43"/>
  <c r="M24" i="43"/>
  <c r="L24" i="43"/>
  <c r="K24" i="43"/>
  <c r="J24" i="43"/>
  <c r="I24" i="43"/>
  <c r="H24" i="43"/>
  <c r="G24" i="43"/>
  <c r="F24" i="43"/>
  <c r="E24" i="43"/>
  <c r="D24" i="43"/>
  <c r="C24" i="43"/>
  <c r="M23" i="43"/>
  <c r="L23" i="43"/>
  <c r="K23" i="43"/>
  <c r="J23" i="43"/>
  <c r="I23" i="43"/>
  <c r="H23" i="43"/>
  <c r="G23" i="43"/>
  <c r="F23" i="43"/>
  <c r="E23" i="43"/>
  <c r="D23" i="43"/>
  <c r="C23" i="43"/>
  <c r="M22" i="43"/>
  <c r="L22" i="43"/>
  <c r="K22" i="43"/>
  <c r="J22" i="43"/>
  <c r="I22" i="43"/>
  <c r="H22" i="43"/>
  <c r="G22" i="43"/>
  <c r="F22" i="43"/>
  <c r="E22" i="43"/>
  <c r="D22" i="43"/>
  <c r="C22" i="43"/>
  <c r="M21" i="43"/>
  <c r="L21" i="43"/>
  <c r="K21" i="43"/>
  <c r="J21" i="43"/>
  <c r="I21" i="43"/>
  <c r="H21" i="43"/>
  <c r="G21" i="43"/>
  <c r="F21" i="43"/>
  <c r="E21" i="43"/>
  <c r="D21" i="43"/>
  <c r="C21" i="43"/>
  <c r="C55" i="43" l="1"/>
  <c r="E35" i="44"/>
  <c r="N25" i="43"/>
  <c r="F37" i="43" s="1"/>
  <c r="E36" i="43"/>
  <c r="N21" i="44"/>
  <c r="D40" i="43"/>
  <c r="E63" i="48"/>
  <c r="E64" i="48"/>
  <c r="F33" i="46"/>
  <c r="G33" i="46" s="1"/>
  <c r="F34" i="46"/>
  <c r="G34" i="46" s="1"/>
  <c r="F35" i="45"/>
  <c r="G35" i="45" s="1"/>
  <c r="F33" i="45"/>
  <c r="G33" i="45" s="1"/>
  <c r="G40" i="45" s="1"/>
  <c r="G42" i="45" s="1"/>
  <c r="E63" i="45" s="1"/>
  <c r="F34" i="45"/>
  <c r="G34" i="45" s="1"/>
  <c r="E40" i="46"/>
  <c r="D40" i="46"/>
  <c r="N25" i="44"/>
  <c r="F37" i="44" s="1"/>
  <c r="G37" i="44" s="1"/>
  <c r="C40" i="44"/>
  <c r="N24" i="44"/>
  <c r="N23" i="44"/>
  <c r="N22" i="44"/>
  <c r="N23" i="43"/>
  <c r="E35" i="43"/>
  <c r="G37" i="43"/>
  <c r="N22" i="43"/>
  <c r="N21" i="43"/>
  <c r="N24" i="43"/>
  <c r="F36" i="43" s="1"/>
  <c r="D39" i="44"/>
  <c r="D40" i="44" s="1"/>
  <c r="D54" i="44"/>
  <c r="D55" i="44" s="1"/>
  <c r="E57" i="44" s="1"/>
  <c r="E40" i="43"/>
  <c r="F35" i="43"/>
  <c r="G35" i="43" s="1"/>
  <c r="G36" i="43"/>
  <c r="C40" i="43"/>
  <c r="I70" i="41"/>
  <c r="F34" i="43" l="1"/>
  <c r="G34" i="43" s="1"/>
  <c r="F33" i="43"/>
  <c r="G33" i="43" s="1"/>
  <c r="F34" i="44"/>
  <c r="G34" i="44" s="1"/>
  <c r="F35" i="44"/>
  <c r="G35" i="44" s="1"/>
  <c r="F36" i="44"/>
  <c r="G36" i="44" s="1"/>
  <c r="G40" i="46"/>
  <c r="G42" i="46" s="1"/>
  <c r="E63" i="46" s="1"/>
  <c r="E64" i="45"/>
  <c r="F33" i="44"/>
  <c r="G33" i="44" s="1"/>
  <c r="G40" i="43"/>
  <c r="G42" i="43" s="1"/>
  <c r="E63" i="43" s="1"/>
  <c r="E39" i="44"/>
  <c r="I61" i="41"/>
  <c r="I64" i="41" s="1"/>
  <c r="D64" i="42"/>
  <c r="C54" i="42"/>
  <c r="C55" i="42" s="1"/>
  <c r="C39" i="42"/>
  <c r="D38" i="42"/>
  <c r="C38" i="42"/>
  <c r="D37" i="42"/>
  <c r="C37" i="42"/>
  <c r="D36" i="42"/>
  <c r="C36" i="42"/>
  <c r="E36" i="42" s="1"/>
  <c r="D35" i="42"/>
  <c r="C35" i="42"/>
  <c r="D34" i="42"/>
  <c r="C34" i="42"/>
  <c r="D33" i="42"/>
  <c r="C33" i="42"/>
  <c r="E33" i="42" s="1"/>
  <c r="M25" i="42"/>
  <c r="L25" i="42"/>
  <c r="K25" i="42"/>
  <c r="J25" i="42"/>
  <c r="I25" i="42"/>
  <c r="H25" i="42"/>
  <c r="G25" i="42"/>
  <c r="F25" i="42"/>
  <c r="E25" i="42"/>
  <c r="D25" i="42"/>
  <c r="C25" i="42"/>
  <c r="M24" i="42"/>
  <c r="L24" i="42"/>
  <c r="K24" i="42"/>
  <c r="J24" i="42"/>
  <c r="I24" i="42"/>
  <c r="H24" i="42"/>
  <c r="G24" i="42"/>
  <c r="F24" i="42"/>
  <c r="E24" i="42"/>
  <c r="D24" i="42"/>
  <c r="C24" i="42"/>
  <c r="M23" i="42"/>
  <c r="L23" i="42"/>
  <c r="K23" i="42"/>
  <c r="J23" i="42"/>
  <c r="I23" i="42"/>
  <c r="H23" i="42"/>
  <c r="G23" i="42"/>
  <c r="F23" i="42"/>
  <c r="E23" i="42"/>
  <c r="D23" i="42"/>
  <c r="C23" i="42"/>
  <c r="M22" i="42"/>
  <c r="L22" i="42"/>
  <c r="K22" i="42"/>
  <c r="J22" i="42"/>
  <c r="I22" i="42"/>
  <c r="H22" i="42"/>
  <c r="G22" i="42"/>
  <c r="F22" i="42"/>
  <c r="E22" i="42"/>
  <c r="D22" i="42"/>
  <c r="C22" i="42"/>
  <c r="M21" i="42"/>
  <c r="L21" i="42"/>
  <c r="K21" i="42"/>
  <c r="J21" i="42"/>
  <c r="I21" i="42"/>
  <c r="H21" i="42"/>
  <c r="G21" i="42"/>
  <c r="F21" i="42"/>
  <c r="E21" i="42"/>
  <c r="D21" i="42"/>
  <c r="C21" i="42"/>
  <c r="J70" i="41"/>
  <c r="J64" i="41"/>
  <c r="D64" i="41"/>
  <c r="C54" i="41"/>
  <c r="C55" i="41" s="1"/>
  <c r="C39" i="41"/>
  <c r="D38" i="41"/>
  <c r="C38" i="41"/>
  <c r="E38" i="41" s="1"/>
  <c r="G38" i="41" s="1"/>
  <c r="D37" i="41"/>
  <c r="C37" i="41"/>
  <c r="D36" i="41"/>
  <c r="C36" i="41"/>
  <c r="D35" i="41"/>
  <c r="C35" i="41"/>
  <c r="D34" i="41"/>
  <c r="C34" i="41"/>
  <c r="E34" i="41" s="1"/>
  <c r="D33" i="41"/>
  <c r="C33" i="41"/>
  <c r="M25" i="41"/>
  <c r="L25" i="41"/>
  <c r="K25" i="41"/>
  <c r="J25" i="41"/>
  <c r="I25" i="41"/>
  <c r="H25" i="41"/>
  <c r="G25" i="41"/>
  <c r="F25" i="41"/>
  <c r="E25" i="41"/>
  <c r="D25" i="41"/>
  <c r="C25" i="41"/>
  <c r="M24" i="41"/>
  <c r="L24" i="41"/>
  <c r="K24" i="41"/>
  <c r="J24" i="41"/>
  <c r="I24" i="41"/>
  <c r="H24" i="41"/>
  <c r="G24" i="41"/>
  <c r="F24" i="41"/>
  <c r="E24" i="41"/>
  <c r="D24" i="41"/>
  <c r="C24" i="41"/>
  <c r="M23" i="41"/>
  <c r="L23" i="41"/>
  <c r="K23" i="41"/>
  <c r="J23" i="41"/>
  <c r="I23" i="41"/>
  <c r="H23" i="41"/>
  <c r="G23" i="41"/>
  <c r="F23" i="41"/>
  <c r="E23" i="41"/>
  <c r="D23" i="41"/>
  <c r="C23" i="41"/>
  <c r="M22" i="41"/>
  <c r="L22" i="41"/>
  <c r="K22" i="41"/>
  <c r="J22" i="41"/>
  <c r="I22" i="41"/>
  <c r="H22" i="41"/>
  <c r="G22" i="41"/>
  <c r="F22" i="41"/>
  <c r="E22" i="41"/>
  <c r="D22" i="41"/>
  <c r="C22" i="41"/>
  <c r="M21" i="41"/>
  <c r="L21" i="41"/>
  <c r="K21" i="41"/>
  <c r="J21" i="41"/>
  <c r="I21" i="41"/>
  <c r="H21" i="41"/>
  <c r="G21" i="41"/>
  <c r="F21" i="41"/>
  <c r="E21" i="41"/>
  <c r="D21" i="41"/>
  <c r="C21" i="41"/>
  <c r="E64" i="43" l="1"/>
  <c r="N25" i="42"/>
  <c r="F37" i="42" s="1"/>
  <c r="E35" i="42"/>
  <c r="N23" i="41"/>
  <c r="N21" i="42"/>
  <c r="E37" i="42"/>
  <c r="E38" i="42"/>
  <c r="G38" i="42" s="1"/>
  <c r="E64" i="46"/>
  <c r="G39" i="44"/>
  <c r="G40" i="44" s="1"/>
  <c r="G42" i="44" s="1"/>
  <c r="E63" i="44" s="1"/>
  <c r="E40" i="44"/>
  <c r="E33" i="41"/>
  <c r="E35" i="41"/>
  <c r="E37" i="41"/>
  <c r="D39" i="41"/>
  <c r="D40" i="41" s="1"/>
  <c r="N21" i="41"/>
  <c r="E36" i="41"/>
  <c r="D54" i="41"/>
  <c r="D55" i="41" s="1"/>
  <c r="E57" i="41" s="1"/>
  <c r="C40" i="42"/>
  <c r="N23" i="42"/>
  <c r="N24" i="42"/>
  <c r="N22" i="42"/>
  <c r="F33" i="42" s="1"/>
  <c r="G33" i="42" s="1"/>
  <c r="N24" i="41"/>
  <c r="N25" i="41"/>
  <c r="F37" i="41" s="1"/>
  <c r="N22" i="41"/>
  <c r="F36" i="42"/>
  <c r="G36" i="42" s="1"/>
  <c r="G37" i="42"/>
  <c r="D39" i="42"/>
  <c r="D40" i="42" s="1"/>
  <c r="E34" i="42"/>
  <c r="D54" i="42"/>
  <c r="D55" i="42" s="1"/>
  <c r="E57" i="42" s="1"/>
  <c r="C40" i="41"/>
  <c r="G37" i="41" l="1"/>
  <c r="E64" i="44"/>
  <c r="E39" i="41"/>
  <c r="G39" i="41" s="1"/>
  <c r="F35" i="42"/>
  <c r="G35" i="42" s="1"/>
  <c r="F34" i="41"/>
  <c r="G34" i="41" s="1"/>
  <c r="E40" i="41"/>
  <c r="F34" i="42"/>
  <c r="F33" i="41"/>
  <c r="G33" i="41" s="1"/>
  <c r="F36" i="41"/>
  <c r="G36" i="41" s="1"/>
  <c r="F35" i="41"/>
  <c r="G35" i="41" s="1"/>
  <c r="E39" i="42"/>
  <c r="G39" i="42" s="1"/>
  <c r="G34" i="42"/>
  <c r="D64" i="40"/>
  <c r="E40" i="42" l="1"/>
  <c r="G40" i="41"/>
  <c r="G42" i="41" s="1"/>
  <c r="E63" i="41" s="1"/>
  <c r="G40" i="42"/>
  <c r="G42" i="42" s="1"/>
  <c r="E63" i="42" s="1"/>
  <c r="E64" i="42"/>
  <c r="I61" i="39"/>
  <c r="J70" i="39"/>
  <c r="I67" i="39"/>
  <c r="I70" i="39" s="1"/>
  <c r="E64" i="41" l="1"/>
  <c r="C39" i="37"/>
  <c r="I64" i="39" l="1"/>
  <c r="C54" i="40" l="1"/>
  <c r="C55" i="40" s="1"/>
  <c r="C39" i="40"/>
  <c r="D38" i="40"/>
  <c r="C38" i="40"/>
  <c r="E38" i="40" s="1"/>
  <c r="G38" i="40" s="1"/>
  <c r="D37" i="40"/>
  <c r="C37" i="40"/>
  <c r="E37" i="40" s="1"/>
  <c r="D36" i="40"/>
  <c r="C36" i="40"/>
  <c r="E36" i="40" s="1"/>
  <c r="D35" i="40"/>
  <c r="C35" i="40"/>
  <c r="E35" i="40" s="1"/>
  <c r="D34" i="40"/>
  <c r="C34" i="40"/>
  <c r="D33" i="40"/>
  <c r="C33" i="40"/>
  <c r="E33" i="40" s="1"/>
  <c r="M25" i="40"/>
  <c r="L25" i="40"/>
  <c r="K25" i="40"/>
  <c r="J25" i="40"/>
  <c r="I25" i="40"/>
  <c r="H25" i="40"/>
  <c r="G25" i="40"/>
  <c r="F25" i="40"/>
  <c r="E25" i="40"/>
  <c r="D25" i="40"/>
  <c r="C25" i="40"/>
  <c r="M24" i="40"/>
  <c r="L24" i="40"/>
  <c r="K24" i="40"/>
  <c r="J24" i="40"/>
  <c r="I24" i="40"/>
  <c r="H24" i="40"/>
  <c r="G24" i="40"/>
  <c r="F24" i="40"/>
  <c r="E24" i="40"/>
  <c r="D24" i="40"/>
  <c r="C24" i="40"/>
  <c r="M23" i="40"/>
  <c r="L23" i="40"/>
  <c r="K23" i="40"/>
  <c r="J23" i="40"/>
  <c r="I23" i="40"/>
  <c r="H23" i="40"/>
  <c r="G23" i="40"/>
  <c r="F23" i="40"/>
  <c r="E23" i="40"/>
  <c r="D23" i="40"/>
  <c r="C23" i="40"/>
  <c r="M22" i="40"/>
  <c r="L22" i="40"/>
  <c r="K22" i="40"/>
  <c r="J22" i="40"/>
  <c r="I22" i="40"/>
  <c r="H22" i="40"/>
  <c r="G22" i="40"/>
  <c r="F22" i="40"/>
  <c r="E22" i="40"/>
  <c r="D22" i="40"/>
  <c r="C22" i="40"/>
  <c r="M21" i="40"/>
  <c r="L21" i="40"/>
  <c r="K21" i="40"/>
  <c r="J21" i="40"/>
  <c r="I21" i="40"/>
  <c r="H21" i="40"/>
  <c r="G21" i="40"/>
  <c r="F21" i="40"/>
  <c r="E21" i="40"/>
  <c r="D21" i="40"/>
  <c r="C21" i="40"/>
  <c r="J64" i="39"/>
  <c r="D64" i="39"/>
  <c r="C54" i="39"/>
  <c r="C55" i="39" s="1"/>
  <c r="C39" i="39"/>
  <c r="D38" i="39"/>
  <c r="C38" i="39"/>
  <c r="E38" i="39" s="1"/>
  <c r="G38" i="39" s="1"/>
  <c r="D37" i="39"/>
  <c r="C37" i="39"/>
  <c r="D36" i="39"/>
  <c r="C36" i="39"/>
  <c r="E36" i="39" s="1"/>
  <c r="D35" i="39"/>
  <c r="C35" i="39"/>
  <c r="E35" i="39" s="1"/>
  <c r="D34" i="39"/>
  <c r="C34" i="39"/>
  <c r="E34" i="39" s="1"/>
  <c r="D33" i="39"/>
  <c r="C33" i="39"/>
  <c r="M25" i="39"/>
  <c r="L25" i="39"/>
  <c r="K25" i="39"/>
  <c r="J25" i="39"/>
  <c r="I25" i="39"/>
  <c r="H25" i="39"/>
  <c r="G25" i="39"/>
  <c r="F25" i="39"/>
  <c r="E25" i="39"/>
  <c r="D25" i="39"/>
  <c r="C25" i="39"/>
  <c r="M24" i="39"/>
  <c r="L24" i="39"/>
  <c r="K24" i="39"/>
  <c r="J24" i="39"/>
  <c r="I24" i="39"/>
  <c r="H24" i="39"/>
  <c r="G24" i="39"/>
  <c r="F24" i="39"/>
  <c r="E24" i="39"/>
  <c r="D24" i="39"/>
  <c r="C24" i="39"/>
  <c r="M23" i="39"/>
  <c r="L23" i="39"/>
  <c r="K23" i="39"/>
  <c r="J23" i="39"/>
  <c r="I23" i="39"/>
  <c r="H23" i="39"/>
  <c r="G23" i="39"/>
  <c r="F23" i="39"/>
  <c r="E23" i="39"/>
  <c r="D23" i="39"/>
  <c r="C23" i="39"/>
  <c r="M22" i="39"/>
  <c r="L22" i="39"/>
  <c r="K22" i="39"/>
  <c r="J22" i="39"/>
  <c r="I22" i="39"/>
  <c r="H22" i="39"/>
  <c r="G22" i="39"/>
  <c r="F22" i="39"/>
  <c r="E22" i="39"/>
  <c r="D22" i="39"/>
  <c r="C22" i="39"/>
  <c r="M21" i="39"/>
  <c r="L21" i="39"/>
  <c r="K21" i="39"/>
  <c r="J21" i="39"/>
  <c r="I21" i="39"/>
  <c r="H21" i="39"/>
  <c r="G21" i="39"/>
  <c r="F21" i="39"/>
  <c r="E21" i="39"/>
  <c r="D21" i="39"/>
  <c r="C21" i="39"/>
  <c r="N21" i="39" s="1"/>
  <c r="E39" i="39" l="1"/>
  <c r="G39" i="39" s="1"/>
  <c r="D39" i="39"/>
  <c r="D40" i="39"/>
  <c r="N22" i="40"/>
  <c r="N25" i="40"/>
  <c r="F37" i="40" s="1"/>
  <c r="G37" i="40" s="1"/>
  <c r="C40" i="40"/>
  <c r="N21" i="40"/>
  <c r="N24" i="40"/>
  <c r="N23" i="40"/>
  <c r="E37" i="39"/>
  <c r="N23" i="39"/>
  <c r="N25" i="39"/>
  <c r="F37" i="39" s="1"/>
  <c r="G37" i="39" s="1"/>
  <c r="N22" i="39"/>
  <c r="N24" i="39"/>
  <c r="D40" i="40"/>
  <c r="D39" i="40"/>
  <c r="E39" i="40" s="1"/>
  <c r="G39" i="40" s="1"/>
  <c r="E34" i="40"/>
  <c r="D54" i="40"/>
  <c r="D55" i="40" s="1"/>
  <c r="E57" i="40" s="1"/>
  <c r="C40" i="39"/>
  <c r="E33" i="39"/>
  <c r="D54" i="39"/>
  <c r="D55" i="39" s="1"/>
  <c r="E57" i="39" s="1"/>
  <c r="I61" i="37"/>
  <c r="F34" i="39" l="1"/>
  <c r="G34" i="39" s="1"/>
  <c r="F34" i="40"/>
  <c r="F36" i="40"/>
  <c r="G36" i="40" s="1"/>
  <c r="F35" i="40"/>
  <c r="G35" i="40" s="1"/>
  <c r="F33" i="39"/>
  <c r="G33" i="39" s="1"/>
  <c r="E40" i="40"/>
  <c r="F33" i="40"/>
  <c r="G33" i="40" s="1"/>
  <c r="G34" i="40"/>
  <c r="F36" i="39"/>
  <c r="G36" i="39" s="1"/>
  <c r="F35" i="39"/>
  <c r="G35" i="39" s="1"/>
  <c r="E40" i="39"/>
  <c r="I64" i="37"/>
  <c r="D64" i="38"/>
  <c r="C54" i="38"/>
  <c r="C39" i="38"/>
  <c r="D38" i="38"/>
  <c r="C38" i="38"/>
  <c r="D37" i="38"/>
  <c r="C37" i="38"/>
  <c r="E37" i="38" s="1"/>
  <c r="D36" i="38"/>
  <c r="C36" i="38"/>
  <c r="E36" i="38" s="1"/>
  <c r="D35" i="38"/>
  <c r="C35" i="38"/>
  <c r="E35" i="38" s="1"/>
  <c r="D34" i="38"/>
  <c r="C34" i="38"/>
  <c r="E33" i="38"/>
  <c r="D33" i="38"/>
  <c r="C33" i="38"/>
  <c r="M25" i="38"/>
  <c r="L25" i="38"/>
  <c r="K25" i="38"/>
  <c r="J25" i="38"/>
  <c r="I25" i="38"/>
  <c r="H25" i="38"/>
  <c r="G25" i="38"/>
  <c r="F25" i="38"/>
  <c r="E25" i="38"/>
  <c r="D25" i="38"/>
  <c r="C25" i="38"/>
  <c r="M24" i="38"/>
  <c r="L24" i="38"/>
  <c r="K24" i="38"/>
  <c r="J24" i="38"/>
  <c r="I24" i="38"/>
  <c r="H24" i="38"/>
  <c r="G24" i="38"/>
  <c r="F24" i="38"/>
  <c r="E24" i="38"/>
  <c r="D24" i="38"/>
  <c r="C24" i="38"/>
  <c r="M23" i="38"/>
  <c r="L23" i="38"/>
  <c r="K23" i="38"/>
  <c r="J23" i="38"/>
  <c r="I23" i="38"/>
  <c r="H23" i="38"/>
  <c r="G23" i="38"/>
  <c r="F23" i="38"/>
  <c r="E23" i="38"/>
  <c r="D23" i="38"/>
  <c r="C23" i="38"/>
  <c r="M22" i="38"/>
  <c r="L22" i="38"/>
  <c r="K22" i="38"/>
  <c r="J22" i="38"/>
  <c r="I22" i="38"/>
  <c r="H22" i="38"/>
  <c r="G22" i="38"/>
  <c r="F22" i="38"/>
  <c r="E22" i="38"/>
  <c r="D22" i="38"/>
  <c r="C22" i="38"/>
  <c r="M21" i="38"/>
  <c r="L21" i="38"/>
  <c r="K21" i="38"/>
  <c r="J21" i="38"/>
  <c r="I21" i="38"/>
  <c r="H21" i="38"/>
  <c r="G21" i="38"/>
  <c r="F21" i="38"/>
  <c r="E21" i="38"/>
  <c r="D21" i="38"/>
  <c r="C21" i="38"/>
  <c r="J64" i="37"/>
  <c r="D64" i="37"/>
  <c r="C54" i="37"/>
  <c r="C55" i="37" s="1"/>
  <c r="D38" i="37"/>
  <c r="C38" i="37"/>
  <c r="D37" i="37"/>
  <c r="C37" i="37"/>
  <c r="D36" i="37"/>
  <c r="C36" i="37"/>
  <c r="D35" i="37"/>
  <c r="C35" i="37"/>
  <c r="E35" i="37" s="1"/>
  <c r="D34" i="37"/>
  <c r="C34" i="37"/>
  <c r="E34" i="37" s="1"/>
  <c r="D33" i="37"/>
  <c r="C33" i="37"/>
  <c r="M25" i="37"/>
  <c r="L25" i="37"/>
  <c r="K25" i="37"/>
  <c r="J25" i="37"/>
  <c r="I25" i="37"/>
  <c r="H25" i="37"/>
  <c r="G25" i="37"/>
  <c r="F25" i="37"/>
  <c r="E25" i="37"/>
  <c r="D25" i="37"/>
  <c r="C25" i="37"/>
  <c r="M24" i="37"/>
  <c r="L24" i="37"/>
  <c r="K24" i="37"/>
  <c r="J24" i="37"/>
  <c r="I24" i="37"/>
  <c r="H24" i="37"/>
  <c r="G24" i="37"/>
  <c r="F24" i="37"/>
  <c r="E24" i="37"/>
  <c r="D24" i="37"/>
  <c r="C24" i="37"/>
  <c r="M23" i="37"/>
  <c r="L23" i="37"/>
  <c r="K23" i="37"/>
  <c r="J23" i="37"/>
  <c r="I23" i="37"/>
  <c r="H23" i="37"/>
  <c r="G23" i="37"/>
  <c r="F23" i="37"/>
  <c r="E23" i="37"/>
  <c r="D23" i="37"/>
  <c r="C23" i="37"/>
  <c r="M22" i="37"/>
  <c r="L22" i="37"/>
  <c r="K22" i="37"/>
  <c r="J22" i="37"/>
  <c r="I22" i="37"/>
  <c r="H22" i="37"/>
  <c r="G22" i="37"/>
  <c r="F22" i="37"/>
  <c r="E22" i="37"/>
  <c r="D22" i="37"/>
  <c r="C22" i="37"/>
  <c r="M21" i="37"/>
  <c r="L21" i="37"/>
  <c r="K21" i="37"/>
  <c r="J21" i="37"/>
  <c r="I21" i="37"/>
  <c r="H21" i="37"/>
  <c r="G21" i="37"/>
  <c r="F21" i="37"/>
  <c r="E21" i="37"/>
  <c r="D21" i="37"/>
  <c r="C21" i="37"/>
  <c r="D55" i="38" l="1"/>
  <c r="E57" i="38" s="1"/>
  <c r="D54" i="38"/>
  <c r="E36" i="37"/>
  <c r="E38" i="37"/>
  <c r="G38" i="37" s="1"/>
  <c r="G40" i="39"/>
  <c r="G42" i="39" s="1"/>
  <c r="E63" i="39" s="1"/>
  <c r="N24" i="37"/>
  <c r="G40" i="40"/>
  <c r="G42" i="40" s="1"/>
  <c r="E64" i="39"/>
  <c r="D39" i="37"/>
  <c r="E39" i="37" s="1"/>
  <c r="G39" i="37" s="1"/>
  <c r="N23" i="38"/>
  <c r="C40" i="38"/>
  <c r="E34" i="38"/>
  <c r="E38" i="38"/>
  <c r="G38" i="38" s="1"/>
  <c r="N22" i="38"/>
  <c r="N21" i="38"/>
  <c r="N25" i="38"/>
  <c r="F37" i="38" s="1"/>
  <c r="G37" i="38" s="1"/>
  <c r="N24" i="38"/>
  <c r="E37" i="37"/>
  <c r="N23" i="37"/>
  <c r="N22" i="37"/>
  <c r="N25" i="37"/>
  <c r="F37" i="37" s="1"/>
  <c r="G37" i="37" s="1"/>
  <c r="N21" i="37"/>
  <c r="D39" i="38"/>
  <c r="E39" i="38" s="1"/>
  <c r="G39" i="38" s="1"/>
  <c r="D40" i="38"/>
  <c r="C55" i="38"/>
  <c r="C40" i="37"/>
  <c r="E33" i="37"/>
  <c r="D54" i="37"/>
  <c r="D55" i="37" s="1"/>
  <c r="E57" i="37" s="1"/>
  <c r="I61" i="35"/>
  <c r="E63" i="40" l="1"/>
  <c r="E64" i="40"/>
  <c r="F34" i="38"/>
  <c r="G34" i="38" s="1"/>
  <c r="D40" i="37"/>
  <c r="F35" i="38"/>
  <c r="G35" i="38" s="1"/>
  <c r="F36" i="38"/>
  <c r="G36" i="38" s="1"/>
  <c r="E40" i="38"/>
  <c r="F33" i="38"/>
  <c r="G33" i="38" s="1"/>
  <c r="F34" i="37"/>
  <c r="G34" i="37" s="1"/>
  <c r="F36" i="37"/>
  <c r="G36" i="37" s="1"/>
  <c r="F33" i="37"/>
  <c r="G33" i="37" s="1"/>
  <c r="F35" i="37"/>
  <c r="G35" i="37" s="1"/>
  <c r="E40" i="37"/>
  <c r="G40" i="37" l="1"/>
  <c r="G40" i="38"/>
  <c r="G42" i="38" s="1"/>
  <c r="E63" i="38" s="1"/>
  <c r="G42" i="37"/>
  <c r="E63" i="37" s="1"/>
  <c r="J64" i="35"/>
  <c r="I64" i="35"/>
  <c r="E64" i="38" l="1"/>
  <c r="E64" i="37"/>
  <c r="D64" i="36"/>
  <c r="C54" i="36"/>
  <c r="D39" i="36" s="1"/>
  <c r="C39" i="36"/>
  <c r="E39" i="36" s="1"/>
  <c r="G39" i="36" s="1"/>
  <c r="D38" i="36"/>
  <c r="C38" i="36"/>
  <c r="E38" i="36" s="1"/>
  <c r="G38" i="36" s="1"/>
  <c r="D37" i="36"/>
  <c r="C37" i="36"/>
  <c r="E37" i="36" s="1"/>
  <c r="D36" i="36"/>
  <c r="C36" i="36"/>
  <c r="E36" i="36" s="1"/>
  <c r="D35" i="36"/>
  <c r="C35" i="36"/>
  <c r="E35" i="36" s="1"/>
  <c r="D34" i="36"/>
  <c r="C34" i="36"/>
  <c r="D33" i="36"/>
  <c r="C33" i="36"/>
  <c r="M25" i="36"/>
  <c r="L25" i="36"/>
  <c r="K25" i="36"/>
  <c r="J25" i="36"/>
  <c r="I25" i="36"/>
  <c r="H25" i="36"/>
  <c r="G25" i="36"/>
  <c r="F25" i="36"/>
  <c r="E25" i="36"/>
  <c r="D25" i="36"/>
  <c r="C25" i="36"/>
  <c r="M24" i="36"/>
  <c r="L24" i="36"/>
  <c r="K24" i="36"/>
  <c r="J24" i="36"/>
  <c r="I24" i="36"/>
  <c r="H24" i="36"/>
  <c r="G24" i="36"/>
  <c r="F24" i="36"/>
  <c r="E24" i="36"/>
  <c r="D24" i="36"/>
  <c r="C24" i="36"/>
  <c r="M23" i="36"/>
  <c r="L23" i="36"/>
  <c r="K23" i="36"/>
  <c r="J23" i="36"/>
  <c r="I23" i="36"/>
  <c r="H23" i="36"/>
  <c r="G23" i="36"/>
  <c r="F23" i="36"/>
  <c r="E23" i="36"/>
  <c r="D23" i="36"/>
  <c r="C23" i="36"/>
  <c r="M22" i="36"/>
  <c r="L22" i="36"/>
  <c r="K22" i="36"/>
  <c r="J22" i="36"/>
  <c r="I22" i="36"/>
  <c r="H22" i="36"/>
  <c r="G22" i="36"/>
  <c r="F22" i="36"/>
  <c r="E22" i="36"/>
  <c r="D22" i="36"/>
  <c r="C22" i="36"/>
  <c r="M21" i="36"/>
  <c r="L21" i="36"/>
  <c r="K21" i="36"/>
  <c r="J21" i="36"/>
  <c r="I21" i="36"/>
  <c r="H21" i="36"/>
  <c r="G21" i="36"/>
  <c r="F21" i="36"/>
  <c r="E21" i="36"/>
  <c r="D21" i="36"/>
  <c r="C21" i="36"/>
  <c r="D64" i="35"/>
  <c r="C54" i="35"/>
  <c r="D54" i="35" s="1"/>
  <c r="D55" i="35" s="1"/>
  <c r="E57" i="35" s="1"/>
  <c r="C39" i="35"/>
  <c r="D38" i="35"/>
  <c r="C38" i="35"/>
  <c r="D37" i="35"/>
  <c r="C37" i="35"/>
  <c r="E37" i="35" s="1"/>
  <c r="D36" i="35"/>
  <c r="C36" i="35"/>
  <c r="D35" i="35"/>
  <c r="C35" i="35"/>
  <c r="E35" i="35" s="1"/>
  <c r="D34" i="35"/>
  <c r="C34" i="35"/>
  <c r="D33" i="35"/>
  <c r="C33" i="35"/>
  <c r="M25" i="35"/>
  <c r="L25" i="35"/>
  <c r="K25" i="35"/>
  <c r="J25" i="35"/>
  <c r="I25" i="35"/>
  <c r="H25" i="35"/>
  <c r="G25" i="35"/>
  <c r="F25" i="35"/>
  <c r="E25" i="35"/>
  <c r="D25" i="35"/>
  <c r="C25" i="35"/>
  <c r="M24" i="35"/>
  <c r="L24" i="35"/>
  <c r="K24" i="35"/>
  <c r="J24" i="35"/>
  <c r="I24" i="35"/>
  <c r="H24" i="35"/>
  <c r="G24" i="35"/>
  <c r="F24" i="35"/>
  <c r="E24" i="35"/>
  <c r="D24" i="35"/>
  <c r="C24" i="35"/>
  <c r="M23" i="35"/>
  <c r="L23" i="35"/>
  <c r="K23" i="35"/>
  <c r="J23" i="35"/>
  <c r="I23" i="35"/>
  <c r="H23" i="35"/>
  <c r="G23" i="35"/>
  <c r="F23" i="35"/>
  <c r="E23" i="35"/>
  <c r="D23" i="35"/>
  <c r="C23" i="35"/>
  <c r="M22" i="35"/>
  <c r="L22" i="35"/>
  <c r="K22" i="35"/>
  <c r="J22" i="35"/>
  <c r="I22" i="35"/>
  <c r="H22" i="35"/>
  <c r="G22" i="35"/>
  <c r="F22" i="35"/>
  <c r="E22" i="35"/>
  <c r="D22" i="35"/>
  <c r="C22" i="35"/>
  <c r="M21" i="35"/>
  <c r="L21" i="35"/>
  <c r="K21" i="35"/>
  <c r="J21" i="35"/>
  <c r="I21" i="35"/>
  <c r="H21" i="35"/>
  <c r="G21" i="35"/>
  <c r="F21" i="35"/>
  <c r="E21" i="35"/>
  <c r="D21" i="35"/>
  <c r="C21" i="35"/>
  <c r="D40" i="36" l="1"/>
  <c r="N23" i="35"/>
  <c r="E36" i="35"/>
  <c r="E33" i="36"/>
  <c r="N21" i="36"/>
  <c r="E38" i="35"/>
  <c r="G38" i="35" s="1"/>
  <c r="N25" i="36"/>
  <c r="F37" i="36" s="1"/>
  <c r="G37" i="36" s="1"/>
  <c r="C40" i="36"/>
  <c r="N24" i="36"/>
  <c r="F36" i="36" s="1"/>
  <c r="G36" i="36" s="1"/>
  <c r="N23" i="36"/>
  <c r="F35" i="36" s="1"/>
  <c r="G35" i="36" s="1"/>
  <c r="N22" i="36"/>
  <c r="F34" i="36" s="1"/>
  <c r="C40" i="35"/>
  <c r="E34" i="35"/>
  <c r="E33" i="35"/>
  <c r="N22" i="35"/>
  <c r="N25" i="35"/>
  <c r="F37" i="35" s="1"/>
  <c r="G37" i="35" s="1"/>
  <c r="N21" i="35"/>
  <c r="N24" i="35"/>
  <c r="E34" i="36"/>
  <c r="E40" i="36"/>
  <c r="D54" i="36"/>
  <c r="D55" i="36" s="1"/>
  <c r="E57" i="36" s="1"/>
  <c r="C55" i="36"/>
  <c r="D39" i="35"/>
  <c r="E39" i="35" s="1"/>
  <c r="G39" i="35" s="1"/>
  <c r="D40" i="35"/>
  <c r="C55" i="35"/>
  <c r="D66" i="34"/>
  <c r="D67" i="34" s="1"/>
  <c r="F33" i="36" l="1"/>
  <c r="G33" i="36" s="1"/>
  <c r="F35" i="35"/>
  <c r="G35" i="35" s="1"/>
  <c r="F36" i="35"/>
  <c r="G36" i="35" s="1"/>
  <c r="E40" i="35"/>
  <c r="F33" i="35"/>
  <c r="G33" i="35" s="1"/>
  <c r="F34" i="35"/>
  <c r="G34" i="35" s="1"/>
  <c r="G34" i="36"/>
  <c r="D64" i="34"/>
  <c r="I61" i="34"/>
  <c r="I64" i="34" s="1"/>
  <c r="C55" i="34"/>
  <c r="C54" i="34"/>
  <c r="D54" i="34" s="1"/>
  <c r="D55" i="34" s="1"/>
  <c r="E57" i="34" s="1"/>
  <c r="D39" i="34"/>
  <c r="C39" i="34"/>
  <c r="E39" i="34" s="1"/>
  <c r="G39" i="34" s="1"/>
  <c r="D38" i="34"/>
  <c r="C38" i="34"/>
  <c r="E38" i="34" s="1"/>
  <c r="G38" i="34" s="1"/>
  <c r="D37" i="34"/>
  <c r="C37" i="34"/>
  <c r="D36" i="34"/>
  <c r="C36" i="34"/>
  <c r="D35" i="34"/>
  <c r="C35" i="34"/>
  <c r="E35" i="34" s="1"/>
  <c r="D34" i="34"/>
  <c r="C34" i="34"/>
  <c r="E34" i="34" s="1"/>
  <c r="D33" i="34"/>
  <c r="C33" i="34"/>
  <c r="M25" i="34"/>
  <c r="L25" i="34"/>
  <c r="K25" i="34"/>
  <c r="J25" i="34"/>
  <c r="I25" i="34"/>
  <c r="H25" i="34"/>
  <c r="G25" i="34"/>
  <c r="F25" i="34"/>
  <c r="E25" i="34"/>
  <c r="D25" i="34"/>
  <c r="C25" i="34"/>
  <c r="M24" i="34"/>
  <c r="L24" i="34"/>
  <c r="K24" i="34"/>
  <c r="J24" i="34"/>
  <c r="I24" i="34"/>
  <c r="H24" i="34"/>
  <c r="G24" i="34"/>
  <c r="F24" i="34"/>
  <c r="E24" i="34"/>
  <c r="D24" i="34"/>
  <c r="C24" i="34"/>
  <c r="M23" i="34"/>
  <c r="L23" i="34"/>
  <c r="K23" i="34"/>
  <c r="J23" i="34"/>
  <c r="I23" i="34"/>
  <c r="H23" i="34"/>
  <c r="G23" i="34"/>
  <c r="F23" i="34"/>
  <c r="E23" i="34"/>
  <c r="D23" i="34"/>
  <c r="C23" i="34"/>
  <c r="M22" i="34"/>
  <c r="L22" i="34"/>
  <c r="K22" i="34"/>
  <c r="J22" i="34"/>
  <c r="I22" i="34"/>
  <c r="H22" i="34"/>
  <c r="G22" i="34"/>
  <c r="F22" i="34"/>
  <c r="E22" i="34"/>
  <c r="D22" i="34"/>
  <c r="C22" i="34"/>
  <c r="M21" i="34"/>
  <c r="L21" i="34"/>
  <c r="K21" i="34"/>
  <c r="J21" i="34"/>
  <c r="I21" i="34"/>
  <c r="H21" i="34"/>
  <c r="G21" i="34"/>
  <c r="F21" i="34"/>
  <c r="E21" i="34"/>
  <c r="D21" i="34"/>
  <c r="C21" i="34"/>
  <c r="E33" i="34" l="1"/>
  <c r="D40" i="34"/>
  <c r="E36" i="34"/>
  <c r="E37" i="34"/>
  <c r="G40" i="36"/>
  <c r="G42" i="36" s="1"/>
  <c r="G40" i="35"/>
  <c r="G42" i="35" s="1"/>
  <c r="E63" i="35" s="1"/>
  <c r="E63" i="36"/>
  <c r="E64" i="36"/>
  <c r="N22" i="34"/>
  <c r="N21" i="34"/>
  <c r="F33" i="34" s="1"/>
  <c r="G33" i="34" s="1"/>
  <c r="N25" i="34"/>
  <c r="F37" i="34" s="1"/>
  <c r="G37" i="34" s="1"/>
  <c r="N24" i="34"/>
  <c r="F36" i="34" s="1"/>
  <c r="G36" i="34" s="1"/>
  <c r="N23" i="34"/>
  <c r="E40" i="34"/>
  <c r="C40" i="34"/>
  <c r="E64" i="35" l="1"/>
  <c r="F34" i="34"/>
  <c r="G34" i="34" s="1"/>
  <c r="F35" i="34"/>
  <c r="G35" i="34" s="1"/>
  <c r="G40" i="34"/>
  <c r="G42" i="34" s="1"/>
  <c r="E63" i="34" s="1"/>
  <c r="E64" i="34" l="1"/>
  <c r="D64" i="32"/>
  <c r="C54" i="32"/>
  <c r="D54" i="32" s="1"/>
  <c r="D55" i="32" s="1"/>
  <c r="E57" i="32" s="1"/>
  <c r="C39" i="32"/>
  <c r="D38" i="32"/>
  <c r="C38" i="32"/>
  <c r="E38" i="32" s="1"/>
  <c r="G38" i="32" s="1"/>
  <c r="D37" i="32"/>
  <c r="C37" i="32"/>
  <c r="E37" i="32" s="1"/>
  <c r="D36" i="32"/>
  <c r="C36" i="32"/>
  <c r="E36" i="32" s="1"/>
  <c r="D35" i="32"/>
  <c r="C35" i="32"/>
  <c r="E35" i="32" s="1"/>
  <c r="D34" i="32"/>
  <c r="C34" i="32"/>
  <c r="E34" i="32" s="1"/>
  <c r="D33" i="32"/>
  <c r="C33" i="32"/>
  <c r="E33" i="32" s="1"/>
  <c r="M25" i="32"/>
  <c r="L25" i="32"/>
  <c r="K25" i="32"/>
  <c r="J25" i="32"/>
  <c r="I25" i="32"/>
  <c r="H25" i="32"/>
  <c r="G25" i="32"/>
  <c r="F25" i="32"/>
  <c r="E25" i="32"/>
  <c r="D25" i="32"/>
  <c r="C25" i="32"/>
  <c r="M24" i="32"/>
  <c r="L24" i="32"/>
  <c r="K24" i="32"/>
  <c r="J24" i="32"/>
  <c r="I24" i="32"/>
  <c r="H24" i="32"/>
  <c r="G24" i="32"/>
  <c r="F24" i="32"/>
  <c r="E24" i="32"/>
  <c r="D24" i="32"/>
  <c r="C24" i="32"/>
  <c r="M23" i="32"/>
  <c r="L23" i="32"/>
  <c r="K23" i="32"/>
  <c r="J23" i="32"/>
  <c r="I23" i="32"/>
  <c r="H23" i="32"/>
  <c r="G23" i="32"/>
  <c r="F23" i="32"/>
  <c r="E23" i="32"/>
  <c r="D23" i="32"/>
  <c r="C23" i="32"/>
  <c r="M22" i="32"/>
  <c r="L22" i="32"/>
  <c r="K22" i="32"/>
  <c r="J22" i="32"/>
  <c r="I22" i="32"/>
  <c r="H22" i="32"/>
  <c r="G22" i="32"/>
  <c r="F22" i="32"/>
  <c r="E22" i="32"/>
  <c r="D22" i="32"/>
  <c r="C22" i="32"/>
  <c r="M21" i="32"/>
  <c r="L21" i="32"/>
  <c r="K21" i="32"/>
  <c r="J21" i="32"/>
  <c r="I21" i="32"/>
  <c r="H21" i="32"/>
  <c r="G21" i="32"/>
  <c r="F21" i="32"/>
  <c r="E21" i="32"/>
  <c r="D21" i="32"/>
  <c r="C21" i="32"/>
  <c r="D39" i="32" l="1"/>
  <c r="E39" i="32" s="1"/>
  <c r="C55" i="32"/>
  <c r="N23" i="32"/>
  <c r="N22" i="32"/>
  <c r="N21" i="32"/>
  <c r="N25" i="32"/>
  <c r="F37" i="32" s="1"/>
  <c r="G37" i="32" s="1"/>
  <c r="N24" i="32"/>
  <c r="C40" i="32"/>
  <c r="C54" i="30"/>
  <c r="D81" i="31"/>
  <c r="D78" i="31"/>
  <c r="G73" i="31"/>
  <c r="D83" i="31" s="1"/>
  <c r="D62" i="31"/>
  <c r="F62" i="31" s="1"/>
  <c r="D79" i="31" s="1"/>
  <c r="C38" i="31"/>
  <c r="E38" i="31" s="1"/>
  <c r="C37" i="31"/>
  <c r="E37" i="31" s="1"/>
  <c r="C36" i="31"/>
  <c r="E36" i="31" s="1"/>
  <c r="M34" i="31"/>
  <c r="C33" i="31"/>
  <c r="E33" i="31" s="1"/>
  <c r="C32" i="31"/>
  <c r="E32" i="31" s="1"/>
  <c r="C31" i="31"/>
  <c r="H24" i="31"/>
  <c r="D36" i="31" s="1"/>
  <c r="G22" i="31"/>
  <c r="F22" i="31"/>
  <c r="E22" i="31"/>
  <c r="D22" i="31"/>
  <c r="C22" i="31"/>
  <c r="G21" i="31"/>
  <c r="F21" i="31"/>
  <c r="E21" i="31"/>
  <c r="D21" i="31"/>
  <c r="C21" i="31"/>
  <c r="G20" i="31"/>
  <c r="F20" i="31"/>
  <c r="E20" i="31"/>
  <c r="D20" i="31"/>
  <c r="C20" i="31"/>
  <c r="H15" i="31"/>
  <c r="D31" i="31" s="1"/>
  <c r="G13" i="31"/>
  <c r="F13" i="31"/>
  <c r="E13" i="31"/>
  <c r="D13" i="31"/>
  <c r="C13" i="31"/>
  <c r="G12" i="31"/>
  <c r="F12" i="31"/>
  <c r="E12" i="31"/>
  <c r="D12" i="31"/>
  <c r="C12" i="31"/>
  <c r="G11" i="31"/>
  <c r="F11" i="31"/>
  <c r="E11" i="31"/>
  <c r="D11" i="31"/>
  <c r="C11" i="31"/>
  <c r="D64" i="30"/>
  <c r="D54" i="30"/>
  <c r="D55" i="30" s="1"/>
  <c r="E57" i="30" s="1"/>
  <c r="D39" i="30"/>
  <c r="C39" i="30"/>
  <c r="D38" i="30"/>
  <c r="C38" i="30"/>
  <c r="D37" i="30"/>
  <c r="C37" i="30"/>
  <c r="E37" i="30" s="1"/>
  <c r="D36" i="30"/>
  <c r="C36" i="30"/>
  <c r="D35" i="30"/>
  <c r="C35" i="30"/>
  <c r="E35" i="30" s="1"/>
  <c r="D34" i="30"/>
  <c r="C34" i="30"/>
  <c r="D33" i="30"/>
  <c r="C33" i="30"/>
  <c r="E33" i="30" s="1"/>
  <c r="M25" i="30"/>
  <c r="L25" i="30"/>
  <c r="K25" i="30"/>
  <c r="J25" i="30"/>
  <c r="I25" i="30"/>
  <c r="H25" i="30"/>
  <c r="G25" i="30"/>
  <c r="F25" i="30"/>
  <c r="E25" i="30"/>
  <c r="D25" i="30"/>
  <c r="C25" i="30"/>
  <c r="M24" i="30"/>
  <c r="L24" i="30"/>
  <c r="K24" i="30"/>
  <c r="J24" i="30"/>
  <c r="I24" i="30"/>
  <c r="H24" i="30"/>
  <c r="G24" i="30"/>
  <c r="F24" i="30"/>
  <c r="E24" i="30"/>
  <c r="D24" i="30"/>
  <c r="C24" i="30"/>
  <c r="M23" i="30"/>
  <c r="L23" i="30"/>
  <c r="K23" i="30"/>
  <c r="J23" i="30"/>
  <c r="I23" i="30"/>
  <c r="H23" i="30"/>
  <c r="G23" i="30"/>
  <c r="F23" i="30"/>
  <c r="E23" i="30"/>
  <c r="D23" i="30"/>
  <c r="C23" i="30"/>
  <c r="M22" i="30"/>
  <c r="L22" i="30"/>
  <c r="K22" i="30"/>
  <c r="J22" i="30"/>
  <c r="I22" i="30"/>
  <c r="H22" i="30"/>
  <c r="G22" i="30"/>
  <c r="F22" i="30"/>
  <c r="E22" i="30"/>
  <c r="D22" i="30"/>
  <c r="C22" i="30"/>
  <c r="M21" i="30"/>
  <c r="L21" i="30"/>
  <c r="K21" i="30"/>
  <c r="J21" i="30"/>
  <c r="I21" i="30"/>
  <c r="H21" i="30"/>
  <c r="G21" i="30"/>
  <c r="F21" i="30"/>
  <c r="E21" i="30"/>
  <c r="D21" i="30"/>
  <c r="C21" i="30"/>
  <c r="D69" i="29"/>
  <c r="C59" i="29"/>
  <c r="C60" i="29" s="1"/>
  <c r="C43" i="29"/>
  <c r="D42" i="29"/>
  <c r="C42" i="29"/>
  <c r="D41" i="29"/>
  <c r="C41" i="29"/>
  <c r="D40" i="29"/>
  <c r="C40" i="29"/>
  <c r="E40" i="29" s="1"/>
  <c r="D39" i="29"/>
  <c r="C39" i="29"/>
  <c r="E39" i="29" s="1"/>
  <c r="D38" i="29"/>
  <c r="C38" i="29"/>
  <c r="E38" i="29" s="1"/>
  <c r="D37" i="29"/>
  <c r="C37" i="29"/>
  <c r="M30" i="29"/>
  <c r="L30" i="29"/>
  <c r="K30" i="29"/>
  <c r="J30" i="29"/>
  <c r="I30" i="29"/>
  <c r="H30" i="29"/>
  <c r="G30" i="29"/>
  <c r="F30" i="29"/>
  <c r="E30" i="29"/>
  <c r="D30" i="29"/>
  <c r="C30" i="29"/>
  <c r="L29" i="29"/>
  <c r="K29" i="29"/>
  <c r="J29" i="29"/>
  <c r="I29" i="29"/>
  <c r="H29" i="29"/>
  <c r="G29" i="29"/>
  <c r="F29" i="29"/>
  <c r="E29" i="29"/>
  <c r="D29" i="29"/>
  <c r="C29" i="29"/>
  <c r="K28" i="29"/>
  <c r="J28" i="29"/>
  <c r="I28" i="29"/>
  <c r="H28" i="29"/>
  <c r="G28" i="29"/>
  <c r="F28" i="29"/>
  <c r="E28" i="29"/>
  <c r="D28" i="29"/>
  <c r="C28" i="29"/>
  <c r="J27" i="29"/>
  <c r="I27" i="29"/>
  <c r="H27" i="29"/>
  <c r="G27" i="29"/>
  <c r="F27" i="29"/>
  <c r="E27" i="29"/>
  <c r="D27" i="29"/>
  <c r="C27" i="29"/>
  <c r="I26" i="29"/>
  <c r="H26" i="29"/>
  <c r="G26" i="29"/>
  <c r="F26" i="29"/>
  <c r="E26" i="29"/>
  <c r="D26" i="29"/>
  <c r="C26" i="29"/>
  <c r="E36" i="30" l="1"/>
  <c r="E38" i="30"/>
  <c r="G38" i="30" s="1"/>
  <c r="E42" i="29"/>
  <c r="G42" i="29" s="1"/>
  <c r="E41" i="29"/>
  <c r="E31" i="31"/>
  <c r="L31" i="31" s="1"/>
  <c r="L34" i="31" s="1"/>
  <c r="E39" i="30"/>
  <c r="G39" i="30" s="1"/>
  <c r="G39" i="32"/>
  <c r="E40" i="32"/>
  <c r="D40" i="32"/>
  <c r="F35" i="32"/>
  <c r="G35" i="32" s="1"/>
  <c r="F33" i="32"/>
  <c r="G33" i="32" s="1"/>
  <c r="F34" i="32"/>
  <c r="G34" i="32" s="1"/>
  <c r="F36" i="32"/>
  <c r="G36" i="32" s="1"/>
  <c r="N21" i="30"/>
  <c r="N22" i="30"/>
  <c r="D80" i="31"/>
  <c r="D82" i="31" s="1"/>
  <c r="D84" i="31" s="1"/>
  <c r="C40" i="30"/>
  <c r="E34" i="30"/>
  <c r="N24" i="30"/>
  <c r="N25" i="30"/>
  <c r="F37" i="30" s="1"/>
  <c r="G37" i="30" s="1"/>
  <c r="N23" i="30"/>
  <c r="C44" i="29"/>
  <c r="E37" i="29"/>
  <c r="F41" i="29"/>
  <c r="G41" i="29" s="1"/>
  <c r="F38" i="29"/>
  <c r="G38" i="29" s="1"/>
  <c r="F39" i="29"/>
  <c r="G39" i="29" s="1"/>
  <c r="F40" i="29"/>
  <c r="G40" i="29" s="1"/>
  <c r="F37" i="29"/>
  <c r="G37" i="29" s="1"/>
  <c r="C55" i="30"/>
  <c r="D40" i="30"/>
  <c r="D43" i="29"/>
  <c r="D44" i="29" s="1"/>
  <c r="D59" i="29"/>
  <c r="D60" i="29" s="1"/>
  <c r="E62" i="29" s="1"/>
  <c r="D64" i="28"/>
  <c r="D55" i="28"/>
  <c r="E57" i="28" s="1"/>
  <c r="C55" i="28"/>
  <c r="D39" i="28"/>
  <c r="C39" i="28"/>
  <c r="E39" i="28" s="1"/>
  <c r="G39" i="28" s="1"/>
  <c r="D38" i="28"/>
  <c r="C38" i="28"/>
  <c r="E38" i="28" s="1"/>
  <c r="G38" i="28" s="1"/>
  <c r="D37" i="28"/>
  <c r="C37" i="28"/>
  <c r="E37" i="28" s="1"/>
  <c r="D36" i="28"/>
  <c r="C36" i="28"/>
  <c r="E36" i="28" s="1"/>
  <c r="D35" i="28"/>
  <c r="C35" i="28"/>
  <c r="E35" i="28" s="1"/>
  <c r="D34" i="28"/>
  <c r="C34" i="28"/>
  <c r="E34" i="28" s="1"/>
  <c r="D33" i="28"/>
  <c r="C33" i="28"/>
  <c r="E33" i="28" s="1"/>
  <c r="M25" i="28"/>
  <c r="L25" i="28"/>
  <c r="K25" i="28"/>
  <c r="J25" i="28"/>
  <c r="I25" i="28"/>
  <c r="H25" i="28"/>
  <c r="G25" i="28"/>
  <c r="F25" i="28"/>
  <c r="E25" i="28"/>
  <c r="D25" i="28"/>
  <c r="C25" i="28"/>
  <c r="M24" i="28"/>
  <c r="L24" i="28"/>
  <c r="K24" i="28"/>
  <c r="J24" i="28"/>
  <c r="I24" i="28"/>
  <c r="H24" i="28"/>
  <c r="G24" i="28"/>
  <c r="F24" i="28"/>
  <c r="E24" i="28"/>
  <c r="D24" i="28"/>
  <c r="C24" i="28"/>
  <c r="M23" i="28"/>
  <c r="L23" i="28"/>
  <c r="K23" i="28"/>
  <c r="J23" i="28"/>
  <c r="I23" i="28"/>
  <c r="H23" i="28"/>
  <c r="G23" i="28"/>
  <c r="F23" i="28"/>
  <c r="E23" i="28"/>
  <c r="D23" i="28"/>
  <c r="C23" i="28"/>
  <c r="M22" i="28"/>
  <c r="L22" i="28"/>
  <c r="K22" i="28"/>
  <c r="J22" i="28"/>
  <c r="I22" i="28"/>
  <c r="H22" i="28"/>
  <c r="G22" i="28"/>
  <c r="F22" i="28"/>
  <c r="E22" i="28"/>
  <c r="D22" i="28"/>
  <c r="C22" i="28"/>
  <c r="N22" i="28" s="1"/>
  <c r="M21" i="28"/>
  <c r="L21" i="28"/>
  <c r="K21" i="28"/>
  <c r="J21" i="28"/>
  <c r="I21" i="28"/>
  <c r="H21" i="28"/>
  <c r="G21" i="28"/>
  <c r="F21" i="28"/>
  <c r="E21" i="28"/>
  <c r="D21" i="28"/>
  <c r="C21" i="28"/>
  <c r="D69" i="27"/>
  <c r="D60" i="27"/>
  <c r="E62" i="27" s="1"/>
  <c r="C60" i="27"/>
  <c r="D43" i="27"/>
  <c r="D42" i="27"/>
  <c r="C42" i="27"/>
  <c r="E41" i="27"/>
  <c r="D41" i="27"/>
  <c r="C41" i="27"/>
  <c r="D40" i="27"/>
  <c r="C40" i="27"/>
  <c r="E40" i="27" s="1"/>
  <c r="D39" i="27"/>
  <c r="C39" i="27"/>
  <c r="D38" i="27"/>
  <c r="E38" i="27" s="1"/>
  <c r="C38" i="27"/>
  <c r="D37" i="27"/>
  <c r="C37" i="27"/>
  <c r="E37" i="27" s="1"/>
  <c r="G37" i="27" s="1"/>
  <c r="M30" i="27"/>
  <c r="L30" i="27"/>
  <c r="K30" i="27"/>
  <c r="J30" i="27"/>
  <c r="I30" i="27"/>
  <c r="H30" i="27"/>
  <c r="G30" i="27"/>
  <c r="F30" i="27"/>
  <c r="E30" i="27"/>
  <c r="D30" i="27"/>
  <c r="L29" i="27"/>
  <c r="K29" i="27"/>
  <c r="J29" i="27"/>
  <c r="I29" i="27"/>
  <c r="H29" i="27"/>
  <c r="G29" i="27"/>
  <c r="F29" i="27"/>
  <c r="E29" i="27"/>
  <c r="D29" i="27"/>
  <c r="C29" i="27"/>
  <c r="K28" i="27"/>
  <c r="J28" i="27"/>
  <c r="I28" i="27"/>
  <c r="H28" i="27"/>
  <c r="G28" i="27"/>
  <c r="F28" i="27"/>
  <c r="E28" i="27"/>
  <c r="D28" i="27"/>
  <c r="C28" i="27"/>
  <c r="J27" i="27"/>
  <c r="I27" i="27"/>
  <c r="H27" i="27"/>
  <c r="G27" i="27"/>
  <c r="F27" i="27"/>
  <c r="E27" i="27"/>
  <c r="D27" i="27"/>
  <c r="C27" i="27"/>
  <c r="I26" i="27"/>
  <c r="H26" i="27"/>
  <c r="G26" i="27"/>
  <c r="F26" i="27"/>
  <c r="E26" i="27"/>
  <c r="D26" i="27"/>
  <c r="C26" i="27"/>
  <c r="F37" i="27" s="1"/>
  <c r="N24" i="27"/>
  <c r="C43" i="27" s="1"/>
  <c r="M24" i="27"/>
  <c r="L24" i="27"/>
  <c r="K24" i="27"/>
  <c r="J24" i="27"/>
  <c r="I24" i="27"/>
  <c r="H24" i="27"/>
  <c r="G24" i="27"/>
  <c r="F24" i="27"/>
  <c r="E24" i="27"/>
  <c r="D24" i="27"/>
  <c r="C24" i="27"/>
  <c r="D23" i="27"/>
  <c r="C22" i="27"/>
  <c r="F38" i="27" l="1"/>
  <c r="E43" i="27"/>
  <c r="G43" i="27" s="1"/>
  <c r="F39" i="27"/>
  <c r="E42" i="27"/>
  <c r="G42" i="27" s="1"/>
  <c r="E39" i="27"/>
  <c r="F40" i="27"/>
  <c r="G40" i="27" s="1"/>
  <c r="C30" i="27"/>
  <c r="F41" i="27" s="1"/>
  <c r="D40" i="28"/>
  <c r="E40" i="30"/>
  <c r="G40" i="32"/>
  <c r="G42" i="32" s="1"/>
  <c r="E63" i="32" s="1"/>
  <c r="F36" i="30"/>
  <c r="G36" i="30" s="1"/>
  <c r="F33" i="30"/>
  <c r="G33" i="30" s="1"/>
  <c r="F34" i="30"/>
  <c r="G34" i="30" s="1"/>
  <c r="F35" i="30"/>
  <c r="G35" i="30" s="1"/>
  <c r="E43" i="29"/>
  <c r="N25" i="28"/>
  <c r="F37" i="28" s="1"/>
  <c r="G37" i="28" s="1"/>
  <c r="N21" i="28"/>
  <c r="N24" i="28"/>
  <c r="N23" i="28"/>
  <c r="E40" i="28"/>
  <c r="C40" i="28"/>
  <c r="G41" i="27"/>
  <c r="C44" i="27"/>
  <c r="G38" i="27"/>
  <c r="G39" i="27"/>
  <c r="D44" i="27"/>
  <c r="E44" i="27"/>
  <c r="G44" i="27" l="1"/>
  <c r="G46" i="27" s="1"/>
  <c r="F35" i="28"/>
  <c r="G35" i="28" s="1"/>
  <c r="F34" i="28"/>
  <c r="G34" i="28" s="1"/>
  <c r="F36" i="28"/>
  <c r="G36" i="28" s="1"/>
  <c r="F33" i="28"/>
  <c r="G33" i="28" s="1"/>
  <c r="E64" i="32"/>
  <c r="G40" i="30"/>
  <c r="G42" i="30" s="1"/>
  <c r="E63" i="30" s="1"/>
  <c r="G43" i="29"/>
  <c r="G44" i="29" s="1"/>
  <c r="G46" i="29" s="1"/>
  <c r="E68" i="29" s="1"/>
  <c r="E44" i="29"/>
  <c r="G40" i="28"/>
  <c r="G42" i="28" s="1"/>
  <c r="E63" i="28" s="1"/>
  <c r="E68" i="27"/>
  <c r="E69" i="27"/>
  <c r="E64" i="30" l="1"/>
  <c r="E69" i="29"/>
  <c r="E64" i="28"/>
  <c r="I61" i="22"/>
  <c r="C59" i="20"/>
  <c r="L24" i="20"/>
  <c r="K24" i="20"/>
  <c r="J24" i="20"/>
  <c r="I24" i="20"/>
  <c r="H24" i="20"/>
  <c r="G24" i="20"/>
  <c r="F24" i="20"/>
  <c r="E24" i="20"/>
  <c r="D24" i="20"/>
  <c r="C24" i="20"/>
  <c r="C23" i="20"/>
  <c r="D81" i="26" l="1"/>
  <c r="D78" i="26"/>
  <c r="G73" i="26"/>
  <c r="D83" i="26" s="1"/>
  <c r="D62" i="26"/>
  <c r="F62" i="26" s="1"/>
  <c r="D79" i="26" s="1"/>
  <c r="C38" i="26"/>
  <c r="E38" i="26" s="1"/>
  <c r="C37" i="26"/>
  <c r="E37" i="26" s="1"/>
  <c r="C36" i="26"/>
  <c r="M34" i="26"/>
  <c r="C33" i="26"/>
  <c r="E33" i="26" s="1"/>
  <c r="C32" i="26"/>
  <c r="E32" i="26" s="1"/>
  <c r="C31" i="26"/>
  <c r="H24" i="26"/>
  <c r="D36" i="26" s="1"/>
  <c r="H15" i="26"/>
  <c r="D31" i="26" s="1"/>
  <c r="D81" i="25"/>
  <c r="D78" i="25"/>
  <c r="G73" i="25"/>
  <c r="D83" i="25" s="1"/>
  <c r="D62" i="25"/>
  <c r="F62" i="25" s="1"/>
  <c r="D79" i="25" s="1"/>
  <c r="C38" i="25"/>
  <c r="E38" i="25" s="1"/>
  <c r="C37" i="25"/>
  <c r="E37" i="25" s="1"/>
  <c r="D36" i="25"/>
  <c r="C36" i="25"/>
  <c r="M34" i="25"/>
  <c r="C33" i="25"/>
  <c r="E33" i="25" s="1"/>
  <c r="L32" i="25"/>
  <c r="C32" i="25"/>
  <c r="E32" i="25" s="1"/>
  <c r="D31" i="25"/>
  <c r="C31" i="25"/>
  <c r="E31" i="25" s="1"/>
  <c r="H24" i="25"/>
  <c r="F22" i="25"/>
  <c r="E22" i="25"/>
  <c r="D22" i="25"/>
  <c r="C22" i="25"/>
  <c r="F21" i="25"/>
  <c r="E21" i="25"/>
  <c r="D21" i="25"/>
  <c r="C21" i="25"/>
  <c r="F20" i="25"/>
  <c r="E20" i="25"/>
  <c r="D20" i="25"/>
  <c r="C20" i="25"/>
  <c r="H15" i="25"/>
  <c r="F13" i="25"/>
  <c r="E13" i="25"/>
  <c r="D13" i="25"/>
  <c r="C13" i="25"/>
  <c r="F12" i="25"/>
  <c r="E12" i="25"/>
  <c r="D12" i="25"/>
  <c r="C12" i="25"/>
  <c r="F11" i="25"/>
  <c r="E11" i="25"/>
  <c r="D11" i="25"/>
  <c r="C11" i="25"/>
  <c r="D81" i="24"/>
  <c r="D78" i="24"/>
  <c r="G73" i="24"/>
  <c r="D83" i="24" s="1"/>
  <c r="D62" i="24"/>
  <c r="F62" i="24" s="1"/>
  <c r="D79" i="24" s="1"/>
  <c r="C38" i="24"/>
  <c r="E38" i="24" s="1"/>
  <c r="C37" i="24"/>
  <c r="E37" i="24" s="1"/>
  <c r="C36" i="24"/>
  <c r="M34" i="24"/>
  <c r="C33" i="24"/>
  <c r="E33" i="24" s="1"/>
  <c r="C32" i="24"/>
  <c r="E32" i="24" s="1"/>
  <c r="C31" i="24"/>
  <c r="E31" i="24" s="1"/>
  <c r="H24" i="24"/>
  <c r="D36" i="24" s="1"/>
  <c r="H15" i="24"/>
  <c r="D31" i="24" s="1"/>
  <c r="E36" i="26" l="1"/>
  <c r="E36" i="25"/>
  <c r="L31" i="25" s="1"/>
  <c r="L34" i="25" s="1"/>
  <c r="D80" i="26"/>
  <c r="D82" i="26" s="1"/>
  <c r="D84" i="26" s="1"/>
  <c r="E31" i="26"/>
  <c r="L31" i="26" s="1"/>
  <c r="L34" i="26" s="1"/>
  <c r="D80" i="25"/>
  <c r="D82" i="25" s="1"/>
  <c r="D84" i="25" s="1"/>
  <c r="D80" i="24"/>
  <c r="D82" i="24" s="1"/>
  <c r="D84" i="24" s="1"/>
  <c r="E36" i="24"/>
  <c r="L31" i="24" s="1"/>
  <c r="L34" i="24" s="1"/>
  <c r="D59" i="20" l="1"/>
  <c r="C54" i="22"/>
  <c r="D54" i="22" s="1"/>
  <c r="I64" i="22"/>
  <c r="D69" i="20" l="1"/>
  <c r="C22" i="22" l="1"/>
  <c r="D21" i="22"/>
  <c r="C21" i="22"/>
  <c r="C26" i="20"/>
  <c r="G26" i="20"/>
  <c r="F26" i="20"/>
  <c r="E26" i="20"/>
  <c r="D26" i="20"/>
  <c r="D64" i="22" l="1"/>
  <c r="D55" i="22"/>
  <c r="E57" i="22" s="1"/>
  <c r="C55" i="22"/>
  <c r="D39" i="22"/>
  <c r="C39" i="22"/>
  <c r="D38" i="22"/>
  <c r="C38" i="22"/>
  <c r="D37" i="22"/>
  <c r="C37" i="22"/>
  <c r="D36" i="22"/>
  <c r="C36" i="22"/>
  <c r="D35" i="22"/>
  <c r="C35" i="22"/>
  <c r="D34" i="22"/>
  <c r="C34" i="22"/>
  <c r="D33" i="22"/>
  <c r="C33" i="22"/>
  <c r="M25" i="22"/>
  <c r="L25" i="22"/>
  <c r="K25" i="22"/>
  <c r="J25" i="22"/>
  <c r="I25" i="22"/>
  <c r="H25" i="22"/>
  <c r="G25" i="22"/>
  <c r="F25" i="22"/>
  <c r="E25" i="22"/>
  <c r="D25" i="22"/>
  <c r="C25" i="22"/>
  <c r="M24" i="22"/>
  <c r="L24" i="22"/>
  <c r="K24" i="22"/>
  <c r="J24" i="22"/>
  <c r="I24" i="22"/>
  <c r="H24" i="22"/>
  <c r="G24" i="22"/>
  <c r="F24" i="22"/>
  <c r="E24" i="22"/>
  <c r="D24" i="22"/>
  <c r="C24" i="22"/>
  <c r="M23" i="22"/>
  <c r="L23" i="22"/>
  <c r="K23" i="22"/>
  <c r="J23" i="22"/>
  <c r="I23" i="22"/>
  <c r="H23" i="22"/>
  <c r="G23" i="22"/>
  <c r="F23" i="22"/>
  <c r="E23" i="22"/>
  <c r="D23" i="22"/>
  <c r="C23" i="22"/>
  <c r="M22" i="22"/>
  <c r="L22" i="22"/>
  <c r="K22" i="22"/>
  <c r="J22" i="22"/>
  <c r="I22" i="22"/>
  <c r="H22" i="22"/>
  <c r="G22" i="22"/>
  <c r="F22" i="22"/>
  <c r="E22" i="22"/>
  <c r="D22" i="22"/>
  <c r="M21" i="22"/>
  <c r="L21" i="22"/>
  <c r="K21" i="22"/>
  <c r="J21" i="22"/>
  <c r="I21" i="22"/>
  <c r="H21" i="22"/>
  <c r="G21" i="22"/>
  <c r="F21" i="22"/>
  <c r="E21" i="22"/>
  <c r="E35" i="22" l="1"/>
  <c r="E39" i="22"/>
  <c r="G39" i="22" s="1"/>
  <c r="E37" i="22"/>
  <c r="E34" i="22"/>
  <c r="E38" i="22"/>
  <c r="G38" i="22" s="1"/>
  <c r="N24" i="22"/>
  <c r="E36" i="22"/>
  <c r="E33" i="22"/>
  <c r="N25" i="22"/>
  <c r="F37" i="22" s="1"/>
  <c r="N23" i="22"/>
  <c r="N22" i="22"/>
  <c r="N21" i="22"/>
  <c r="D40" i="22"/>
  <c r="C40" i="22"/>
  <c r="G37" i="22" l="1"/>
  <c r="F34" i="22"/>
  <c r="G34" i="22" s="1"/>
  <c r="F35" i="22"/>
  <c r="G35" i="22" s="1"/>
  <c r="E40" i="22"/>
  <c r="F36" i="22"/>
  <c r="G36" i="22" s="1"/>
  <c r="F33" i="22"/>
  <c r="G33" i="22" s="1"/>
  <c r="G40" i="22" l="1"/>
  <c r="G42" i="22" s="1"/>
  <c r="G27" i="20"/>
  <c r="H27" i="20"/>
  <c r="I27" i="20"/>
  <c r="J27" i="20"/>
  <c r="H26" i="20"/>
  <c r="I26" i="20"/>
  <c r="E63" i="22" l="1"/>
  <c r="E64" i="22"/>
  <c r="C43" i="20"/>
  <c r="C42" i="20"/>
  <c r="C39" i="20"/>
  <c r="C40" i="20"/>
  <c r="C41" i="20"/>
  <c r="C38" i="20"/>
  <c r="C37" i="20"/>
  <c r="L30" i="20"/>
  <c r="M30" i="20"/>
  <c r="K29" i="20"/>
  <c r="L29" i="20"/>
  <c r="J28" i="20"/>
  <c r="K28" i="20"/>
  <c r="D60" i="20" l="1"/>
  <c r="E62" i="20" s="1"/>
  <c r="C60" i="20"/>
  <c r="D43" i="20"/>
  <c r="E43" i="20" s="1"/>
  <c r="D42" i="20"/>
  <c r="D41" i="20"/>
  <c r="D40" i="20"/>
  <c r="D39" i="20"/>
  <c r="D38" i="20"/>
  <c r="D37" i="20"/>
  <c r="K30" i="20"/>
  <c r="J30" i="20"/>
  <c r="I30" i="20"/>
  <c r="H30" i="20"/>
  <c r="G30" i="20"/>
  <c r="F30" i="20"/>
  <c r="E30" i="20"/>
  <c r="D30" i="20"/>
  <c r="C30" i="20"/>
  <c r="J29" i="20"/>
  <c r="I29" i="20"/>
  <c r="H29" i="20"/>
  <c r="G29" i="20"/>
  <c r="F29" i="20"/>
  <c r="E29" i="20"/>
  <c r="D29" i="20"/>
  <c r="C29" i="20"/>
  <c r="I28" i="20"/>
  <c r="H28" i="20"/>
  <c r="G28" i="20"/>
  <c r="F28" i="20"/>
  <c r="E28" i="20"/>
  <c r="D28" i="20"/>
  <c r="C28" i="20"/>
  <c r="F27" i="20"/>
  <c r="E27" i="20"/>
  <c r="D27" i="20"/>
  <c r="C27" i="20"/>
  <c r="F39" i="20" l="1"/>
  <c r="F37" i="20"/>
  <c r="F40" i="20"/>
  <c r="F41" i="20"/>
  <c r="F38" i="20"/>
  <c r="E38" i="20"/>
  <c r="C44" i="20"/>
  <c r="E41" i="20"/>
  <c r="E40" i="20"/>
  <c r="E39" i="20"/>
  <c r="E42" i="20"/>
  <c r="G42" i="20" s="1"/>
  <c r="G43" i="20"/>
  <c r="E37" i="20"/>
  <c r="D44" i="20"/>
  <c r="E44" i="20" l="1"/>
  <c r="G41" i="20"/>
  <c r="G40" i="20"/>
  <c r="G38" i="20"/>
  <c r="G39" i="20"/>
  <c r="G37" i="20"/>
  <c r="G44" i="20" l="1"/>
  <c r="G46" i="20" s="1"/>
  <c r="E68" i="20" l="1"/>
  <c r="E69"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김수민</author>
  </authors>
  <commentList>
    <comment ref="L33" authorId="0" shapeId="0" xr:uid="{00000000-0006-0000-0300-000001000000}">
      <text>
        <r>
          <rPr>
            <b/>
            <sz val="9"/>
            <color indexed="81"/>
            <rFont val="돋움"/>
            <family val="3"/>
            <charset val="129"/>
          </rPr>
          <t>김수민</t>
        </r>
        <r>
          <rPr>
            <b/>
            <sz val="9"/>
            <color indexed="81"/>
            <rFont val="Tahoma"/>
            <family val="2"/>
          </rPr>
          <t>:</t>
        </r>
        <r>
          <rPr>
            <sz val="9"/>
            <color indexed="81"/>
            <rFont val="Tahoma"/>
            <family val="2"/>
          </rPr>
          <t xml:space="preserve">
</t>
        </r>
        <r>
          <rPr>
            <sz val="9"/>
            <color indexed="81"/>
            <rFont val="돋움"/>
            <family val="3"/>
            <charset val="129"/>
          </rPr>
          <t>일진엘이디</t>
        </r>
        <r>
          <rPr>
            <sz val="9"/>
            <color indexed="81"/>
            <rFont val="Tahoma"/>
            <family val="2"/>
          </rPr>
          <t xml:space="preserve"> </t>
        </r>
        <r>
          <rPr>
            <sz val="9"/>
            <color indexed="81"/>
            <rFont val="돋움"/>
            <family val="3"/>
            <charset val="129"/>
          </rPr>
          <t>제각</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CHANYOUNG-KIM</author>
  </authors>
  <commentList>
    <comment ref="I67" authorId="0" shapeId="0" xr:uid="{00000000-0006-0000-2100-000001000000}">
      <text>
        <r>
          <rPr>
            <b/>
            <sz val="9"/>
            <color indexed="81"/>
            <rFont val="Tahoma"/>
            <family val="2"/>
          </rPr>
          <t>CHANYOUNG-KIM:</t>
        </r>
        <r>
          <rPr>
            <sz val="9"/>
            <color indexed="81"/>
            <rFont val="Tahoma"/>
            <family val="2"/>
          </rPr>
          <t xml:space="preserve">
</t>
        </r>
        <r>
          <rPr>
            <sz val="9"/>
            <color indexed="81"/>
            <rFont val="돋움"/>
            <family val="3"/>
            <charset val="129"/>
          </rPr>
          <t>액츠</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충당금</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설정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CHANYOUNG-KIM</author>
  </authors>
  <commentList>
    <comment ref="I67" authorId="0" shapeId="0" xr:uid="{00000000-0006-0000-2300-000001000000}">
      <text>
        <r>
          <rPr>
            <b/>
            <sz val="9"/>
            <color indexed="81"/>
            <rFont val="Tahoma"/>
            <family val="2"/>
          </rPr>
          <t>CHANYOUNG-KIM:</t>
        </r>
        <r>
          <rPr>
            <sz val="9"/>
            <color indexed="81"/>
            <rFont val="Tahoma"/>
            <family val="2"/>
          </rPr>
          <t xml:space="preserve">
</t>
        </r>
        <r>
          <rPr>
            <sz val="9"/>
            <color indexed="81"/>
            <rFont val="돋움"/>
            <family val="3"/>
            <charset val="129"/>
          </rPr>
          <t>액츠</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충당금</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설정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CHANYOUNG-KIM</author>
  </authors>
  <commentList>
    <comment ref="I67" authorId="0" shapeId="0" xr:uid="{00000000-0006-0000-2500-000001000000}">
      <text>
        <r>
          <rPr>
            <b/>
            <sz val="9"/>
            <color indexed="81"/>
            <rFont val="Tahoma"/>
            <family val="2"/>
          </rPr>
          <t>CHANYOUNG-KIM:</t>
        </r>
        <r>
          <rPr>
            <sz val="9"/>
            <color indexed="81"/>
            <rFont val="Tahoma"/>
            <family val="2"/>
          </rPr>
          <t xml:space="preserve">
</t>
        </r>
        <r>
          <rPr>
            <sz val="9"/>
            <color indexed="81"/>
            <rFont val="돋움"/>
            <family val="3"/>
            <charset val="129"/>
          </rPr>
          <t>액츠</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충당금</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설정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CHANYOUNG-KIM</author>
  </authors>
  <commentList>
    <comment ref="I67" authorId="0" shapeId="0" xr:uid="{00000000-0006-0000-1100-000001000000}">
      <text>
        <r>
          <rPr>
            <b/>
            <sz val="9"/>
            <color indexed="81"/>
            <rFont val="Tahoma"/>
            <family val="2"/>
          </rPr>
          <t>CHANYOUNG-KIM:</t>
        </r>
        <r>
          <rPr>
            <sz val="9"/>
            <color indexed="81"/>
            <rFont val="Tahoma"/>
            <family val="2"/>
          </rPr>
          <t xml:space="preserve">
</t>
        </r>
        <r>
          <rPr>
            <sz val="9"/>
            <color indexed="81"/>
            <rFont val="돋움"/>
            <family val="3"/>
            <charset val="129"/>
          </rPr>
          <t>액츠</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충당금</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설정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CHANYOUNG-KIM</author>
  </authors>
  <commentList>
    <comment ref="I67" authorId="0" shapeId="0" xr:uid="{00000000-0006-0000-1300-000001000000}">
      <text>
        <r>
          <rPr>
            <b/>
            <sz val="9"/>
            <color indexed="81"/>
            <rFont val="Tahoma"/>
            <family val="2"/>
          </rPr>
          <t>CHANYOUNG-KIM:</t>
        </r>
        <r>
          <rPr>
            <sz val="9"/>
            <color indexed="81"/>
            <rFont val="Tahoma"/>
            <family val="2"/>
          </rPr>
          <t xml:space="preserve">
</t>
        </r>
        <r>
          <rPr>
            <sz val="9"/>
            <color indexed="81"/>
            <rFont val="돋움"/>
            <family val="3"/>
            <charset val="129"/>
          </rPr>
          <t>액츠</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충당금</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설정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CHANYOUNG-KIM</author>
  </authors>
  <commentList>
    <comment ref="I67" authorId="0" shapeId="0" xr:uid="{00000000-0006-0000-1500-000001000000}">
      <text>
        <r>
          <rPr>
            <b/>
            <sz val="9"/>
            <color indexed="81"/>
            <rFont val="Tahoma"/>
            <family val="2"/>
          </rPr>
          <t>CHANYOUNG-KIM:</t>
        </r>
        <r>
          <rPr>
            <sz val="9"/>
            <color indexed="81"/>
            <rFont val="Tahoma"/>
            <family val="2"/>
          </rPr>
          <t xml:space="preserve">
</t>
        </r>
        <r>
          <rPr>
            <sz val="9"/>
            <color indexed="81"/>
            <rFont val="돋움"/>
            <family val="3"/>
            <charset val="129"/>
          </rPr>
          <t>액츠</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충당금</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설정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CHANYOUNG-KIM</author>
  </authors>
  <commentList>
    <comment ref="I67" authorId="0" shapeId="0" xr:uid="{00000000-0006-0000-1700-000001000000}">
      <text>
        <r>
          <rPr>
            <b/>
            <sz val="9"/>
            <color indexed="81"/>
            <rFont val="Tahoma"/>
            <family val="2"/>
          </rPr>
          <t>CHANYOUNG-KIM:</t>
        </r>
        <r>
          <rPr>
            <sz val="9"/>
            <color indexed="81"/>
            <rFont val="Tahoma"/>
            <family val="2"/>
          </rPr>
          <t xml:space="preserve">
</t>
        </r>
        <r>
          <rPr>
            <sz val="9"/>
            <color indexed="81"/>
            <rFont val="돋움"/>
            <family val="3"/>
            <charset val="129"/>
          </rPr>
          <t>액츠</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충당금</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설정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CHANYOUNG-KIM</author>
  </authors>
  <commentList>
    <comment ref="I67" authorId="0" shapeId="0" xr:uid="{00000000-0006-0000-1900-000001000000}">
      <text>
        <r>
          <rPr>
            <b/>
            <sz val="9"/>
            <color indexed="81"/>
            <rFont val="Tahoma"/>
            <family val="2"/>
          </rPr>
          <t>CHANYOUNG-KIM:</t>
        </r>
        <r>
          <rPr>
            <sz val="9"/>
            <color indexed="81"/>
            <rFont val="Tahoma"/>
            <family val="2"/>
          </rPr>
          <t xml:space="preserve">
</t>
        </r>
        <r>
          <rPr>
            <sz val="9"/>
            <color indexed="81"/>
            <rFont val="돋움"/>
            <family val="3"/>
            <charset val="129"/>
          </rPr>
          <t>액츠</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충당금</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설정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CHANYOUNG-KIM</author>
  </authors>
  <commentList>
    <comment ref="I67" authorId="0" shapeId="0" xr:uid="{00000000-0006-0000-1B00-000001000000}">
      <text>
        <r>
          <rPr>
            <b/>
            <sz val="9"/>
            <color indexed="81"/>
            <rFont val="Tahoma"/>
            <family val="2"/>
          </rPr>
          <t>CHANYOUNG-KIM:</t>
        </r>
        <r>
          <rPr>
            <sz val="9"/>
            <color indexed="81"/>
            <rFont val="Tahoma"/>
            <family val="2"/>
          </rPr>
          <t xml:space="preserve">
</t>
        </r>
        <r>
          <rPr>
            <sz val="9"/>
            <color indexed="81"/>
            <rFont val="돋움"/>
            <family val="3"/>
            <charset val="129"/>
          </rPr>
          <t>액츠</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충당금</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설정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CHANYOUNG-KIM</author>
  </authors>
  <commentList>
    <comment ref="I67" authorId="0" shapeId="0" xr:uid="{00000000-0006-0000-1D00-000001000000}">
      <text>
        <r>
          <rPr>
            <b/>
            <sz val="9"/>
            <color indexed="81"/>
            <rFont val="Tahoma"/>
            <family val="2"/>
          </rPr>
          <t>CHANYOUNG-KIM:</t>
        </r>
        <r>
          <rPr>
            <sz val="9"/>
            <color indexed="81"/>
            <rFont val="Tahoma"/>
            <family val="2"/>
          </rPr>
          <t xml:space="preserve">
</t>
        </r>
        <r>
          <rPr>
            <sz val="9"/>
            <color indexed="81"/>
            <rFont val="돋움"/>
            <family val="3"/>
            <charset val="129"/>
          </rPr>
          <t>액츠</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충당금</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설정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CHANYOUNG-KIM</author>
  </authors>
  <commentList>
    <comment ref="I67" authorId="0" shapeId="0" xr:uid="{00000000-0006-0000-1F00-000001000000}">
      <text>
        <r>
          <rPr>
            <b/>
            <sz val="9"/>
            <color indexed="81"/>
            <rFont val="Tahoma"/>
            <family val="2"/>
          </rPr>
          <t>CHANYOUNG-KIM:</t>
        </r>
        <r>
          <rPr>
            <sz val="9"/>
            <color indexed="81"/>
            <rFont val="Tahoma"/>
            <family val="2"/>
          </rPr>
          <t xml:space="preserve">
</t>
        </r>
        <r>
          <rPr>
            <sz val="9"/>
            <color indexed="81"/>
            <rFont val="돋움"/>
            <family val="3"/>
            <charset val="129"/>
          </rPr>
          <t>액츠</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충당금</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설정
</t>
        </r>
      </text>
    </comment>
  </commentList>
</comments>
</file>

<file path=xl/sharedStrings.xml><?xml version="1.0" encoding="utf-8"?>
<sst xmlns="http://schemas.openxmlformats.org/spreadsheetml/2006/main" count="3613" uniqueCount="468">
  <si>
    <t>구     분</t>
  </si>
  <si>
    <t>2017.4Q</t>
  </si>
  <si>
    <t>2018.1Q</t>
  </si>
  <si>
    <t>2018.3Q</t>
  </si>
  <si>
    <t>매출채권</t>
  </si>
  <si>
    <t>0~3개월</t>
    <phoneticPr fontId="3" type="noConversion"/>
  </si>
  <si>
    <t>4~6개월</t>
    <phoneticPr fontId="3" type="noConversion"/>
  </si>
  <si>
    <t>7~9개월</t>
    <phoneticPr fontId="3" type="noConversion"/>
  </si>
  <si>
    <t>10~12개월</t>
    <phoneticPr fontId="3" type="noConversion"/>
  </si>
  <si>
    <t>13~15개월</t>
    <phoneticPr fontId="3" type="noConversion"/>
  </si>
  <si>
    <t>16~18개월</t>
    <phoneticPr fontId="3" type="noConversion"/>
  </si>
  <si>
    <t>계</t>
    <phoneticPr fontId="3" type="noConversion"/>
  </si>
  <si>
    <t>3. BS Refer</t>
    <phoneticPr fontId="3" type="noConversion"/>
  </si>
  <si>
    <t>매출채권_[대손충당금]</t>
  </si>
  <si>
    <t>계정코드</t>
    <phoneticPr fontId="6" type="noConversion"/>
  </si>
  <si>
    <t>계정명</t>
    <phoneticPr fontId="6" type="noConversion"/>
  </si>
  <si>
    <t>검증이 0이 되어야 함</t>
    <phoneticPr fontId="6" type="noConversion"/>
  </si>
  <si>
    <t>18개월 초과</t>
    <phoneticPr fontId="3" type="noConversion"/>
  </si>
  <si>
    <t>합산계정</t>
    <phoneticPr fontId="6" type="noConversion"/>
  </si>
  <si>
    <t>실계정</t>
    <phoneticPr fontId="6" type="noConversion"/>
  </si>
  <si>
    <t xml:space="preserve"> - 상기 계산된 대손충당금 금액과 대상 채권금액을 재무제표에 반영하고 BS와의 Refer 검증</t>
    <phoneticPr fontId="3" type="noConversion"/>
  </si>
  <si>
    <t>매출채권 대손충당금 (Accounts Receivable Allowance)</t>
    <phoneticPr fontId="3" type="noConversion"/>
  </si>
  <si>
    <t>수기입력 (Input)</t>
    <phoneticPr fontId="3" type="noConversion"/>
  </si>
  <si>
    <t>자동계산 (Do not input)</t>
    <phoneticPr fontId="3" type="noConversion"/>
  </si>
  <si>
    <t>1. 집합평가 대상 : 개별평가를 하지않은 모든 채권 (Group of assets valuation : All entities without individual valuation)</t>
    <phoneticPr fontId="3" type="noConversion"/>
  </si>
  <si>
    <t>① 부도율 계산 (Probability of default caculation)</t>
    <phoneticPr fontId="3" type="noConversion"/>
  </si>
  <si>
    <t>정     상 (Nomal)</t>
  </si>
  <si>
    <t>정     상 (Nomal)</t>
    <phoneticPr fontId="3" type="noConversion"/>
  </si>
  <si>
    <t>연체 4 ~ 6개월 (Months in arrears 4~6M)</t>
  </si>
  <si>
    <t>연체 7 ~ 9개월 (Months in arrears 7~9M)</t>
  </si>
  <si>
    <t>연체 7 ~ 9개월 (Months in arrears 7~9M)</t>
    <phoneticPr fontId="3" type="noConversion"/>
  </si>
  <si>
    <t>연체 10 ~ 12개월 (Months in arrears 10~12M)</t>
  </si>
  <si>
    <t>연체 10 ~ 12개월 (Months in arrears 10~12M)</t>
    <phoneticPr fontId="3" type="noConversion"/>
  </si>
  <si>
    <t>연체 13 ~ 15개월 (Months in arrears 13~15M)</t>
  </si>
  <si>
    <t>연체 13 ~ 15개월 (Months in arrears 13~15M)</t>
    <phoneticPr fontId="3" type="noConversion"/>
  </si>
  <si>
    <t>연체15개월 초과 (Months in arrears 15M~)</t>
  </si>
  <si>
    <t>2018.2Q</t>
  </si>
  <si>
    <t xml:space="preserve"> =&gt; 집합평가 대손충당금 설정 금액 (Allowance amount by Group of assets valuation)</t>
    <phoneticPr fontId="3" type="noConversion"/>
  </si>
  <si>
    <t>연체  ~ 3개월 (Months in arrears ~3M)</t>
  </si>
  <si>
    <t>연체  ~ 3개월 (Months in arrears ~3M)</t>
    <phoneticPr fontId="3" type="noConversion"/>
  </si>
  <si>
    <r>
      <rPr>
        <b/>
        <sz val="10"/>
        <color theme="1"/>
        <rFont val="맑은 고딕"/>
        <family val="3"/>
        <charset val="129"/>
      </rPr>
      <t>②</t>
    </r>
    <r>
      <rPr>
        <b/>
        <sz val="10"/>
        <color theme="1"/>
        <rFont val="맑은 고딕"/>
        <family val="3"/>
        <charset val="129"/>
        <scheme val="minor"/>
      </rPr>
      <t xml:space="preserve"> 대손충당금 계산 (Allowance caculation)</t>
    </r>
    <phoneticPr fontId="3" type="noConversion"/>
  </si>
  <si>
    <t>계 (Total)</t>
    <phoneticPr fontId="3" type="noConversion"/>
  </si>
  <si>
    <t xml:space="preserve"> - 상기 산출된 부도율에 보고기간말 채권금액(개별평가대상 채권잔액은 제외)을 곱하여 집합평가대상 채권에 대한 대손충당금 산출 (Allowance caculation : Average Prob. Of default multiple All entities without individual valuation)</t>
    <phoneticPr fontId="3" type="noConversion"/>
  </si>
  <si>
    <t xml:space="preserve"> - 전체 채권(집합평가대상 채권 포함)에 대한 기간에 해당하는 연령별 금액을 아래 표에 입력하여 부도율 산출 (Please input All Accounts Receivable's (include individual valuation entities) past due amout below excel table each cell for caculation Probability of default)</t>
    <phoneticPr fontId="3" type="noConversion"/>
  </si>
  <si>
    <t>채권금액(개별평가대상) (amount of individual vaulation)</t>
    <phoneticPr fontId="3" type="noConversion"/>
  </si>
  <si>
    <t>채권금액(집합평가대상) (Amount of Group valuation)</t>
    <phoneticPr fontId="3" type="noConversion"/>
  </si>
  <si>
    <t>부도율 평균 (Average of Default Prob.)</t>
    <phoneticPr fontId="7" type="noConversion"/>
  </si>
  <si>
    <t>대손충당금 평가 (Allowance amount by Group of assets valuation)</t>
    <phoneticPr fontId="7" type="noConversion"/>
  </si>
  <si>
    <t>2. 개별평가 대상 (Allowance : by individual vauation)</t>
    <phoneticPr fontId="3" type="noConversion"/>
  </si>
  <si>
    <t xml:space="preserve"> - 개별평가한 채권금액과 대손충당금 설정금액을 아래 표에 입력 (Please Input Accounts receivables amount and allowance for individual valuation)</t>
    <phoneticPr fontId="3" type="noConversion"/>
  </si>
  <si>
    <t>대손충당금 평가 (Allowance amount of individual vaulation)</t>
    <phoneticPr fontId="7" type="noConversion"/>
  </si>
  <si>
    <t xml:space="preserve"> =&gt; 개별평가 대손충당금 설정 금액(Allowance amount of individual vaulation)</t>
    <phoneticPr fontId="3" type="noConversion"/>
  </si>
  <si>
    <t>검증 verification</t>
    <phoneticPr fontId="6" type="noConversion"/>
  </si>
  <si>
    <t>검증이 0이 되어야 함</t>
    <phoneticPr fontId="6" type="noConversion"/>
  </si>
  <si>
    <t>- 기본가정</t>
    <phoneticPr fontId="3" type="noConversion"/>
  </si>
  <si>
    <t>1년을 초과하여 연체되면 대손율이 100%</t>
    <phoneticPr fontId="3" type="noConversion"/>
  </si>
  <si>
    <t>각 구간의 채권액이 1년을 초과되는 부분을 확률로 계산</t>
    <phoneticPr fontId="3" type="noConversion"/>
  </si>
  <si>
    <t>각 채권은 3개월 단위로 관리된다는 가정</t>
    <phoneticPr fontId="3" type="noConversion"/>
  </si>
  <si>
    <t xml:space="preserve">&gt;&gt;평균전이율 </t>
    <phoneticPr fontId="3" type="noConversion"/>
  </si>
  <si>
    <t>전이율 평균 (Average of Default Prob.)</t>
    <phoneticPr fontId="7" type="noConversion"/>
  </si>
  <si>
    <t>정상채권 전이율 (Roll-rate : Nomal)</t>
    <phoneticPr fontId="6" type="noConversion"/>
  </si>
  <si>
    <t>연체  ~ 3개월 채권 전이율 (Roll-rate : Months in arrears ~3M)</t>
    <phoneticPr fontId="6" type="noConversion"/>
  </si>
  <si>
    <t>연체 4 ~ 6개월 채권 전이율 (Roll-rate : Months in arrears 4~6M)</t>
    <phoneticPr fontId="6" type="noConversion"/>
  </si>
  <si>
    <t>연체 7 ~ 9개월 채권 전이율 (Roll-rate : Months in arrears 7~9M)</t>
    <phoneticPr fontId="6" type="noConversion"/>
  </si>
  <si>
    <t>연체 10 ~ 12개월 채권 전이율 (Roll-rate : Months in arrears 10~12M)</t>
    <phoneticPr fontId="6" type="noConversion"/>
  </si>
  <si>
    <t xml:space="preserve"> - 상기 산출된 전이율에 보고기간말 채권금액(개별평가대상 채권잔액은 제외)을 곱하여 집합평가대상 채권에 대한 대손충당금 산출 (Allowance caculation : Average roll-rate multiple All entities without individual valuation)</t>
    <phoneticPr fontId="3" type="noConversion"/>
  </si>
  <si>
    <t>① 전이율 계산 (Roll-rate caculation)</t>
    <phoneticPr fontId="3" type="noConversion"/>
  </si>
  <si>
    <t>부도율 산정을 위한 대상기간은 36개월(3년)으로 함</t>
    <phoneticPr fontId="3" type="noConversion"/>
  </si>
  <si>
    <t>정상회수기간은 3개월로 함(3개월을 초과할 경우 연체로 정의)</t>
    <phoneticPr fontId="3" type="noConversion"/>
  </si>
  <si>
    <t>15개월 초과하는 경우는 부도율/전이율 평균은 100%로 적용</t>
    <phoneticPr fontId="3" type="noConversion"/>
  </si>
  <si>
    <t>2018.4Q</t>
  </si>
  <si>
    <t>2019.1Q</t>
  </si>
  <si>
    <t>2019.2Q</t>
  </si>
  <si>
    <t>2020.1Q</t>
  </si>
  <si>
    <t>2020.2Q</t>
  </si>
  <si>
    <t>2019.3Q</t>
  </si>
  <si>
    <t>2019.4Q</t>
  </si>
  <si>
    <t>2020.3Q</t>
    <phoneticPr fontId="3" type="noConversion"/>
  </si>
  <si>
    <t>전기</t>
    <phoneticPr fontId="25" type="noConversion"/>
  </si>
  <si>
    <t>3분기</t>
    <phoneticPr fontId="25" type="noConversion"/>
  </si>
  <si>
    <t>2분기</t>
    <phoneticPr fontId="25" type="noConversion"/>
  </si>
  <si>
    <t>제각</t>
    <phoneticPr fontId="25" type="noConversion"/>
  </si>
  <si>
    <t>설정(환입)</t>
    <phoneticPr fontId="25" type="noConversion"/>
  </si>
  <si>
    <t>구분</t>
    <phoneticPr fontId="25" type="noConversion"/>
  </si>
  <si>
    <t>대손충당금(당기)</t>
    <phoneticPr fontId="25" type="noConversion"/>
  </si>
  <si>
    <t>별도(100%)</t>
    <phoneticPr fontId="25" type="noConversion"/>
  </si>
  <si>
    <t>엘케이전자</t>
  </si>
  <si>
    <t>세인</t>
  </si>
  <si>
    <t>케이알엘이디</t>
  </si>
  <si>
    <t>파워라이텍</t>
  </si>
  <si>
    <t>광은</t>
  </si>
  <si>
    <t>정     상 (Nomal)</t>
    <phoneticPr fontId="3" type="noConversion"/>
  </si>
  <si>
    <t>연체 4 ~ 6개월 (Months in arrears 4~6M)</t>
    <phoneticPr fontId="3" type="noConversion"/>
  </si>
  <si>
    <t>연체15개월 초과 (Months in arrears 15M~)</t>
    <phoneticPr fontId="3" type="noConversion"/>
  </si>
  <si>
    <t>채권금액(전체) All Amount</t>
    <phoneticPr fontId="3" type="noConversion"/>
  </si>
  <si>
    <t>채권금액(개별평가대상) (Accounts receivables amount of individual vaulation)</t>
    <phoneticPr fontId="3" type="noConversion"/>
  </si>
  <si>
    <t>대손충당금 평가 (Allowance amount of individual vaulation)</t>
    <phoneticPr fontId="7" type="noConversion"/>
  </si>
  <si>
    <t>계정코드</t>
    <phoneticPr fontId="6" type="noConversion"/>
  </si>
  <si>
    <t>금액(당분기말) Amount</t>
    <phoneticPr fontId="6" type="noConversion"/>
  </si>
  <si>
    <t>검증 verification</t>
    <phoneticPr fontId="6" type="noConversion"/>
  </si>
  <si>
    <t>1110310/1110320</t>
    <phoneticPr fontId="3" type="noConversion"/>
  </si>
  <si>
    <t>매출채권(총액)</t>
    <phoneticPr fontId="6" type="noConversion"/>
  </si>
  <si>
    <t>정상채권 부도율 (Prob. of default : Nomal)</t>
    <phoneticPr fontId="6" type="noConversion"/>
  </si>
  <si>
    <t>연체  ~ 3개월 채권 부도율 (Prob. of default : Months in arrears ~3M)</t>
    <phoneticPr fontId="6" type="noConversion"/>
  </si>
  <si>
    <t>연체 4 ~ 6개월 채권 부도율 (Prob. of default : Months in arrears 4~6M)</t>
    <phoneticPr fontId="6" type="noConversion"/>
  </si>
  <si>
    <t>연체 7 ~ 9개월 채권 부도율 (Prob. of default : Months in arrears 7~9M)</t>
    <phoneticPr fontId="6" type="noConversion"/>
  </si>
  <si>
    <t>연체 10 ~ 12개월 채권 부도율 (Prob. of default : Months in arrears 10~12M)</t>
    <phoneticPr fontId="6" type="noConversion"/>
  </si>
  <si>
    <t>채권금액(개별평가대상) (Accounts receivables amount of individual vaulation)</t>
    <phoneticPr fontId="3" type="noConversion"/>
  </si>
  <si>
    <t>금액(당분기말) Amount</t>
    <phoneticPr fontId="6" type="noConversion"/>
  </si>
  <si>
    <t>매출채권(총액)</t>
    <phoneticPr fontId="6" type="noConversion"/>
  </si>
  <si>
    <t>Step 1</t>
    <phoneticPr fontId="25" type="noConversion"/>
  </si>
  <si>
    <t>Balance Information</t>
    <phoneticPr fontId="25" type="noConversion"/>
  </si>
  <si>
    <t>1. 국내</t>
    <phoneticPr fontId="25" type="noConversion"/>
  </si>
  <si>
    <t>Classification</t>
    <phoneticPr fontId="25" type="noConversion"/>
  </si>
  <si>
    <t>2015년 12월</t>
  </si>
  <si>
    <t>2016년 12월</t>
  </si>
  <si>
    <t>2017년 12월</t>
  </si>
  <si>
    <t>2018년 12월</t>
  </si>
  <si>
    <t>2019년 12월</t>
    <phoneticPr fontId="25" type="noConversion"/>
  </si>
  <si>
    <t>1년이내</t>
    <phoneticPr fontId="25" type="noConversion"/>
  </si>
  <si>
    <t>1년초과 2년이내</t>
    <phoneticPr fontId="25" type="noConversion"/>
  </si>
  <si>
    <t>2년초과</t>
    <phoneticPr fontId="25" type="noConversion"/>
  </si>
  <si>
    <t>과거 대손 설정율</t>
    <phoneticPr fontId="25" type="noConversion"/>
  </si>
  <si>
    <t>2. 외화</t>
    <phoneticPr fontId="25" type="noConversion"/>
  </si>
  <si>
    <t>2019년 12월</t>
  </si>
  <si>
    <t>1년이내</t>
  </si>
  <si>
    <t>1년초과 2년이내</t>
  </si>
  <si>
    <t>2년초과</t>
  </si>
  <si>
    <t>Step 2</t>
    <phoneticPr fontId="25" type="noConversion"/>
  </si>
  <si>
    <t>충당금 차이 분석</t>
    <phoneticPr fontId="25" type="noConversion"/>
  </si>
  <si>
    <t>국내매출채권 금액</t>
    <phoneticPr fontId="25" type="noConversion"/>
  </si>
  <si>
    <t>적립율</t>
    <phoneticPr fontId="25" type="noConversion"/>
  </si>
  <si>
    <t>대손충당금</t>
    <phoneticPr fontId="25" type="noConversion"/>
  </si>
  <si>
    <t>별도(100%)</t>
    <phoneticPr fontId="25" type="noConversion"/>
  </si>
  <si>
    <t>구분</t>
    <phoneticPr fontId="25" type="noConversion"/>
  </si>
  <si>
    <t>대손충당금(당기)</t>
    <phoneticPr fontId="25" type="noConversion"/>
  </si>
  <si>
    <t>1년이내</t>
    <phoneticPr fontId="25" type="noConversion"/>
  </si>
  <si>
    <t>1분기</t>
    <phoneticPr fontId="25" type="noConversion"/>
  </si>
  <si>
    <t>2년초과</t>
    <phoneticPr fontId="25" type="noConversion"/>
  </si>
  <si>
    <t>설정(환입)</t>
    <phoneticPr fontId="25" type="noConversion"/>
  </si>
  <si>
    <t>Classification</t>
    <phoneticPr fontId="25" type="noConversion"/>
  </si>
  <si>
    <t>외화매출채권 금액</t>
    <phoneticPr fontId="25" type="noConversion"/>
  </si>
  <si>
    <t>적립율</t>
    <phoneticPr fontId="25" type="noConversion"/>
  </si>
  <si>
    <t>Step 3</t>
    <phoneticPr fontId="25" type="noConversion"/>
  </si>
  <si>
    <t>어음채권 별도분석</t>
    <phoneticPr fontId="25" type="noConversion"/>
  </si>
  <si>
    <t>1. 기준일 장부가액</t>
    <phoneticPr fontId="25" type="noConversion"/>
  </si>
  <si>
    <t>받을어음</t>
    <phoneticPr fontId="25" type="noConversion"/>
  </si>
  <si>
    <t>배서어음(IFRS 수정)</t>
    <phoneticPr fontId="25" type="noConversion"/>
  </si>
  <si>
    <t>받을어음잔액</t>
    <phoneticPr fontId="25" type="noConversion"/>
  </si>
  <si>
    <t>2. 평균부도율</t>
    <phoneticPr fontId="25" type="noConversion"/>
  </si>
  <si>
    <t>기준일</t>
    <phoneticPr fontId="25" type="noConversion"/>
  </si>
  <si>
    <t>받을어음</t>
    <phoneticPr fontId="25" type="noConversion"/>
  </si>
  <si>
    <t>부도어음</t>
    <phoneticPr fontId="25" type="noConversion"/>
  </si>
  <si>
    <t>평균부도율</t>
    <phoneticPr fontId="25" type="noConversion"/>
  </si>
  <si>
    <t>17.4Q</t>
  </si>
  <si>
    <t>18.1Q</t>
  </si>
  <si>
    <t>18.2Q</t>
  </si>
  <si>
    <t>18.3Q</t>
  </si>
  <si>
    <t>18.4Q</t>
  </si>
  <si>
    <t>19.1Q</t>
  </si>
  <si>
    <t>19.2Q</t>
  </si>
  <si>
    <t>19.3Q</t>
  </si>
  <si>
    <t>19.4Q</t>
  </si>
  <si>
    <t>20.1Q</t>
    <phoneticPr fontId="25" type="noConversion"/>
  </si>
  <si>
    <t>합계</t>
    <phoneticPr fontId="25" type="noConversion"/>
  </si>
  <si>
    <t>3. 담보율 반영</t>
    <phoneticPr fontId="25" type="noConversion"/>
  </si>
  <si>
    <t>부도어음잔액</t>
    <phoneticPr fontId="25" type="noConversion"/>
  </si>
  <si>
    <t>차감담보금액</t>
    <phoneticPr fontId="25" type="noConversion"/>
  </si>
  <si>
    <t>담보율</t>
    <phoneticPr fontId="25" type="noConversion"/>
  </si>
  <si>
    <t>4. 부도후 회수율</t>
    <phoneticPr fontId="25" type="noConversion"/>
  </si>
  <si>
    <t>부도어음번호</t>
    <phoneticPr fontId="25" type="noConversion"/>
  </si>
  <si>
    <t>부도금액</t>
    <phoneticPr fontId="25" type="noConversion"/>
  </si>
  <si>
    <t>회수금액(1년)</t>
    <phoneticPr fontId="25" type="noConversion"/>
  </si>
  <si>
    <t>회수율</t>
    <phoneticPr fontId="25" type="noConversion"/>
  </si>
  <si>
    <t>손실율</t>
    <phoneticPr fontId="25" type="noConversion"/>
  </si>
  <si>
    <t>5. 충당금 산출</t>
    <phoneticPr fontId="25" type="noConversion"/>
  </si>
  <si>
    <t>구분</t>
    <phoneticPr fontId="25" type="noConversion"/>
  </si>
  <si>
    <t>금액</t>
    <phoneticPr fontId="25" type="noConversion"/>
  </si>
  <si>
    <t>부도율</t>
    <phoneticPr fontId="25" type="noConversion"/>
  </si>
  <si>
    <t>1차손상차손</t>
  </si>
  <si>
    <t>(1-평균담보율)</t>
  </si>
  <si>
    <t>2차손상차손</t>
  </si>
  <si>
    <t>가중평균손실율</t>
  </si>
  <si>
    <t>대손충당금</t>
  </si>
  <si>
    <t>Balance Information</t>
    <phoneticPr fontId="25" type="noConversion"/>
  </si>
  <si>
    <t>2014년 12월</t>
  </si>
  <si>
    <t>2018년 12월</t>
    <phoneticPr fontId="25" type="noConversion"/>
  </si>
  <si>
    <t>2년초과</t>
    <phoneticPr fontId="25" type="noConversion"/>
  </si>
  <si>
    <t>과거 대손 설정율</t>
    <phoneticPr fontId="25" type="noConversion"/>
  </si>
  <si>
    <t>2. 외화</t>
    <phoneticPr fontId="25" type="noConversion"/>
  </si>
  <si>
    <t>2018년 12월</t>
    <phoneticPr fontId="25" type="noConversion"/>
  </si>
  <si>
    <t>국내매출채권 금액</t>
    <phoneticPr fontId="25" type="noConversion"/>
  </si>
  <si>
    <t>적립율</t>
    <phoneticPr fontId="25" type="noConversion"/>
  </si>
  <si>
    <t>대손충당금</t>
    <phoneticPr fontId="25" type="noConversion"/>
  </si>
  <si>
    <t>대손충당금(당기)</t>
    <phoneticPr fontId="25" type="noConversion"/>
  </si>
  <si>
    <t>1년이내</t>
    <phoneticPr fontId="25" type="noConversion"/>
  </si>
  <si>
    <t>3분기</t>
    <phoneticPr fontId="25" type="noConversion"/>
  </si>
  <si>
    <t>1년초과 2년이내</t>
    <phoneticPr fontId="25" type="noConversion"/>
  </si>
  <si>
    <t>2분기</t>
    <phoneticPr fontId="25" type="noConversion"/>
  </si>
  <si>
    <t>일진엘이디</t>
  </si>
  <si>
    <t>설정(환입)</t>
    <phoneticPr fontId="25" type="noConversion"/>
  </si>
  <si>
    <t>Classification</t>
    <phoneticPr fontId="25" type="noConversion"/>
  </si>
  <si>
    <t>외화매출채권 금액</t>
    <phoneticPr fontId="25" type="noConversion"/>
  </si>
  <si>
    <t>대손충당금</t>
    <phoneticPr fontId="25" type="noConversion"/>
  </si>
  <si>
    <t>1년이내</t>
    <phoneticPr fontId="25" type="noConversion"/>
  </si>
  <si>
    <t>Step 3</t>
    <phoneticPr fontId="25" type="noConversion"/>
  </si>
  <si>
    <t>어음채권 별도분석</t>
    <phoneticPr fontId="25" type="noConversion"/>
  </si>
  <si>
    <t>1. 기준일 장부가액</t>
    <phoneticPr fontId="25" type="noConversion"/>
  </si>
  <si>
    <t>받을어음</t>
    <phoneticPr fontId="25" type="noConversion"/>
  </si>
  <si>
    <t>배서어음(IFRS 수정)</t>
    <phoneticPr fontId="25" type="noConversion"/>
  </si>
  <si>
    <t>받을어음잔액</t>
    <phoneticPr fontId="25" type="noConversion"/>
  </si>
  <si>
    <t>2. 평균부도율</t>
    <phoneticPr fontId="25" type="noConversion"/>
  </si>
  <si>
    <t>기준일</t>
    <phoneticPr fontId="25" type="noConversion"/>
  </si>
  <si>
    <t>부도어음</t>
    <phoneticPr fontId="25" type="noConversion"/>
  </si>
  <si>
    <t>평균부도율</t>
    <phoneticPr fontId="25" type="noConversion"/>
  </si>
  <si>
    <t>17.1Q</t>
  </si>
  <si>
    <t>17.2Q</t>
  </si>
  <si>
    <t>17.3Q</t>
  </si>
  <si>
    <t>19.2Q</t>
    <phoneticPr fontId="25" type="noConversion"/>
  </si>
  <si>
    <t>부도어음잔액</t>
    <phoneticPr fontId="25" type="noConversion"/>
  </si>
  <si>
    <t>차감담보금액</t>
    <phoneticPr fontId="25" type="noConversion"/>
  </si>
  <si>
    <t>담보율</t>
    <phoneticPr fontId="25" type="noConversion"/>
  </si>
  <si>
    <t>4. 부도후 회수율</t>
    <phoneticPr fontId="25" type="noConversion"/>
  </si>
  <si>
    <t>부도어음번호</t>
    <phoneticPr fontId="25" type="noConversion"/>
  </si>
  <si>
    <t>회수금액(1년)</t>
    <phoneticPr fontId="25" type="noConversion"/>
  </si>
  <si>
    <t>회수율</t>
    <phoneticPr fontId="25" type="noConversion"/>
  </si>
  <si>
    <t>손실율</t>
    <phoneticPr fontId="25" type="noConversion"/>
  </si>
  <si>
    <t>5. 충당금 산출</t>
    <phoneticPr fontId="25" type="noConversion"/>
  </si>
  <si>
    <t>Step 1</t>
    <phoneticPr fontId="25" type="noConversion"/>
  </si>
  <si>
    <t>Balance Information</t>
    <phoneticPr fontId="25" type="noConversion"/>
  </si>
  <si>
    <t>1년이내</t>
    <phoneticPr fontId="25" type="noConversion"/>
  </si>
  <si>
    <t>2. 외화</t>
    <phoneticPr fontId="25" type="noConversion"/>
  </si>
  <si>
    <t>1년초과 2년이내</t>
    <phoneticPr fontId="25" type="noConversion"/>
  </si>
  <si>
    <t>4분기</t>
    <phoneticPr fontId="25" type="noConversion"/>
  </si>
  <si>
    <t>제각</t>
    <phoneticPr fontId="25" type="noConversion"/>
  </si>
  <si>
    <t>Classification</t>
    <phoneticPr fontId="25" type="noConversion"/>
  </si>
  <si>
    <t>외화매출채권 금액</t>
    <phoneticPr fontId="25" type="noConversion"/>
  </si>
  <si>
    <t>1년초과 2년이내</t>
    <phoneticPr fontId="25" type="noConversion"/>
  </si>
  <si>
    <t>2년초과</t>
    <phoneticPr fontId="25" type="noConversion"/>
  </si>
  <si>
    <t>1. 기준일 장부가액</t>
    <phoneticPr fontId="25" type="noConversion"/>
  </si>
  <si>
    <t>평균부도율</t>
    <phoneticPr fontId="25" type="noConversion"/>
  </si>
  <si>
    <t>19.4Q</t>
    <phoneticPr fontId="25" type="noConversion"/>
  </si>
  <si>
    <t>담보율</t>
    <phoneticPr fontId="25" type="noConversion"/>
  </si>
  <si>
    <t>회수율</t>
    <phoneticPr fontId="25" type="noConversion"/>
  </si>
  <si>
    <t>손실율</t>
    <phoneticPr fontId="25" type="noConversion"/>
  </si>
  <si>
    <t>5. 충당금 산출</t>
    <phoneticPr fontId="25" type="noConversion"/>
  </si>
  <si>
    <t>2020.3Q</t>
  </si>
  <si>
    <t>2020.3Q</t>
    <phoneticPr fontId="3" type="noConversion"/>
  </si>
  <si>
    <t>1년을 초과하여 연체되면 대손율이 100%</t>
    <phoneticPr fontId="3" type="noConversion"/>
  </si>
  <si>
    <t>각 구간의 채권액이 1년을 초과되는 부분을 확률로 계산</t>
    <phoneticPr fontId="3" type="noConversion"/>
  </si>
  <si>
    <t>각 채권은 3개월 단위로 관리된다는 가정</t>
    <phoneticPr fontId="3" type="noConversion"/>
  </si>
  <si>
    <t>매출채권 대손충당금 (Accounts Receivable Allowance)</t>
    <phoneticPr fontId="3" type="noConversion"/>
  </si>
  <si>
    <t>매출채권 대손충당금 (Accounts Receivable Allowance)</t>
    <phoneticPr fontId="3" type="noConversion"/>
  </si>
  <si>
    <t>1. 집합평가 대상 : 개별평가를 하지않은 모든 채권 (Group of assets valuation : All entities without individual valuation)</t>
    <phoneticPr fontId="3" type="noConversion"/>
  </si>
  <si>
    <t>① 부도율 계산 (Probability of default caculation)</t>
    <phoneticPr fontId="3" type="noConversion"/>
  </si>
  <si>
    <t xml:space="preserve"> - 전체 채권(집합평가대상 채권 포함)에 대한 기간에 해당하는 연령별 금액을 아래 표에 입력하여 부도율 산출 (Please input All Accounts Receivable's (include individual valuation entities) past due amout below excel table each cell for caculation Probability of default)</t>
    <phoneticPr fontId="3" type="noConversion"/>
  </si>
  <si>
    <t>2017.3Q</t>
  </si>
  <si>
    <t>0~3개월</t>
    <phoneticPr fontId="3" type="noConversion"/>
  </si>
  <si>
    <t>정     상 (Nomal)</t>
    <phoneticPr fontId="3" type="noConversion"/>
  </si>
  <si>
    <t>4~6개월</t>
    <phoneticPr fontId="3" type="noConversion"/>
  </si>
  <si>
    <t>연체  ~ 3개월 (Months in arrears ~3M)</t>
    <phoneticPr fontId="3" type="noConversion"/>
  </si>
  <si>
    <t>연체 4 ~ 6개월 (Months in arrears 4~6M)</t>
    <phoneticPr fontId="3" type="noConversion"/>
  </si>
  <si>
    <t>10~12개월</t>
    <phoneticPr fontId="3" type="noConversion"/>
  </si>
  <si>
    <t>연체 7 ~ 9개월 (Months in arrears 7~9M)</t>
    <phoneticPr fontId="3" type="noConversion"/>
  </si>
  <si>
    <t>연체 7 ~ 9개월 (Months in arrears 7~9M)</t>
    <phoneticPr fontId="3" type="noConversion"/>
  </si>
  <si>
    <t>13~15개월</t>
    <phoneticPr fontId="3" type="noConversion"/>
  </si>
  <si>
    <t>연체 10 ~ 12개월 (Months in arrears 10~12M)</t>
    <phoneticPr fontId="3" type="noConversion"/>
  </si>
  <si>
    <t>연체 13 ~ 15개월 (Months in arrears 13~15M)</t>
    <phoneticPr fontId="3" type="noConversion"/>
  </si>
  <si>
    <t>18개월 초과</t>
    <phoneticPr fontId="3" type="noConversion"/>
  </si>
  <si>
    <t>연체15개월 초과 (Months in arrears 15M~)</t>
    <phoneticPr fontId="3" type="noConversion"/>
  </si>
  <si>
    <t>정상채권 부도율 (Prob. of default : Nomal)</t>
    <phoneticPr fontId="6" type="noConversion"/>
  </si>
  <si>
    <t>연체  ~ 3개월 채권 부도율 (Prob. of default : Months in arrears ~3M)</t>
    <phoneticPr fontId="6" type="noConversion"/>
  </si>
  <si>
    <t>연체 4 ~ 6개월 채권 부도율 (Prob. of default : Months in arrears 4~6M)</t>
    <phoneticPr fontId="6" type="noConversion"/>
  </si>
  <si>
    <t>연체 7 ~ 9개월 채권 부도율 (Prob. of default : Months in arrears 7~9M)</t>
    <phoneticPr fontId="6" type="noConversion"/>
  </si>
  <si>
    <t>연체 10 ~ 12개월 채권 부도율 (Prob. of default : Months in arrears 10~12M)</t>
    <phoneticPr fontId="6" type="noConversion"/>
  </si>
  <si>
    <r>
      <rPr>
        <b/>
        <sz val="10"/>
        <color theme="1"/>
        <rFont val="맑은 고딕"/>
        <family val="3"/>
        <charset val="129"/>
      </rPr>
      <t>②</t>
    </r>
    <r>
      <rPr>
        <b/>
        <sz val="10"/>
        <color theme="1"/>
        <rFont val="맑은 고딕"/>
        <family val="3"/>
        <charset val="129"/>
        <scheme val="minor"/>
      </rPr>
      <t xml:space="preserve"> 대손충당금 계산 (Allowance caculation)</t>
    </r>
    <phoneticPr fontId="3" type="noConversion"/>
  </si>
  <si>
    <t xml:space="preserve"> - 상기 산출된 부도율에 보고기간말 채권금액(개별평가대상 채권잔액은 제외)을 곱하여 집합평가대상 채권에 대한 대손충당금 산출 (Allowance caculation : Average Prob. Of default multiple All entities without individual valuation)</t>
    <phoneticPr fontId="3" type="noConversion"/>
  </si>
  <si>
    <t>채권금액(전체) All Amount</t>
    <phoneticPr fontId="3" type="noConversion"/>
  </si>
  <si>
    <t>채권금액(개별평가대상) (amount of individual vaulation)</t>
    <phoneticPr fontId="3" type="noConversion"/>
  </si>
  <si>
    <t>채권금액(집합평가대상) (Amount of Group valuation)</t>
    <phoneticPr fontId="3" type="noConversion"/>
  </si>
  <si>
    <t>대손충당금 평가 (Allowance amount by Group of assets valuation)</t>
    <phoneticPr fontId="7" type="noConversion"/>
  </si>
  <si>
    <t>계 (Total)</t>
    <phoneticPr fontId="3" type="noConversion"/>
  </si>
  <si>
    <t xml:space="preserve"> =&gt; 집합평가 대손충당금 설정 금액 (Allowance amount by Group of assets valuation)</t>
    <phoneticPr fontId="3" type="noConversion"/>
  </si>
  <si>
    <t xml:space="preserve"> =&gt; 집합평가 대손충당금 설정 금액 (Allowance amount by Group of assets valuation)</t>
    <phoneticPr fontId="3" type="noConversion"/>
  </si>
  <si>
    <t>2. 개별평가 대상 (Allowance : by individual vauation)</t>
    <phoneticPr fontId="3" type="noConversion"/>
  </si>
  <si>
    <t xml:space="preserve"> - 개별평가한 채권금액과 대손충당금 설정금액을 아래 표에 입력 (Please Input Accounts receivables amount and allowance for individual valuation)</t>
    <phoneticPr fontId="3" type="noConversion"/>
  </si>
  <si>
    <t>채권금액(개별평가대상) (Accounts receivables amount of individual vaulation)</t>
    <phoneticPr fontId="3" type="noConversion"/>
  </si>
  <si>
    <t>대손충당금 평가 (Allowance amount of individual vaulation)</t>
    <phoneticPr fontId="7" type="noConversion"/>
  </si>
  <si>
    <t>계</t>
    <phoneticPr fontId="3" type="noConversion"/>
  </si>
  <si>
    <t xml:space="preserve"> =&gt; 개별평가 대손충당금 설정 금액(Allowance amount of individual vaulation)</t>
    <phoneticPr fontId="3" type="noConversion"/>
  </si>
  <si>
    <t>3. BS Refer</t>
    <phoneticPr fontId="3" type="noConversion"/>
  </si>
  <si>
    <t>계정코드</t>
    <phoneticPr fontId="6" type="noConversion"/>
  </si>
  <si>
    <t>금액(당분기말) Amount</t>
    <phoneticPr fontId="6" type="noConversion"/>
  </si>
  <si>
    <t>합산계정</t>
    <phoneticPr fontId="6" type="noConversion"/>
  </si>
  <si>
    <t>1110310/1110320</t>
    <phoneticPr fontId="3" type="noConversion"/>
  </si>
  <si>
    <t>실계정</t>
    <phoneticPr fontId="6" type="noConversion"/>
  </si>
  <si>
    <t>검증이 0이 되어야 함</t>
    <phoneticPr fontId="6" type="noConversion"/>
  </si>
  <si>
    <t>매출채권(총액)</t>
    <phoneticPr fontId="6" type="noConversion"/>
  </si>
  <si>
    <t>1. 집합평가 대상 : 개별평가를 하지않은 모든 채권 (Group of assets valuation : All entities without individual valuation)</t>
    <phoneticPr fontId="3" type="noConversion"/>
  </si>
  <si>
    <t xml:space="preserve"> - 전체 채권(집합평가대상 채권 포함)에 대한 기간에 해당하는 연령별 금액을 아래 표에 입력하여 부도율 산출 (Please input All Accounts Receivable's (include individual valuation entities) past due amout below excel table each cell for caculation Probability of default)</t>
    <phoneticPr fontId="3" type="noConversion"/>
  </si>
  <si>
    <t>연체  ~ 3개월 (Months in arrears ~3M)</t>
    <phoneticPr fontId="3" type="noConversion"/>
  </si>
  <si>
    <t>연체 4 ~ 6개월 (Months in arrears 4~6M)</t>
    <phoneticPr fontId="3" type="noConversion"/>
  </si>
  <si>
    <t>연체 10 ~ 12개월 (Months in arrears 10~12M)</t>
    <phoneticPr fontId="3" type="noConversion"/>
  </si>
  <si>
    <t>연체 13 ~ 15개월 (Months in arrears 13~15M)</t>
    <phoneticPr fontId="3" type="noConversion"/>
  </si>
  <si>
    <t>연체15개월 초과 (Months in arrears 15M~)</t>
    <phoneticPr fontId="3" type="noConversion"/>
  </si>
  <si>
    <t>정상채권 전이율 (Roll-rate : Nomal)</t>
    <phoneticPr fontId="6" type="noConversion"/>
  </si>
  <si>
    <t>연체 4 ~ 6개월 채권 전이율 (Roll-rate : Months in arrears 4~6M)</t>
    <phoneticPr fontId="6" type="noConversion"/>
  </si>
  <si>
    <t>연체 10 ~ 12개월 채권 전이율 (Roll-rate : Months in arrears 10~12M)</t>
    <phoneticPr fontId="6" type="noConversion"/>
  </si>
  <si>
    <t xml:space="preserve"> - 상기 산출된 전이율에 보고기간말 채권금액(개별평가대상 채권잔액은 제외)을 곱하여 집합평가대상 채권에 대한 대손충당금 산출 (Allowance caculation : Average roll-rate multiple All entities without individual valuation)</t>
    <phoneticPr fontId="3" type="noConversion"/>
  </si>
  <si>
    <t>전이율 평균 (Average of Default Prob.)</t>
    <phoneticPr fontId="7" type="noConversion"/>
  </si>
  <si>
    <t>계 (Total)</t>
    <phoneticPr fontId="3" type="noConversion"/>
  </si>
  <si>
    <t>대손충당금 평가 (Allowance amount of individual vaulation)</t>
    <phoneticPr fontId="7" type="noConversion"/>
  </si>
  <si>
    <t>계정코드</t>
    <phoneticPr fontId="6" type="noConversion"/>
  </si>
  <si>
    <t>2020.4Q</t>
    <phoneticPr fontId="3" type="noConversion"/>
  </si>
  <si>
    <t>Classification</t>
    <phoneticPr fontId="25" type="noConversion"/>
  </si>
  <si>
    <t>1년이내</t>
    <phoneticPr fontId="25" type="noConversion"/>
  </si>
  <si>
    <t>1년초과 2년이내</t>
    <phoneticPr fontId="25" type="noConversion"/>
  </si>
  <si>
    <t>2년초과</t>
    <phoneticPr fontId="25" type="noConversion"/>
  </si>
  <si>
    <t>2018년 12월</t>
    <phoneticPr fontId="25" type="noConversion"/>
  </si>
  <si>
    <t>국내매출채권 금액</t>
    <phoneticPr fontId="25" type="noConversion"/>
  </si>
  <si>
    <t>대손충당금</t>
    <phoneticPr fontId="25" type="noConversion"/>
  </si>
  <si>
    <t>Classification</t>
    <phoneticPr fontId="25" type="noConversion"/>
  </si>
  <si>
    <t>적립율</t>
    <phoneticPr fontId="25" type="noConversion"/>
  </si>
  <si>
    <t>2년초과</t>
    <phoneticPr fontId="25" type="noConversion"/>
  </si>
  <si>
    <t>받을어음잔액</t>
    <phoneticPr fontId="25" type="noConversion"/>
  </si>
  <si>
    <t>2. 평균부도율</t>
    <phoneticPr fontId="25" type="noConversion"/>
  </si>
  <si>
    <t>기준일</t>
    <phoneticPr fontId="25" type="noConversion"/>
  </si>
  <si>
    <t>3. 담보율 반영</t>
    <phoneticPr fontId="25" type="noConversion"/>
  </si>
  <si>
    <t>담보율</t>
    <phoneticPr fontId="25" type="noConversion"/>
  </si>
  <si>
    <t>부도어음번호</t>
    <phoneticPr fontId="25" type="noConversion"/>
  </si>
  <si>
    <t>구분</t>
    <phoneticPr fontId="25" type="noConversion"/>
  </si>
  <si>
    <t>금액</t>
    <phoneticPr fontId="25" type="noConversion"/>
  </si>
  <si>
    <t>수기입력 (Input)</t>
    <phoneticPr fontId="3" type="noConversion"/>
  </si>
  <si>
    <t xml:space="preserve"> - 전체 채권(집합평가대상 채권 포함)에 대한 기간에 해당하는 연령별 금액을 아래 표에 입력하여 부도율 산출 (Please input All Accounts Receivable's (include individual valuation entities) past due amout below excel table each cell for caculation Probability of default)</t>
    <phoneticPr fontId="3" type="noConversion"/>
  </si>
  <si>
    <t>정     상 (Nomal)</t>
    <phoneticPr fontId="3" type="noConversion"/>
  </si>
  <si>
    <t>연체 10 ~ 12개월 채권 전이율 (Roll-rate : Months in arrears 10~12M)</t>
    <phoneticPr fontId="6" type="noConversion"/>
  </si>
  <si>
    <r>
      <rPr>
        <b/>
        <sz val="10"/>
        <color theme="1"/>
        <rFont val="맑은 고딕"/>
        <family val="3"/>
        <charset val="129"/>
      </rPr>
      <t>②</t>
    </r>
    <r>
      <rPr>
        <b/>
        <sz val="10"/>
        <color theme="1"/>
        <rFont val="맑은 고딕"/>
        <family val="3"/>
        <charset val="129"/>
        <scheme val="minor"/>
      </rPr>
      <t xml:space="preserve"> 대손충당금 계산 (Allowance caculation)</t>
    </r>
    <phoneticPr fontId="3" type="noConversion"/>
  </si>
  <si>
    <t>채권금액(전체) All Amount</t>
    <phoneticPr fontId="3" type="noConversion"/>
  </si>
  <si>
    <t>계 (Total)</t>
    <phoneticPr fontId="3" type="noConversion"/>
  </si>
  <si>
    <t xml:space="preserve"> =&gt; 집합평가 대손충당금 설정 금액 (Allowance amount by Group of assets valuation)</t>
    <phoneticPr fontId="3" type="noConversion"/>
  </si>
  <si>
    <t>2. 개별평가 대상 (Allowance : by individual vauation)</t>
    <phoneticPr fontId="3" type="noConversion"/>
  </si>
  <si>
    <t>채권금액(개별평가대상) (Accounts receivables amount of individual vaulation)</t>
    <phoneticPr fontId="3" type="noConversion"/>
  </si>
  <si>
    <t>계</t>
    <phoneticPr fontId="3" type="noConversion"/>
  </si>
  <si>
    <t xml:space="preserve"> =&gt; 개별평가 대손충당금 설정 금액(Allowance amount of individual vaulation)</t>
    <phoneticPr fontId="3" type="noConversion"/>
  </si>
  <si>
    <t>3. BS Refer</t>
    <phoneticPr fontId="3" type="noConversion"/>
  </si>
  <si>
    <t xml:space="preserve"> - 상기 계산된 대손충당금 금액과 대상 채권금액을 재무제표에 반영하고 BS와의 Refer 검증</t>
    <phoneticPr fontId="3" type="noConversion"/>
  </si>
  <si>
    <t>구분</t>
    <phoneticPr fontId="25" type="noConversion"/>
  </si>
  <si>
    <t>대손충당금(당기)</t>
    <phoneticPr fontId="25" type="noConversion"/>
  </si>
  <si>
    <t>전기</t>
    <phoneticPr fontId="25" type="noConversion"/>
  </si>
  <si>
    <t>계정코드</t>
    <phoneticPr fontId="6" type="noConversion"/>
  </si>
  <si>
    <t>계정명</t>
    <phoneticPr fontId="6" type="noConversion"/>
  </si>
  <si>
    <t>금액(당분기말) Amount</t>
    <phoneticPr fontId="6" type="noConversion"/>
  </si>
  <si>
    <t>검증 verification</t>
    <phoneticPr fontId="6" type="noConversion"/>
  </si>
  <si>
    <t>4분기</t>
    <phoneticPr fontId="25" type="noConversion"/>
  </si>
  <si>
    <t>에너브레인</t>
    <phoneticPr fontId="3" type="noConversion"/>
  </si>
  <si>
    <t>2020.4Q</t>
  </si>
  <si>
    <t>2021.1Q</t>
    <phoneticPr fontId="3" type="noConversion"/>
  </si>
  <si>
    <t>2021.1Q</t>
    <phoneticPr fontId="3" type="noConversion"/>
  </si>
  <si>
    <t>2021.1Q</t>
    <phoneticPr fontId="3" type="noConversion"/>
  </si>
  <si>
    <t>2021.1Q</t>
    <phoneticPr fontId="3" type="noConversion"/>
  </si>
  <si>
    <t>2021.2Q</t>
    <phoneticPr fontId="3" type="noConversion"/>
  </si>
  <si>
    <t>2021.2Q</t>
    <phoneticPr fontId="3" type="noConversion"/>
  </si>
  <si>
    <t>2021.1Q</t>
  </si>
  <si>
    <t>2021.2Q</t>
  </si>
  <si>
    <t>2021.2Q</t>
    <phoneticPr fontId="3" type="noConversion"/>
  </si>
  <si>
    <t>준에스엠디</t>
    <phoneticPr fontId="3" type="noConversion"/>
  </si>
  <si>
    <t>2021.3Q</t>
    <phoneticPr fontId="3" type="noConversion"/>
  </si>
  <si>
    <t>2021.3Q</t>
    <phoneticPr fontId="3" type="noConversion"/>
  </si>
  <si>
    <t>2021.3Q</t>
    <phoneticPr fontId="3" type="noConversion"/>
  </si>
  <si>
    <t>2분기</t>
    <phoneticPr fontId="25" type="noConversion"/>
  </si>
  <si>
    <t>외상매출금</t>
    <phoneticPr fontId="25" type="noConversion"/>
  </si>
  <si>
    <t>선급금</t>
    <phoneticPr fontId="25" type="noConversion"/>
  </si>
  <si>
    <t>2021.3Q</t>
  </si>
  <si>
    <t>2021.4Q</t>
    <phoneticPr fontId="3" type="noConversion"/>
  </si>
  <si>
    <t>2021.4Q</t>
    <phoneticPr fontId="3" type="noConversion"/>
  </si>
  <si>
    <t>2021.4Q</t>
    <phoneticPr fontId="3" type="noConversion"/>
  </si>
  <si>
    <t>4분기</t>
    <phoneticPr fontId="25" type="noConversion"/>
  </si>
  <si>
    <t>4분기</t>
  </si>
  <si>
    <t>3분기</t>
  </si>
  <si>
    <t>2021.4Q</t>
  </si>
  <si>
    <t>2022.1Q</t>
  </si>
  <si>
    <t>2022.1Q</t>
    <phoneticPr fontId="3" type="noConversion"/>
  </si>
  <si>
    <t>2022.1Q</t>
    <phoneticPr fontId="3" type="noConversion"/>
  </si>
  <si>
    <t>4분기</t>
    <phoneticPr fontId="3" type="noConversion"/>
  </si>
  <si>
    <t>1분기</t>
    <phoneticPr fontId="3" type="noConversion"/>
  </si>
  <si>
    <t>2022.2Q</t>
    <phoneticPr fontId="3" type="noConversion"/>
  </si>
  <si>
    <t>2022.2Q</t>
    <phoneticPr fontId="3" type="noConversion"/>
  </si>
  <si>
    <t>2022.2Q</t>
    <phoneticPr fontId="3" type="noConversion"/>
  </si>
  <si>
    <t>2분기</t>
    <phoneticPr fontId="3" type="noConversion"/>
  </si>
  <si>
    <t>1분기</t>
    <phoneticPr fontId="3" type="noConversion"/>
  </si>
  <si>
    <t>2022.2Q</t>
    <phoneticPr fontId="3" type="noConversion"/>
  </si>
  <si>
    <t>2022.2Q</t>
    <phoneticPr fontId="3" type="noConversion"/>
  </si>
  <si>
    <t>2022.2Q</t>
  </si>
  <si>
    <t>2022.3Q</t>
    <phoneticPr fontId="3" type="noConversion"/>
  </si>
  <si>
    <t>3분기</t>
    <phoneticPr fontId="3" type="noConversion"/>
  </si>
  <si>
    <t>2분기</t>
    <phoneticPr fontId="3" type="noConversion"/>
  </si>
  <si>
    <t>2022.3Q</t>
  </si>
  <si>
    <t>2022.4Q</t>
  </si>
  <si>
    <t>2022.4Q</t>
    <phoneticPr fontId="3" type="noConversion"/>
  </si>
  <si>
    <t>3분기</t>
    <phoneticPr fontId="3" type="noConversion"/>
  </si>
  <si>
    <t>4분기</t>
    <phoneticPr fontId="3" type="noConversion"/>
  </si>
  <si>
    <t>매출채권 대손충당금 (Accounts Receivable Allowance)</t>
    <phoneticPr fontId="3" type="noConversion"/>
  </si>
  <si>
    <t>수기입력 (Input)</t>
    <phoneticPr fontId="3" type="noConversion"/>
  </si>
  <si>
    <t>① 전이율 계산 (Roll-rate caculation)</t>
    <phoneticPr fontId="3" type="noConversion"/>
  </si>
  <si>
    <t>2022.3Q</t>
    <phoneticPr fontId="3" type="noConversion"/>
  </si>
  <si>
    <t>연체  ~ 3개월 (Months in arrears ~3M)</t>
    <phoneticPr fontId="3" type="noConversion"/>
  </si>
  <si>
    <t xml:space="preserve">&gt;&gt;평균전이율 </t>
    <phoneticPr fontId="3" type="noConversion"/>
  </si>
  <si>
    <t>연체 7 ~ 9개월 채권 전이율 (Roll-rate : Months in arrears 7~9M)</t>
    <phoneticPr fontId="6" type="noConversion"/>
  </si>
  <si>
    <t>연체 7 ~ 9개월 채권 전이율 (Roll-rate : Months in arrears 7~9M)</t>
    <phoneticPr fontId="6" type="noConversion"/>
  </si>
  <si>
    <t xml:space="preserve"> - 상기 산출된 전이율에 보고기간말 채권금액(개별평가대상 채권잔액은 제외)을 곱하여 집합평가대상 채권에 대한 대손충당금 산출 (Allowance caculation : Average roll-rate multiple All entities without individual valuation)</t>
    <phoneticPr fontId="3" type="noConversion"/>
  </si>
  <si>
    <t>채권금액(개별평가대상) (amount of individual vaulation)</t>
    <phoneticPr fontId="3" type="noConversion"/>
  </si>
  <si>
    <t>전이율 평균 (Average of Default Prob.)</t>
    <phoneticPr fontId="7" type="noConversion"/>
  </si>
  <si>
    <t>2022.3Q</t>
    <phoneticPr fontId="3" type="noConversion"/>
  </si>
  <si>
    <t xml:space="preserve"> - 개별평가한 채권금액과 대손충당금 설정금액을 아래 표에 입력 (Please Input Accounts receivables amount and allowance for individual valuation)</t>
    <phoneticPr fontId="3" type="noConversion"/>
  </si>
  <si>
    <t>별도(100%)</t>
    <phoneticPr fontId="25" type="noConversion"/>
  </si>
  <si>
    <t>계</t>
    <phoneticPr fontId="3" type="noConversion"/>
  </si>
  <si>
    <t xml:space="preserve"> =&gt; 개별평가 대손충당금 설정 금액(Allowance amount of individual vaulation)</t>
    <phoneticPr fontId="3" type="noConversion"/>
  </si>
  <si>
    <t>외상매출금</t>
    <phoneticPr fontId="25" type="noConversion"/>
  </si>
  <si>
    <t>전기</t>
    <phoneticPr fontId="25" type="noConversion"/>
  </si>
  <si>
    <t>3분기</t>
    <phoneticPr fontId="3" type="noConversion"/>
  </si>
  <si>
    <t>1110310/1110320</t>
    <phoneticPr fontId="3" type="noConversion"/>
  </si>
  <si>
    <t>2분기</t>
    <phoneticPr fontId="3" type="noConversion"/>
  </si>
  <si>
    <t>실계정</t>
    <phoneticPr fontId="6" type="noConversion"/>
  </si>
  <si>
    <t>검증이 0이 되어야 함</t>
    <phoneticPr fontId="6" type="noConversion"/>
  </si>
  <si>
    <t>제각</t>
    <phoneticPr fontId="25" type="noConversion"/>
  </si>
  <si>
    <t>매출채권(총액)</t>
    <phoneticPr fontId="6" type="noConversion"/>
  </si>
  <si>
    <t>검증이 0이 되어야 함</t>
    <phoneticPr fontId="6" type="noConversion"/>
  </si>
  <si>
    <t>설정(환입)</t>
    <phoneticPr fontId="25" type="noConversion"/>
  </si>
  <si>
    <t>선급금</t>
    <phoneticPr fontId="25" type="noConversion"/>
  </si>
  <si>
    <t>제각</t>
    <phoneticPr fontId="25" type="noConversion"/>
  </si>
  <si>
    <t>매출채권 대손충당금 (Accounts Receivable Allowance)</t>
    <phoneticPr fontId="3" type="noConversion"/>
  </si>
  <si>
    <t>자동계산 (Do not input)</t>
    <phoneticPr fontId="3" type="noConversion"/>
  </si>
  <si>
    <t>정상채권 전이율 (Roll-rate : Nomal)</t>
    <phoneticPr fontId="6" type="noConversion"/>
  </si>
  <si>
    <t xml:space="preserve"> - 상기 산출된 전이율에 보고기간말 채권금액(개별평가대상 채권잔액은 제외)을 곱하여 집합평가대상 채권에 대한 대손충당금 산출 (Allowance caculation : Average roll-rate multiple All entities without individual valuation)</t>
    <phoneticPr fontId="3" type="noConversion"/>
  </si>
  <si>
    <t>채권금액(개별평가대상) (amount of individual vaulation)</t>
    <phoneticPr fontId="3" type="noConversion"/>
  </si>
  <si>
    <t>2022.3Q</t>
    <phoneticPr fontId="3" type="noConversion"/>
  </si>
  <si>
    <t>2. 개별평가 대상 (Allowance : by individual vauation)</t>
    <phoneticPr fontId="3" type="noConversion"/>
  </si>
  <si>
    <t>2022.3Q</t>
    <phoneticPr fontId="3" type="noConversion"/>
  </si>
  <si>
    <t xml:space="preserve"> =&gt; 개별평가 대손충당금 설정 금액(Allowance amount of individual vaulation)</t>
    <phoneticPr fontId="3" type="noConversion"/>
  </si>
  <si>
    <t>3. BS Refer</t>
    <phoneticPr fontId="3" type="noConversion"/>
  </si>
  <si>
    <t>금액(당분기말) Amount</t>
    <phoneticPr fontId="6" type="noConversion"/>
  </si>
  <si>
    <t>1110310/1110320</t>
    <phoneticPr fontId="3" type="noConversion"/>
  </si>
  <si>
    <t>실계정</t>
    <phoneticPr fontId="6" type="noConversion"/>
  </si>
  <si>
    <t>2023.1Q</t>
  </si>
  <si>
    <t>2022.4Q</t>
    <phoneticPr fontId="3" type="noConversion"/>
  </si>
  <si>
    <t>4분기</t>
    <phoneticPr fontId="3" type="noConversion"/>
  </si>
  <si>
    <t>1분기</t>
    <phoneticPr fontId="3" type="noConversion"/>
  </si>
  <si>
    <t>2분기</t>
    <phoneticPr fontId="3" type="noConversion"/>
  </si>
  <si>
    <t>2023.2Q</t>
  </si>
  <si>
    <t>2023.2Q</t>
    <phoneticPr fontId="3" type="noConversion"/>
  </si>
  <si>
    <t>2023.3Q</t>
  </si>
  <si>
    <t>2023.3Q</t>
    <phoneticPr fontId="3" type="noConversion"/>
  </si>
  <si>
    <t>2분기</t>
    <phoneticPr fontId="3" type="noConversion"/>
  </si>
  <si>
    <t>3분기</t>
    <phoneticPr fontId="3" type="noConversion"/>
  </si>
  <si>
    <t>TIANCHUAN</t>
  </si>
  <si>
    <t>2023.4Q</t>
  </si>
  <si>
    <t>2023.4Q</t>
    <phoneticPr fontId="3" type="noConversion"/>
  </si>
  <si>
    <t>d&amp;m사업부</t>
    <phoneticPr fontId="3" type="noConversion"/>
  </si>
  <si>
    <t>반도체사업부</t>
    <phoneticPr fontId="3" type="noConversion"/>
  </si>
  <si>
    <t>대손충당금</t>
    <phoneticPr fontId="3" type="noConversion"/>
  </si>
  <si>
    <t>d&amp;m사업부 채권</t>
    <phoneticPr fontId="3" type="noConversion"/>
  </si>
  <si>
    <t>반도체사업부 채권</t>
    <phoneticPr fontId="3" type="noConversion"/>
  </si>
  <si>
    <t>D&amp;M사업부</t>
    <phoneticPr fontId="3" type="noConversion"/>
  </si>
  <si>
    <t>집합채권</t>
    <phoneticPr fontId="3" type="noConversion"/>
  </si>
  <si>
    <t>개별채권</t>
    <phoneticPr fontId="3" type="noConversion"/>
  </si>
  <si>
    <t xml:space="preserve">   대손충당금</t>
    <phoneticPr fontId="3" type="noConversion"/>
  </si>
  <si>
    <t>총 채권</t>
    <phoneticPr fontId="3" type="noConversion"/>
  </si>
  <si>
    <t xml:space="preserve">   총 대손충당금</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</si>
</sst>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43" formatCode="_-* #,##0.00_-;\-* #,##0.00_-;_-* &quot;-&quot;??_-;_-@_-"/>
    <numFmt numFmtId="176" formatCode="_(* #,##0_);_(* \(#,##0\);_(* &quot;-&quot;_);_(@_)"/>
    <numFmt numFmtId="177" formatCode="_-* #,##0.00\ &quot;€&quot;_-;\-* #,##0.00\ &quot;€&quot;_-;_-* &quot;-&quot;??\ &quot;€&quot;_-;_-@_-"/>
    <numFmt numFmtId="178" formatCode="_-* #,##0.00\ _€_-;\-* #,##0.00\ _€_-;_-* &quot;-&quot;??\ _€_-;_-@_-"/>
    <numFmt numFmtId="179" formatCode="#,###;[Red]\(#,###\);\-\ "/>
    <numFmt numFmtId="180" formatCode="#,##0_ ;[Red]\-#,##0\ "/>
  </numFmts>
  <fonts count="34" x14ac:knownFonts="1">
    <font>
      <sz val="11"/>
      <color theme="1"/>
      <name val="맑은 고딕"/>
      <family val="2"/>
      <charset val="129"/>
      <scheme val="minor"/>
    </font>
    <font>
      <sz val="11"/>
      <color theme="1"/>
      <name val="맑은 고딕"/>
      <family val="2"/>
      <charset val="129"/>
      <scheme val="minor"/>
    </font>
    <font>
      <sz val="11"/>
      <name val="바탕체"/>
      <family val="1"/>
      <charset val="129"/>
    </font>
    <font>
      <sz val="8"/>
      <name val="맑은 고딕"/>
      <family val="2"/>
      <charset val="129"/>
      <scheme val="minor"/>
    </font>
    <font>
      <sz val="10"/>
      <color theme="1"/>
      <name val="맑은 고딕"/>
      <family val="2"/>
      <charset val="129"/>
    </font>
    <font>
      <sz val="11"/>
      <color theme="1"/>
      <name val="Arial"/>
      <family val="2"/>
    </font>
    <font>
      <sz val="8"/>
      <name val="돋움"/>
      <family val="3"/>
      <charset val="129"/>
    </font>
    <font>
      <sz val="8"/>
      <name val="바탕체"/>
      <family val="1"/>
      <charset val="129"/>
    </font>
    <font>
      <sz val="10"/>
      <color theme="1"/>
      <name val="Arial"/>
      <family val="2"/>
    </font>
    <font>
      <sz val="10"/>
      <name val="Arial"/>
      <family val="2"/>
    </font>
    <font>
      <u/>
      <sz val="10"/>
      <color rgb="FF7A1818"/>
      <name val="Georgia"/>
      <family val="1"/>
    </font>
    <font>
      <sz val="10"/>
      <name val="돋움"/>
      <family val="3"/>
      <charset val="129"/>
    </font>
    <font>
      <u/>
      <sz val="9"/>
      <color theme="10"/>
      <name val="Arial"/>
      <family val="2"/>
    </font>
    <font>
      <sz val="11"/>
      <name val="돋움"/>
      <family val="3"/>
      <charset val="129"/>
    </font>
    <font>
      <sz val="11"/>
      <color theme="1"/>
      <name val="맑은 고딕"/>
      <family val="3"/>
      <charset val="129"/>
    </font>
    <font>
      <sz val="11"/>
      <color theme="1"/>
      <name val="맑은 고딕"/>
      <family val="2"/>
      <charset val="129"/>
    </font>
    <font>
      <sz val="11"/>
      <color theme="1"/>
      <name val="맑은 고딕"/>
      <family val="3"/>
      <charset val="129"/>
      <scheme val="minor"/>
    </font>
    <font>
      <u/>
      <sz val="10"/>
      <color rgb="FF0000FF"/>
      <name val="Arial"/>
      <family val="2"/>
    </font>
    <font>
      <sz val="10"/>
      <color theme="1"/>
      <name val="맑은 고딕"/>
      <family val="3"/>
      <charset val="129"/>
      <scheme val="minor"/>
    </font>
    <font>
      <b/>
      <sz val="10"/>
      <color theme="1"/>
      <name val="맑은 고딕"/>
      <family val="3"/>
      <charset val="129"/>
      <scheme val="minor"/>
    </font>
    <font>
      <b/>
      <sz val="10"/>
      <name val="맑은 고딕"/>
      <family val="3"/>
      <charset val="129"/>
      <scheme val="minor"/>
    </font>
    <font>
      <sz val="10"/>
      <color indexed="8"/>
      <name val="맑은 고딕"/>
      <family val="3"/>
      <charset val="129"/>
      <scheme val="minor"/>
    </font>
    <font>
      <sz val="10"/>
      <name val="맑은 고딕"/>
      <family val="3"/>
      <charset val="129"/>
      <scheme val="minor"/>
    </font>
    <font>
      <b/>
      <sz val="10"/>
      <color theme="1"/>
      <name val="맑은 고딕"/>
      <family val="3"/>
      <charset val="129"/>
    </font>
    <font>
      <sz val="9"/>
      <color theme="1"/>
      <name val="맑은 고딕"/>
      <family val="3"/>
      <charset val="129"/>
      <scheme val="minor"/>
    </font>
    <font>
      <sz val="8"/>
      <name val="맑은 고딕"/>
      <family val="3"/>
      <charset val="129"/>
    </font>
    <font>
      <b/>
      <sz val="9"/>
      <color theme="0"/>
      <name val="맑은 고딕"/>
      <family val="3"/>
      <charset val="129"/>
      <scheme val="minor"/>
    </font>
    <font>
      <b/>
      <sz val="9"/>
      <color theme="1"/>
      <name val="맑은 고딕"/>
      <family val="3"/>
      <charset val="129"/>
      <scheme val="minor"/>
    </font>
    <font>
      <u val="singleAccounting"/>
      <sz val="9"/>
      <color theme="1"/>
      <name val="맑은 고딕"/>
      <family val="3"/>
      <charset val="129"/>
      <scheme val="minor"/>
    </font>
    <font>
      <sz val="9"/>
      <color theme="0"/>
      <name val="맑은 고딕"/>
      <family val="3"/>
      <charset val="129"/>
      <scheme val="minor"/>
    </font>
    <font>
      <b/>
      <sz val="9"/>
      <color indexed="81"/>
      <name val="돋움"/>
      <family val="3"/>
      <charset val="129"/>
    </font>
    <font>
      <b/>
      <sz val="9"/>
      <color indexed="81"/>
      <name val="Tahoma"/>
      <family val="2"/>
    </font>
    <font>
      <sz val="9"/>
      <color indexed="81"/>
      <name val="Tahoma"/>
      <family val="2"/>
    </font>
    <font>
      <sz val="9"/>
      <color indexed="81"/>
      <name val="돋움"/>
      <family val="3"/>
      <charset val="129"/>
    </font>
  </fonts>
  <fills count="21">
    <fill>
      <patternFill patternType="none"/>
    </fill>
    <fill>
      <patternFill patternType="gray125"/>
    </fill>
    <fill>
      <patternFill patternType="solid">
        <fgColor theme="2" tint="-0.14999847407452621"/>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FF99"/>
        <bgColor indexed="64"/>
      </patternFill>
    </fill>
    <fill>
      <patternFill patternType="solid">
        <fgColor theme="9" tint="0.59999389629810485"/>
        <bgColor indexed="64"/>
      </patternFill>
    </fill>
    <fill>
      <patternFill patternType="solid">
        <fgColor rgb="FFBDD7EE"/>
        <bgColor indexed="64"/>
      </patternFill>
    </fill>
    <fill>
      <patternFill patternType="solid">
        <fgColor rgb="FFFCE4D6"/>
        <bgColor indexed="64"/>
      </patternFill>
    </fill>
    <fill>
      <patternFill patternType="solid">
        <fgColor rgb="FFC5C2C2"/>
        <bgColor indexed="64"/>
      </patternFill>
    </fill>
    <fill>
      <patternFill patternType="solid">
        <fgColor rgb="FFFFFF00"/>
        <bgColor indexed="64"/>
      </patternFill>
    </fill>
    <fill>
      <patternFill patternType="solid">
        <fgColor rgb="FF808000"/>
        <bgColor indexed="64"/>
      </patternFill>
    </fill>
    <fill>
      <patternFill patternType="solid">
        <fgColor theme="0"/>
      </patternFill>
    </fill>
    <fill>
      <patternFill patternType="solid">
        <fgColor rgb="FFC5E2FF"/>
      </patternFill>
    </fill>
    <fill>
      <patternFill patternType="solid">
        <fgColor theme="5"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000080"/>
        <bgColor indexed="64"/>
      </patternFill>
    </fill>
    <fill>
      <patternFill patternType="solid">
        <fgColor rgb="FF92D05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right/>
      <top/>
      <bottom style="thin">
        <color indexed="64"/>
      </bottom>
      <diagonal/>
    </border>
    <border>
      <left/>
      <right/>
      <top style="thin">
        <color indexed="64"/>
      </top>
      <bottom style="double">
        <color indexed="64"/>
      </bottom>
      <diagonal/>
    </border>
    <border>
      <left/>
      <right/>
      <top style="double">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s>
  <cellStyleXfs count="78">
    <xf numFmtId="0" fontId="0" fillId="0" borderId="0">
      <alignment vertical="center"/>
    </xf>
    <xf numFmtId="176" fontId="2" fillId="0" borderId="0" applyFont="0" applyFill="0" applyBorder="0" applyAlignment="0" applyProtection="0"/>
    <xf numFmtId="0" fontId="1" fillId="0" borderId="0">
      <alignment vertical="center"/>
    </xf>
    <xf numFmtId="176" fontId="1" fillId="0" borderId="0" applyFont="0" applyFill="0" applyBorder="0" applyAlignment="0" applyProtection="0">
      <alignment vertical="center"/>
    </xf>
    <xf numFmtId="176" fontId="4" fillId="0" borderId="0" applyFont="0" applyFill="0" applyBorder="0" applyAlignment="0" applyProtection="0">
      <alignment vertical="center"/>
    </xf>
    <xf numFmtId="176" fontId="5" fillId="0" borderId="0" applyFont="0" applyFill="0" applyBorder="0" applyAlignment="0" applyProtection="0">
      <alignment vertical="center"/>
    </xf>
    <xf numFmtId="0" fontId="2" fillId="0" borderId="0"/>
    <xf numFmtId="9" fontId="5" fillId="0" borderId="0" applyFont="0" applyFill="0" applyBorder="0" applyAlignment="0" applyProtection="0">
      <alignment vertical="center"/>
    </xf>
    <xf numFmtId="0" fontId="1" fillId="0" borderId="0">
      <alignment vertical="center"/>
    </xf>
    <xf numFmtId="0" fontId="8" fillId="0" borderId="0"/>
    <xf numFmtId="0" fontId="9" fillId="0" borderId="0"/>
    <xf numFmtId="9" fontId="9" fillId="0" borderId="0" applyFont="0" applyFill="0" applyBorder="0" applyAlignment="0" applyProtection="0"/>
    <xf numFmtId="177" fontId="9" fillId="0" borderId="0" applyFont="0" applyFill="0" applyBorder="0" applyAlignment="0" applyProtection="0"/>
    <xf numFmtId="178" fontId="9" fillId="0" borderId="0" applyFont="0" applyFill="0" applyBorder="0" applyAlignment="0" applyProtection="0"/>
    <xf numFmtId="43" fontId="9" fillId="0" borderId="0" applyFont="0" applyFill="0" applyBorder="0" applyAlignment="0" applyProtection="0"/>
    <xf numFmtId="0" fontId="9" fillId="0" borderId="0"/>
    <xf numFmtId="0" fontId="8" fillId="0" borderId="0"/>
    <xf numFmtId="0" fontId="5" fillId="0" borderId="0"/>
    <xf numFmtId="0" fontId="10" fillId="0" borderId="0" applyNumberFormat="0" applyFill="0" applyBorder="0" applyAlignment="0" applyProtection="0"/>
    <xf numFmtId="0" fontId="8" fillId="0" borderId="0"/>
    <xf numFmtId="0" fontId="5" fillId="0" borderId="0"/>
    <xf numFmtId="0" fontId="12" fillId="0" borderId="0" applyNumberFormat="0" applyFill="0" applyBorder="0" applyAlignment="0" applyProtection="0">
      <alignment vertical="top"/>
      <protection locked="0"/>
    </xf>
    <xf numFmtId="0" fontId="1" fillId="0" borderId="0">
      <alignment vertical="center"/>
    </xf>
    <xf numFmtId="41" fontId="1" fillId="0" borderId="0" applyFont="0" applyFill="0" applyBorder="0" applyAlignment="0" applyProtection="0">
      <alignment vertical="center"/>
    </xf>
    <xf numFmtId="41" fontId="9" fillId="0" borderId="0" applyFont="0" applyFill="0" applyBorder="0" applyAlignment="0" applyProtection="0"/>
    <xf numFmtId="0" fontId="9" fillId="0" borderId="0"/>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9" fontId="4" fillId="0" borderId="0" applyFont="0" applyFill="0" applyBorder="0" applyAlignment="0" applyProtection="0">
      <alignment vertical="center"/>
    </xf>
    <xf numFmtId="9" fontId="2" fillId="0" borderId="0" applyFont="0" applyFill="0" applyBorder="0" applyAlignment="0" applyProtection="0">
      <alignment vertical="center"/>
    </xf>
    <xf numFmtId="0" fontId="14" fillId="0" borderId="0">
      <alignment vertical="center"/>
    </xf>
    <xf numFmtId="0" fontId="15" fillId="0" borderId="0">
      <alignment vertical="center"/>
    </xf>
    <xf numFmtId="0" fontId="1" fillId="0" borderId="0">
      <alignment vertical="center"/>
    </xf>
    <xf numFmtId="41" fontId="1" fillId="0" borderId="0" applyFont="0" applyFill="0" applyBorder="0" applyAlignment="0" applyProtection="0">
      <alignment vertical="center"/>
    </xf>
    <xf numFmtId="41" fontId="11" fillId="0" borderId="0" applyFont="0" applyFill="0" applyBorder="0" applyAlignment="0" applyProtection="0">
      <alignment vertical="center"/>
    </xf>
    <xf numFmtId="41" fontId="1" fillId="0" borderId="0" applyFont="0" applyFill="0" applyBorder="0" applyAlignment="0" applyProtection="0">
      <alignment vertical="center"/>
    </xf>
    <xf numFmtId="41" fontId="5" fillId="0" borderId="0" applyFont="0" applyFill="0" applyBorder="0" applyAlignment="0" applyProtection="0">
      <alignment vertical="center"/>
    </xf>
    <xf numFmtId="9" fontId="11" fillId="0" borderId="0" applyFont="0" applyFill="0" applyBorder="0" applyAlignment="0" applyProtection="0">
      <alignment vertical="center"/>
    </xf>
    <xf numFmtId="9" fontId="13" fillId="0" borderId="0" applyFont="0" applyFill="0" applyBorder="0" applyAlignment="0" applyProtection="0"/>
    <xf numFmtId="41" fontId="13" fillId="0" borderId="0" applyFont="0" applyFill="0" applyBorder="0" applyAlignment="0" applyProtection="0"/>
    <xf numFmtId="0" fontId="1" fillId="0" borderId="0">
      <alignment vertical="center"/>
    </xf>
    <xf numFmtId="41" fontId="2" fillId="0" borderId="0" applyFont="0" applyFill="0" applyBorder="0" applyAlignment="0" applyProtection="0"/>
    <xf numFmtId="0" fontId="1" fillId="0" borderId="0">
      <alignment vertical="center"/>
    </xf>
    <xf numFmtId="41" fontId="1" fillId="0" borderId="0" applyFont="0" applyFill="0" applyBorder="0" applyAlignment="0" applyProtection="0">
      <alignment vertical="center"/>
    </xf>
    <xf numFmtId="41" fontId="4" fillId="0" borderId="0" applyFont="0" applyFill="0" applyBorder="0" applyAlignment="0" applyProtection="0">
      <alignment vertical="center"/>
    </xf>
    <xf numFmtId="41" fontId="5" fillId="0" borderId="0" applyFont="0" applyFill="0" applyBorder="0" applyAlignment="0" applyProtection="0">
      <alignment vertical="center"/>
    </xf>
    <xf numFmtId="0" fontId="1" fillId="0" borderId="0">
      <alignment vertical="center"/>
    </xf>
    <xf numFmtId="9" fontId="2" fillId="0" borderId="0" applyFont="0" applyFill="0" applyBorder="0" applyAlignment="0" applyProtection="0"/>
    <xf numFmtId="0" fontId="15" fillId="0" borderId="0">
      <alignment vertical="center"/>
    </xf>
    <xf numFmtId="41" fontId="11" fillId="0" borderId="0" applyFont="0" applyFill="0" applyBorder="0" applyAlignment="0" applyProtection="0">
      <alignment vertical="center"/>
    </xf>
    <xf numFmtId="0" fontId="13" fillId="0" borderId="0"/>
    <xf numFmtId="41" fontId="13" fillId="0" borderId="0" applyFont="0" applyFill="0" applyBorder="0" applyAlignment="0" applyProtection="0">
      <alignment vertical="center"/>
    </xf>
    <xf numFmtId="0" fontId="13" fillId="0" borderId="0">
      <alignment vertical="center"/>
    </xf>
    <xf numFmtId="0" fontId="16" fillId="0" borderId="0">
      <alignment vertical="center"/>
    </xf>
    <xf numFmtId="0" fontId="1" fillId="0" borderId="0">
      <alignment vertical="center"/>
    </xf>
    <xf numFmtId="0" fontId="1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41" fontId="8" fillId="0" borderId="0" applyFont="0" applyFill="0" applyBorder="0" applyAlignment="0" applyProtection="0">
      <alignment vertical="center"/>
    </xf>
    <xf numFmtId="0" fontId="17" fillId="0" borderId="0" applyNumberFormat="0" applyFill="0" applyBorder="0" applyAlignment="0" applyProtection="0"/>
    <xf numFmtId="41" fontId="1"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xf numFmtId="9" fontId="5" fillId="0" borderId="0" applyFont="0" applyFill="0" applyBorder="0" applyAlignment="0" applyProtection="0">
      <alignment vertical="center"/>
    </xf>
    <xf numFmtId="41"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7" fillId="0" borderId="0" applyNumberFormat="0" applyFill="0" applyBorder="0" applyAlignment="0" applyProtection="0"/>
    <xf numFmtId="41" fontId="1" fillId="0" borderId="0" applyFont="0" applyFill="0" applyBorder="0" applyAlignment="0" applyProtection="0">
      <alignment vertical="center"/>
    </xf>
    <xf numFmtId="41" fontId="16" fillId="0" borderId="0" applyFont="0" applyFill="0" applyBorder="0" applyAlignment="0" applyProtection="0">
      <alignment vertical="center"/>
    </xf>
    <xf numFmtId="9" fontId="16" fillId="0" borderId="0" applyFont="0" applyFill="0" applyBorder="0" applyAlignment="0" applyProtection="0">
      <alignment vertical="center"/>
    </xf>
  </cellStyleXfs>
  <cellXfs count="186">
    <xf numFmtId="0" fontId="0" fillId="0" borderId="0" xfId="0">
      <alignment vertical="center"/>
    </xf>
    <xf numFmtId="0" fontId="18" fillId="7" borderId="2" xfId="0" applyFont="1" applyFill="1" applyBorder="1">
      <alignment vertical="center"/>
    </xf>
    <xf numFmtId="0" fontId="18" fillId="6" borderId="0" xfId="0" applyFont="1" applyFill="1">
      <alignment vertical="center"/>
    </xf>
    <xf numFmtId="176" fontId="20" fillId="2" borderId="3" xfId="1" applyFont="1" applyFill="1" applyBorder="1" applyAlignment="1">
      <alignment horizontal="center" vertical="center"/>
    </xf>
    <xf numFmtId="0" fontId="19" fillId="2" borderId="4" xfId="2" applyFont="1" applyFill="1" applyBorder="1" applyAlignment="1">
      <alignment horizontal="center" vertical="center"/>
    </xf>
    <xf numFmtId="176" fontId="21" fillId="0" borderId="6" xfId="1" applyFont="1" applyFill="1" applyBorder="1" applyAlignment="1">
      <alignment horizontal="center" vertical="center"/>
    </xf>
    <xf numFmtId="179" fontId="18" fillId="7" borderId="1" xfId="3" applyNumberFormat="1" applyFont="1" applyFill="1" applyBorder="1">
      <alignment vertical="center"/>
    </xf>
    <xf numFmtId="176" fontId="22" fillId="0" borderId="6" xfId="1" applyFont="1" applyFill="1" applyBorder="1" applyAlignment="1">
      <alignment horizontal="center" vertical="center"/>
    </xf>
    <xf numFmtId="176" fontId="22" fillId="0" borderId="8" xfId="1" applyFont="1" applyFill="1" applyBorder="1" applyAlignment="1">
      <alignment horizontal="center" vertical="center"/>
    </xf>
    <xf numFmtId="179" fontId="18" fillId="7" borderId="9" xfId="3" applyNumberFormat="1" applyFont="1" applyFill="1" applyBorder="1">
      <alignment vertical="center"/>
    </xf>
    <xf numFmtId="0" fontId="22" fillId="3" borderId="3" xfId="6" applyFont="1" applyFill="1" applyBorder="1" applyAlignment="1">
      <alignment horizontal="center" vertical="center"/>
    </xf>
    <xf numFmtId="10" fontId="22" fillId="3" borderId="4" xfId="7" applyNumberFormat="1" applyFont="1" applyFill="1" applyBorder="1" applyAlignment="1">
      <alignment vertical="center"/>
    </xf>
    <xf numFmtId="0" fontId="22" fillId="3" borderId="4" xfId="6" applyFont="1" applyFill="1" applyBorder="1" applyAlignment="1">
      <alignment vertical="center"/>
    </xf>
    <xf numFmtId="0" fontId="22" fillId="3" borderId="6" xfId="6" applyFont="1" applyFill="1" applyBorder="1" applyAlignment="1">
      <alignment horizontal="center" vertical="center"/>
    </xf>
    <xf numFmtId="10" fontId="22" fillId="3" borderId="1" xfId="7" applyNumberFormat="1" applyFont="1" applyFill="1" applyBorder="1" applyAlignment="1">
      <alignment vertical="center"/>
    </xf>
    <xf numFmtId="0" fontId="22" fillId="3" borderId="8" xfId="6" applyFont="1" applyFill="1" applyBorder="1" applyAlignment="1">
      <alignment horizontal="center" vertical="center"/>
    </xf>
    <xf numFmtId="10" fontId="22" fillId="3" borderId="9" xfId="7" applyNumberFormat="1" applyFont="1" applyFill="1" applyBorder="1" applyAlignment="1">
      <alignment vertical="center"/>
    </xf>
    <xf numFmtId="0" fontId="19" fillId="2" borderId="8" xfId="2" applyFont="1" applyFill="1" applyBorder="1" applyAlignment="1">
      <alignment horizontal="center" vertical="center"/>
    </xf>
    <xf numFmtId="0" fontId="19" fillId="2" borderId="9" xfId="2" applyFont="1" applyFill="1" applyBorder="1" applyAlignment="1">
      <alignment horizontal="center" vertical="center"/>
    </xf>
    <xf numFmtId="0" fontId="19" fillId="2" borderId="10" xfId="2" applyFont="1" applyFill="1" applyBorder="1" applyAlignment="1">
      <alignment horizontal="center" vertical="center"/>
    </xf>
    <xf numFmtId="176" fontId="21" fillId="0" borderId="14" xfId="1" applyFont="1" applyFill="1" applyBorder="1" applyAlignment="1">
      <alignment horizontal="center" vertical="center"/>
    </xf>
    <xf numFmtId="179" fontId="22" fillId="3" borderId="3" xfId="6" applyNumberFormat="1" applyFont="1" applyFill="1" applyBorder="1" applyAlignment="1">
      <alignment vertical="center"/>
    </xf>
    <xf numFmtId="176" fontId="22" fillId="0" borderId="12" xfId="1" applyFont="1" applyFill="1" applyBorder="1" applyAlignment="1">
      <alignment horizontal="center" vertical="center"/>
    </xf>
    <xf numFmtId="179" fontId="22" fillId="3" borderId="6" xfId="6" applyNumberFormat="1" applyFont="1" applyFill="1" applyBorder="1" applyAlignment="1">
      <alignment vertical="center"/>
    </xf>
    <xf numFmtId="179" fontId="22" fillId="3" borderId="7" xfId="6" applyNumberFormat="1" applyFont="1" applyFill="1" applyBorder="1" applyAlignment="1">
      <alignment vertical="center"/>
    </xf>
    <xf numFmtId="176" fontId="22" fillId="0" borderId="19" xfId="1" applyFont="1" applyFill="1" applyBorder="1" applyAlignment="1">
      <alignment horizontal="center" vertical="center"/>
    </xf>
    <xf numFmtId="179" fontId="22" fillId="3" borderId="18" xfId="6" applyNumberFormat="1" applyFont="1" applyFill="1" applyBorder="1" applyAlignment="1">
      <alignment vertical="center"/>
    </xf>
    <xf numFmtId="176" fontId="22" fillId="5" borderId="20" xfId="1" applyFont="1" applyFill="1" applyBorder="1" applyAlignment="1">
      <alignment horizontal="center" vertical="center"/>
    </xf>
    <xf numFmtId="179" fontId="22" fillId="3" borderId="11" xfId="6" applyNumberFormat="1" applyFont="1" applyFill="1" applyBorder="1" applyAlignment="1">
      <alignment vertical="center"/>
    </xf>
    <xf numFmtId="179" fontId="22" fillId="3" borderId="21" xfId="6" applyNumberFormat="1" applyFont="1" applyFill="1" applyBorder="1" applyAlignment="1">
      <alignment vertical="center"/>
    </xf>
    <xf numFmtId="176" fontId="22" fillId="5" borderId="13" xfId="1" applyFont="1" applyFill="1" applyBorder="1" applyAlignment="1">
      <alignment horizontal="center" vertical="center"/>
    </xf>
    <xf numFmtId="179" fontId="22" fillId="3" borderId="8" xfId="6" applyNumberFormat="1" applyFont="1" applyFill="1" applyBorder="1" applyAlignment="1">
      <alignment vertical="center"/>
    </xf>
    <xf numFmtId="179" fontId="22" fillId="3" borderId="10" xfId="6" applyNumberFormat="1" applyFont="1" applyFill="1" applyBorder="1" applyAlignment="1">
      <alignment vertical="center"/>
    </xf>
    <xf numFmtId="179" fontId="19" fillId="4" borderId="2" xfId="0" applyNumberFormat="1" applyFont="1" applyFill="1" applyBorder="1">
      <alignment vertical="center"/>
    </xf>
    <xf numFmtId="179" fontId="22" fillId="7" borderId="3" xfId="6" applyNumberFormat="1" applyFont="1" applyFill="1" applyBorder="1" applyAlignment="1">
      <alignment vertical="center"/>
    </xf>
    <xf numFmtId="179" fontId="22" fillId="7" borderId="15" xfId="6" applyNumberFormat="1" applyFont="1" applyFill="1" applyBorder="1" applyAlignment="1">
      <alignment vertical="center"/>
    </xf>
    <xf numFmtId="179" fontId="22" fillId="7" borderId="6" xfId="6" applyNumberFormat="1" applyFont="1" applyFill="1" applyBorder="1" applyAlignment="1">
      <alignment vertical="center"/>
    </xf>
    <xf numFmtId="179" fontId="22" fillId="7" borderId="7" xfId="6" applyNumberFormat="1" applyFont="1" applyFill="1" applyBorder="1" applyAlignment="1">
      <alignment vertical="center"/>
    </xf>
    <xf numFmtId="179" fontId="22" fillId="7" borderId="17" xfId="6" applyNumberFormat="1" applyFont="1" applyFill="1" applyBorder="1" applyAlignment="1">
      <alignment vertical="center"/>
    </xf>
    <xf numFmtId="179" fontId="22" fillId="7" borderId="18" xfId="6" applyNumberFormat="1" applyFont="1" applyFill="1" applyBorder="1" applyAlignment="1">
      <alignment vertical="center"/>
    </xf>
    <xf numFmtId="179" fontId="22" fillId="7" borderId="8" xfId="6" applyNumberFormat="1" applyFont="1" applyFill="1" applyBorder="1" applyAlignment="1">
      <alignment vertical="center"/>
    </xf>
    <xf numFmtId="179" fontId="22" fillId="7" borderId="10" xfId="6" applyNumberFormat="1" applyFont="1" applyFill="1" applyBorder="1" applyAlignment="1">
      <alignment vertical="center"/>
    </xf>
    <xf numFmtId="0" fontId="19" fillId="5" borderId="1" xfId="0" applyFont="1" applyFill="1" applyBorder="1" applyAlignment="1">
      <alignment horizontal="center" vertical="center"/>
    </xf>
    <xf numFmtId="0" fontId="18" fillId="0" borderId="1" xfId="0" applyFont="1" applyBorder="1">
      <alignment vertical="center"/>
    </xf>
    <xf numFmtId="179" fontId="18" fillId="7" borderId="1" xfId="0" applyNumberFormat="1" applyFont="1" applyFill="1" applyBorder="1">
      <alignment vertical="center"/>
    </xf>
    <xf numFmtId="179" fontId="18" fillId="3" borderId="1" xfId="0" applyNumberFormat="1" applyFont="1" applyFill="1" applyBorder="1">
      <alignment vertical="center"/>
    </xf>
    <xf numFmtId="176" fontId="22" fillId="5" borderId="25" xfId="1" applyFont="1" applyFill="1" applyBorder="1" applyAlignment="1">
      <alignment horizontal="center" vertical="center"/>
    </xf>
    <xf numFmtId="179" fontId="22" fillId="7" borderId="16" xfId="6" applyNumberFormat="1" applyFont="1" applyFill="1" applyBorder="1" applyAlignment="1">
      <alignment vertical="center"/>
    </xf>
    <xf numFmtId="179" fontId="22" fillId="7" borderId="26" xfId="6" applyNumberFormat="1" applyFont="1" applyFill="1" applyBorder="1" applyAlignment="1">
      <alignment vertical="center"/>
    </xf>
    <xf numFmtId="176" fontId="22" fillId="0" borderId="13" xfId="1" applyFont="1" applyFill="1" applyBorder="1" applyAlignment="1">
      <alignment horizontal="center" vertical="center"/>
    </xf>
    <xf numFmtId="179" fontId="22" fillId="3" borderId="4" xfId="6" applyNumberFormat="1" applyFont="1" applyFill="1" applyBorder="1" applyAlignment="1">
      <alignment vertical="center"/>
    </xf>
    <xf numFmtId="179" fontId="22" fillId="3" borderId="5" xfId="6" applyNumberFormat="1" applyFont="1" applyFill="1" applyBorder="1" applyAlignment="1">
      <alignment vertical="center"/>
    </xf>
    <xf numFmtId="179" fontId="22" fillId="3" borderId="1" xfId="6" applyNumberFormat="1" applyFont="1" applyFill="1" applyBorder="1" applyAlignment="1">
      <alignment vertical="center"/>
    </xf>
    <xf numFmtId="179" fontId="22" fillId="3" borderId="22" xfId="6" applyNumberFormat="1" applyFont="1" applyFill="1" applyBorder="1" applyAlignment="1">
      <alignment vertical="center"/>
    </xf>
    <xf numFmtId="179" fontId="22" fillId="3" borderId="23" xfId="6" applyNumberFormat="1" applyFont="1" applyFill="1" applyBorder="1" applyAlignment="1">
      <alignment vertical="center"/>
    </xf>
    <xf numFmtId="179" fontId="22" fillId="3" borderId="9" xfId="6" applyNumberFormat="1" applyFont="1" applyFill="1" applyBorder="1" applyAlignment="1">
      <alignment vertical="center"/>
    </xf>
    <xf numFmtId="0" fontId="19" fillId="2" borderId="28" xfId="2" applyFont="1" applyFill="1" applyBorder="1" applyAlignment="1">
      <alignment horizontal="center" vertical="center"/>
    </xf>
    <xf numFmtId="179" fontId="22" fillId="3" borderId="29" xfId="6" applyNumberFormat="1" applyFont="1" applyFill="1" applyBorder="1" applyAlignment="1">
      <alignment vertical="center"/>
    </xf>
    <xf numFmtId="179" fontId="22" fillId="3" borderId="30" xfId="6" applyNumberFormat="1" applyFont="1" applyFill="1" applyBorder="1" applyAlignment="1">
      <alignment vertical="center"/>
    </xf>
    <xf numFmtId="179" fontId="22" fillId="3" borderId="31" xfId="6" applyNumberFormat="1" applyFont="1" applyFill="1" applyBorder="1" applyAlignment="1">
      <alignment vertical="center"/>
    </xf>
    <xf numFmtId="179" fontId="22" fillId="3" borderId="32" xfId="6" applyNumberFormat="1" applyFont="1" applyFill="1" applyBorder="1" applyAlignment="1">
      <alignment vertical="center"/>
    </xf>
    <xf numFmtId="179" fontId="22" fillId="3" borderId="28" xfId="6" applyNumberFormat="1" applyFont="1" applyFill="1" applyBorder="1" applyAlignment="1">
      <alignment vertical="center"/>
    </xf>
    <xf numFmtId="0" fontId="19" fillId="2" borderId="34" xfId="2" applyFont="1" applyFill="1" applyBorder="1" applyAlignment="1">
      <alignment horizontal="center" vertical="center"/>
    </xf>
    <xf numFmtId="10" fontId="22" fillId="3" borderId="33" xfId="6" applyNumberFormat="1" applyFont="1" applyFill="1" applyBorder="1" applyAlignment="1">
      <alignment vertical="center"/>
    </xf>
    <xf numFmtId="10" fontId="22" fillId="3" borderId="35" xfId="6" applyNumberFormat="1" applyFont="1" applyFill="1" applyBorder="1" applyAlignment="1">
      <alignment vertical="center"/>
    </xf>
    <xf numFmtId="10" fontId="22" fillId="3" borderId="36" xfId="6" applyNumberFormat="1" applyFont="1" applyFill="1" applyBorder="1" applyAlignment="1">
      <alignment vertical="center"/>
    </xf>
    <xf numFmtId="10" fontId="22" fillId="3" borderId="37" xfId="6" applyNumberFormat="1" applyFont="1" applyFill="1" applyBorder="1" applyAlignment="1">
      <alignment vertical="center"/>
    </xf>
    <xf numFmtId="10" fontId="22" fillId="3" borderId="34" xfId="6" applyNumberFormat="1" applyFont="1" applyFill="1" applyBorder="1" applyAlignment="1">
      <alignment vertical="center"/>
    </xf>
    <xf numFmtId="0" fontId="20" fillId="2" borderId="3" xfId="6" quotePrefix="1" applyFont="1" applyFill="1" applyBorder="1" applyAlignment="1">
      <alignment horizontal="center" vertical="center" wrapText="1"/>
    </xf>
    <xf numFmtId="0" fontId="20" fillId="2" borderId="4" xfId="6" quotePrefix="1" applyFont="1" applyFill="1" applyBorder="1" applyAlignment="1">
      <alignment horizontal="center" vertical="center" wrapText="1"/>
    </xf>
    <xf numFmtId="0" fontId="20" fillId="2" borderId="5" xfId="6" quotePrefix="1" applyFont="1" applyFill="1" applyBorder="1" applyAlignment="1">
      <alignment horizontal="center" vertical="center" wrapText="1"/>
    </xf>
    <xf numFmtId="0" fontId="20" fillId="2" borderId="33" xfId="6" quotePrefix="1" applyFont="1" applyFill="1" applyBorder="1" applyAlignment="1">
      <alignment horizontal="center" vertical="center" wrapText="1"/>
    </xf>
    <xf numFmtId="0" fontId="20" fillId="2" borderId="27" xfId="6" quotePrefix="1" applyFont="1" applyFill="1" applyBorder="1" applyAlignment="1">
      <alignment horizontal="center" vertical="center" wrapText="1"/>
    </xf>
    <xf numFmtId="0" fontId="19" fillId="2" borderId="38" xfId="2" applyFont="1" applyFill="1" applyBorder="1" applyAlignment="1">
      <alignment horizontal="center" vertical="center"/>
    </xf>
    <xf numFmtId="179" fontId="18" fillId="7" borderId="39" xfId="3" applyNumberFormat="1" applyFont="1" applyFill="1" applyBorder="1">
      <alignment vertical="center"/>
    </xf>
    <xf numFmtId="179" fontId="18" fillId="7" borderId="40" xfId="3" applyNumberFormat="1" applyFont="1" applyFill="1" applyBorder="1">
      <alignment vertical="center"/>
    </xf>
    <xf numFmtId="0" fontId="18" fillId="3" borderId="38" xfId="0" applyFont="1" applyFill="1" applyBorder="1">
      <alignment vertical="center"/>
    </xf>
    <xf numFmtId="0" fontId="18" fillId="3" borderId="39" xfId="0" applyFont="1" applyFill="1" applyBorder="1">
      <alignment vertical="center"/>
    </xf>
    <xf numFmtId="0" fontId="18" fillId="3" borderId="4" xfId="0" applyFont="1" applyFill="1" applyBorder="1">
      <alignment vertical="center"/>
    </xf>
    <xf numFmtId="0" fontId="18" fillId="3" borderId="1" xfId="0" applyFont="1" applyFill="1" applyBorder="1">
      <alignment vertical="center"/>
    </xf>
    <xf numFmtId="0" fontId="19" fillId="2" borderId="27" xfId="2" applyFont="1" applyFill="1" applyBorder="1" applyAlignment="1">
      <alignment horizontal="center" vertical="center"/>
    </xf>
    <xf numFmtId="179" fontId="18" fillId="7" borderId="30" xfId="3" applyNumberFormat="1" applyFont="1" applyFill="1" applyBorder="1">
      <alignment vertical="center"/>
    </xf>
    <xf numFmtId="179" fontId="18" fillId="7" borderId="28" xfId="3" applyNumberFormat="1" applyFont="1" applyFill="1" applyBorder="1">
      <alignment vertical="center"/>
    </xf>
    <xf numFmtId="10" fontId="22" fillId="3" borderId="38" xfId="7" applyNumberFormat="1" applyFont="1" applyFill="1" applyBorder="1" applyAlignment="1">
      <alignment vertical="center"/>
    </xf>
    <xf numFmtId="10" fontId="18" fillId="8" borderId="33" xfId="0" applyNumberFormat="1" applyFont="1" applyFill="1" applyBorder="1">
      <alignment vertical="center"/>
    </xf>
    <xf numFmtId="10" fontId="22" fillId="3" borderId="39" xfId="7" applyNumberFormat="1" applyFont="1" applyFill="1" applyBorder="1" applyAlignment="1">
      <alignment vertical="center"/>
    </xf>
    <xf numFmtId="10" fontId="18" fillId="8" borderId="35" xfId="0" applyNumberFormat="1" applyFont="1" applyFill="1" applyBorder="1">
      <alignment vertical="center"/>
    </xf>
    <xf numFmtId="10" fontId="18" fillId="3" borderId="39" xfId="0" applyNumberFormat="1" applyFont="1" applyFill="1" applyBorder="1">
      <alignment vertical="center"/>
    </xf>
    <xf numFmtId="10" fontId="22" fillId="3" borderId="40" xfId="7" applyNumberFormat="1" applyFont="1" applyFill="1" applyBorder="1" applyAlignment="1">
      <alignment vertical="center"/>
    </xf>
    <xf numFmtId="10" fontId="18" fillId="8" borderId="34" xfId="0" applyNumberFormat="1" applyFont="1" applyFill="1" applyBorder="1">
      <alignment vertical="center"/>
    </xf>
    <xf numFmtId="0" fontId="19" fillId="2" borderId="17" xfId="2" applyFont="1" applyFill="1" applyBorder="1" applyAlignment="1">
      <alignment horizontal="center" vertical="center"/>
    </xf>
    <xf numFmtId="0" fontId="19" fillId="2" borderId="22" xfId="2" applyFont="1" applyFill="1" applyBorder="1" applyAlignment="1">
      <alignment horizontal="center" vertical="center"/>
    </xf>
    <xf numFmtId="0" fontId="19" fillId="2" borderId="18" xfId="2" applyFont="1" applyFill="1" applyBorder="1" applyAlignment="1">
      <alignment horizontal="center" vertical="center"/>
    </xf>
    <xf numFmtId="0" fontId="19" fillId="2" borderId="36" xfId="2" applyFont="1" applyFill="1" applyBorder="1" applyAlignment="1">
      <alignment horizontal="center" vertical="center"/>
    </xf>
    <xf numFmtId="179" fontId="22" fillId="3" borderId="20" xfId="6" applyNumberFormat="1" applyFont="1" applyFill="1" applyBorder="1" applyAlignment="1">
      <alignment vertical="center"/>
    </xf>
    <xf numFmtId="179" fontId="22" fillId="3" borderId="38" xfId="6" applyNumberFormat="1" applyFont="1" applyFill="1" applyBorder="1" applyAlignment="1">
      <alignment vertical="center"/>
    </xf>
    <xf numFmtId="179" fontId="22" fillId="3" borderId="12" xfId="6" applyNumberFormat="1" applyFont="1" applyFill="1" applyBorder="1" applyAlignment="1">
      <alignment vertical="center"/>
    </xf>
    <xf numFmtId="179" fontId="22" fillId="3" borderId="39" xfId="6" applyNumberFormat="1" applyFont="1" applyFill="1" applyBorder="1" applyAlignment="1">
      <alignment vertical="center"/>
    </xf>
    <xf numFmtId="179" fontId="22" fillId="3" borderId="13" xfId="6" applyNumberFormat="1" applyFont="1" applyFill="1" applyBorder="1" applyAlignment="1">
      <alignment vertical="center"/>
    </xf>
    <xf numFmtId="179" fontId="22" fillId="3" borderId="40" xfId="6" applyNumberFormat="1" applyFont="1" applyFill="1" applyBorder="1" applyAlignment="1">
      <alignment vertical="center"/>
    </xf>
    <xf numFmtId="10" fontId="22" fillId="3" borderId="42" xfId="6" applyNumberFormat="1" applyFont="1" applyFill="1" applyBorder="1" applyAlignment="1">
      <alignment vertical="center"/>
    </xf>
    <xf numFmtId="179" fontId="22" fillId="3" borderId="43" xfId="6" applyNumberFormat="1" applyFont="1" applyFill="1" applyBorder="1" applyAlignment="1">
      <alignment vertical="center"/>
    </xf>
    <xf numFmtId="179" fontId="22" fillId="3" borderId="26" xfId="6" applyNumberFormat="1" applyFont="1" applyFill="1" applyBorder="1" applyAlignment="1">
      <alignment vertical="center"/>
    </xf>
    <xf numFmtId="0" fontId="18" fillId="0" borderId="1" xfId="0" applyFont="1" applyBorder="1" applyAlignment="1">
      <alignment horizontal="right" vertical="center"/>
    </xf>
    <xf numFmtId="0" fontId="24" fillId="6" borderId="1" xfId="0" applyFont="1" applyFill="1" applyBorder="1">
      <alignment vertical="center"/>
    </xf>
    <xf numFmtId="41" fontId="24" fillId="6" borderId="1" xfId="75" applyFont="1" applyFill="1" applyBorder="1">
      <alignment vertical="center"/>
    </xf>
    <xf numFmtId="0" fontId="18" fillId="6" borderId="1" xfId="0" applyFont="1" applyFill="1" applyBorder="1">
      <alignment vertical="center"/>
    </xf>
    <xf numFmtId="180" fontId="18" fillId="6" borderId="1" xfId="75" applyNumberFormat="1" applyFont="1" applyFill="1" applyBorder="1">
      <alignment vertical="center"/>
    </xf>
    <xf numFmtId="0" fontId="22" fillId="6" borderId="0" xfId="6" applyFont="1" applyFill="1" applyAlignment="1">
      <alignment vertical="center"/>
    </xf>
    <xf numFmtId="179" fontId="18" fillId="6" borderId="0" xfId="0" applyNumberFormat="1" applyFont="1" applyFill="1">
      <alignment vertical="center"/>
    </xf>
    <xf numFmtId="176" fontId="18" fillId="6" borderId="0" xfId="8" applyNumberFormat="1" applyFont="1" applyFill="1">
      <alignment vertical="center"/>
    </xf>
    <xf numFmtId="0" fontId="19" fillId="6" borderId="0" xfId="0" applyFont="1" applyFill="1">
      <alignment vertical="center"/>
    </xf>
    <xf numFmtId="179" fontId="19" fillId="10" borderId="2" xfId="0" applyNumberFormat="1" applyFont="1" applyFill="1" applyBorder="1">
      <alignment vertical="center"/>
    </xf>
    <xf numFmtId="176" fontId="22" fillId="6" borderId="0" xfId="1" applyFont="1" applyFill="1" applyBorder="1" applyAlignment="1">
      <alignment horizontal="center" vertical="center"/>
    </xf>
    <xf numFmtId="176" fontId="18" fillId="6" borderId="0" xfId="3" applyFont="1" applyFill="1" applyBorder="1">
      <alignment vertical="center"/>
    </xf>
    <xf numFmtId="179" fontId="22" fillId="6" borderId="0" xfId="6" applyNumberFormat="1" applyFont="1" applyFill="1" applyAlignment="1">
      <alignment vertical="center"/>
    </xf>
    <xf numFmtId="0" fontId="18" fillId="9" borderId="2" xfId="0" applyFont="1" applyFill="1" applyBorder="1">
      <alignment vertical="center"/>
    </xf>
    <xf numFmtId="0" fontId="18" fillId="6" borderId="0" xfId="0" quotePrefix="1" applyFont="1" applyFill="1">
      <alignment vertical="center"/>
    </xf>
    <xf numFmtId="0" fontId="24" fillId="12" borderId="1" xfId="0" applyFont="1" applyFill="1" applyBorder="1" applyAlignment="1">
      <alignment horizontal="center" vertical="center"/>
    </xf>
    <xf numFmtId="41" fontId="18" fillId="0" borderId="1" xfId="75" applyFont="1" applyFill="1" applyBorder="1">
      <alignment vertical="center"/>
    </xf>
    <xf numFmtId="180" fontId="19" fillId="9" borderId="1" xfId="75" applyNumberFormat="1" applyFont="1" applyFill="1" applyBorder="1">
      <alignment vertical="center"/>
    </xf>
    <xf numFmtId="0" fontId="26" fillId="13" borderId="0" xfId="54" applyFont="1" applyFill="1" applyAlignment="1">
      <alignment horizontal="center" vertical="center"/>
    </xf>
    <xf numFmtId="0" fontId="27" fillId="6" borderId="0" xfId="54" applyFont="1" applyFill="1">
      <alignment vertical="center"/>
    </xf>
    <xf numFmtId="0" fontId="24" fillId="6" borderId="0" xfId="54" applyFont="1" applyFill="1">
      <alignment vertical="center"/>
    </xf>
    <xf numFmtId="41" fontId="28" fillId="14" borderId="0" xfId="76" applyFont="1" applyFill="1" applyAlignment="1">
      <alignment horizontal="center" vertical="center"/>
    </xf>
    <xf numFmtId="41" fontId="28" fillId="15" borderId="0" xfId="76" applyFont="1" applyFill="1" applyAlignment="1">
      <alignment horizontal="center" vertical="center"/>
    </xf>
    <xf numFmtId="0" fontId="24" fillId="6" borderId="0" xfId="54" applyFont="1" applyFill="1" applyAlignment="1">
      <alignment horizontal="center" vertical="center"/>
    </xf>
    <xf numFmtId="41" fontId="24" fillId="6" borderId="0" xfId="54" applyNumberFormat="1" applyFont="1" applyFill="1">
      <alignment vertical="center"/>
    </xf>
    <xf numFmtId="10" fontId="24" fillId="6" borderId="0" xfId="77" applyNumberFormat="1" applyFont="1" applyFill="1">
      <alignment vertical="center"/>
    </xf>
    <xf numFmtId="10" fontId="24" fillId="16" borderId="0" xfId="77" applyNumberFormat="1" applyFont="1" applyFill="1">
      <alignment vertical="center"/>
    </xf>
    <xf numFmtId="41" fontId="28" fillId="17" borderId="0" xfId="76" applyFont="1" applyFill="1" applyAlignment="1">
      <alignment horizontal="center" vertical="center"/>
    </xf>
    <xf numFmtId="0" fontId="24" fillId="12" borderId="1" xfId="54" applyFont="1" applyFill="1" applyBorder="1" applyAlignment="1">
      <alignment horizontal="center" vertical="center"/>
    </xf>
    <xf numFmtId="41" fontId="24" fillId="6" borderId="0" xfId="76" applyFont="1" applyFill="1">
      <alignment vertical="center"/>
    </xf>
    <xf numFmtId="10" fontId="24" fillId="18" borderId="0" xfId="77" applyNumberFormat="1" applyFont="1" applyFill="1">
      <alignment vertical="center"/>
    </xf>
    <xf numFmtId="0" fontId="24" fillId="6" borderId="1" xfId="54" applyFont="1" applyFill="1" applyBorder="1">
      <alignment vertical="center"/>
    </xf>
    <xf numFmtId="41" fontId="24" fillId="6" borderId="1" xfId="76" applyFont="1" applyFill="1" applyBorder="1">
      <alignment vertical="center"/>
    </xf>
    <xf numFmtId="180" fontId="24" fillId="6" borderId="1" xfId="76" applyNumberFormat="1" applyFont="1" applyFill="1" applyBorder="1">
      <alignment vertical="center"/>
    </xf>
    <xf numFmtId="41" fontId="24" fillId="7" borderId="1" xfId="76" applyFont="1" applyFill="1" applyBorder="1">
      <alignment vertical="center"/>
    </xf>
    <xf numFmtId="0" fontId="27" fillId="6" borderId="44" xfId="54" applyFont="1" applyFill="1" applyBorder="1" applyAlignment="1">
      <alignment horizontal="center" vertical="center"/>
    </xf>
    <xf numFmtId="0" fontId="27" fillId="6" borderId="0" xfId="54" applyFont="1" applyFill="1" applyAlignment="1">
      <alignment horizontal="center" vertical="center"/>
    </xf>
    <xf numFmtId="41" fontId="24" fillId="6" borderId="44" xfId="76" applyFont="1" applyFill="1" applyBorder="1">
      <alignment vertical="center"/>
    </xf>
    <xf numFmtId="0" fontId="24" fillId="6" borderId="44" xfId="54" applyFont="1" applyFill="1" applyBorder="1">
      <alignment vertical="center"/>
    </xf>
    <xf numFmtId="0" fontId="24" fillId="6" borderId="45" xfId="54" applyFont="1" applyFill="1" applyBorder="1">
      <alignment vertical="center"/>
    </xf>
    <xf numFmtId="41" fontId="24" fillId="6" borderId="45" xfId="54" applyNumberFormat="1" applyFont="1" applyFill="1" applyBorder="1">
      <alignment vertical="center"/>
    </xf>
    <xf numFmtId="10" fontId="29" fillId="19" borderId="45" xfId="77" applyNumberFormat="1" applyFont="1" applyFill="1" applyBorder="1">
      <alignment vertical="center"/>
    </xf>
    <xf numFmtId="0" fontId="24" fillId="6" borderId="46" xfId="54" applyFont="1" applyFill="1" applyBorder="1">
      <alignment vertical="center"/>
    </xf>
    <xf numFmtId="10" fontId="29" fillId="19" borderId="44" xfId="77" applyNumberFormat="1" applyFont="1" applyFill="1" applyBorder="1">
      <alignment vertical="center"/>
    </xf>
    <xf numFmtId="10" fontId="24" fillId="6" borderId="0" xfId="54" applyNumberFormat="1" applyFont="1" applyFill="1">
      <alignment vertical="center"/>
    </xf>
    <xf numFmtId="43" fontId="24" fillId="19" borderId="44" xfId="54" applyNumberFormat="1" applyFont="1" applyFill="1" applyBorder="1">
      <alignment vertical="center"/>
    </xf>
    <xf numFmtId="0" fontId="19" fillId="2" borderId="47" xfId="2" applyFont="1" applyFill="1" applyBorder="1" applyAlignment="1">
      <alignment horizontal="center" vertical="center"/>
    </xf>
    <xf numFmtId="179" fontId="18" fillId="7" borderId="48" xfId="3" applyNumberFormat="1" applyFont="1" applyFill="1" applyBorder="1">
      <alignment vertical="center"/>
    </xf>
    <xf numFmtId="179" fontId="18" fillId="7" borderId="49" xfId="3" applyNumberFormat="1" applyFont="1" applyFill="1" applyBorder="1">
      <alignment vertical="center"/>
    </xf>
    <xf numFmtId="0" fontId="18" fillId="3" borderId="47" xfId="0" applyFont="1" applyFill="1" applyBorder="1">
      <alignment vertical="center"/>
    </xf>
    <xf numFmtId="0" fontId="18" fillId="3" borderId="48" xfId="0" applyFont="1" applyFill="1" applyBorder="1">
      <alignment vertical="center"/>
    </xf>
    <xf numFmtId="0" fontId="18" fillId="3" borderId="49" xfId="0" applyFont="1" applyFill="1" applyBorder="1">
      <alignment vertical="center"/>
    </xf>
    <xf numFmtId="0" fontId="18" fillId="0" borderId="0" xfId="0" quotePrefix="1" applyFont="1">
      <alignment vertical="center"/>
    </xf>
    <xf numFmtId="0" fontId="18" fillId="0" borderId="0" xfId="0" applyFont="1">
      <alignment vertical="center"/>
    </xf>
    <xf numFmtId="0" fontId="19" fillId="0" borderId="0" xfId="0" applyFont="1">
      <alignment vertical="center"/>
    </xf>
    <xf numFmtId="0" fontId="18" fillId="3" borderId="2" xfId="0" applyFont="1" applyFill="1" applyBorder="1">
      <alignment vertical="center"/>
    </xf>
    <xf numFmtId="176" fontId="22" fillId="0" borderId="0" xfId="1" applyFont="1" applyFill="1" applyBorder="1" applyAlignment="1">
      <alignment horizontal="center" vertical="center"/>
    </xf>
    <xf numFmtId="176" fontId="18" fillId="0" borderId="0" xfId="3" applyFont="1" applyFill="1" applyBorder="1">
      <alignment vertical="center"/>
    </xf>
    <xf numFmtId="0" fontId="18" fillId="3" borderId="27" xfId="0" applyFont="1" applyFill="1" applyBorder="1">
      <alignment vertical="center"/>
    </xf>
    <xf numFmtId="0" fontId="18" fillId="3" borderId="30" xfId="0" applyFont="1" applyFill="1" applyBorder="1">
      <alignment vertical="center"/>
    </xf>
    <xf numFmtId="0" fontId="18" fillId="3" borderId="28" xfId="0" applyFont="1" applyFill="1" applyBorder="1">
      <alignment vertical="center"/>
    </xf>
    <xf numFmtId="0" fontId="22" fillId="0" borderId="0" xfId="6" applyFont="1" applyAlignment="1">
      <alignment vertical="center"/>
    </xf>
    <xf numFmtId="179" fontId="18" fillId="0" borderId="0" xfId="0" applyNumberFormat="1" applyFont="1">
      <alignment vertical="center"/>
    </xf>
    <xf numFmtId="176" fontId="18" fillId="0" borderId="0" xfId="8" applyNumberFormat="1" applyFont="1">
      <alignment vertical="center"/>
    </xf>
    <xf numFmtId="179" fontId="22" fillId="0" borderId="0" xfId="6" applyNumberFormat="1" applyFont="1" applyAlignment="1">
      <alignment vertical="center"/>
    </xf>
    <xf numFmtId="41" fontId="18" fillId="6" borderId="0" xfId="75" applyFont="1" applyFill="1">
      <alignment vertical="center"/>
    </xf>
    <xf numFmtId="41" fontId="28" fillId="17" borderId="0" xfId="76" applyFont="1" applyFill="1" applyAlignment="1">
      <alignment horizontal="center" vertical="center"/>
    </xf>
    <xf numFmtId="41" fontId="20" fillId="2" borderId="24" xfId="42" applyFont="1" applyFill="1" applyBorder="1" applyAlignment="1">
      <alignment horizontal="center" vertical="center"/>
    </xf>
    <xf numFmtId="41" fontId="20" fillId="2" borderId="25" xfId="42" applyFont="1" applyFill="1" applyBorder="1" applyAlignment="1">
      <alignment horizontal="center" vertical="center"/>
    </xf>
    <xf numFmtId="0" fontId="18" fillId="0" borderId="41" xfId="0" applyFont="1" applyBorder="1" applyAlignment="1">
      <alignment horizontal="center" vertical="center"/>
    </xf>
    <xf numFmtId="41" fontId="24" fillId="11" borderId="1" xfId="75" applyFont="1" applyFill="1" applyBorder="1" applyAlignment="1">
      <alignment horizontal="center" vertical="center"/>
    </xf>
    <xf numFmtId="0" fontId="18" fillId="6" borderId="41" xfId="0" applyFont="1" applyFill="1" applyBorder="1" applyAlignment="1">
      <alignment horizontal="center" vertical="center"/>
    </xf>
    <xf numFmtId="0" fontId="18" fillId="6" borderId="0" xfId="0" applyFont="1" applyFill="1" applyAlignment="1">
      <alignment horizontal="right" vertical="center"/>
    </xf>
    <xf numFmtId="0" fontId="22" fillId="6" borderId="0" xfId="6" applyFont="1" applyFill="1" applyAlignment="1">
      <alignment horizontal="right" vertical="center"/>
    </xf>
    <xf numFmtId="41" fontId="22" fillId="6" borderId="1" xfId="75" applyFont="1" applyFill="1" applyBorder="1" applyAlignment="1">
      <alignment vertical="center"/>
    </xf>
    <xf numFmtId="41" fontId="18" fillId="6" borderId="1" xfId="75" applyFont="1" applyFill="1" applyBorder="1">
      <alignment vertical="center"/>
    </xf>
    <xf numFmtId="0" fontId="22" fillId="6" borderId="1" xfId="6" applyFont="1" applyFill="1" applyBorder="1" applyAlignment="1">
      <alignment horizontal="center" vertical="center"/>
    </xf>
    <xf numFmtId="41" fontId="18" fillId="6" borderId="0" xfId="0" applyNumberFormat="1" applyFont="1" applyFill="1">
      <alignment vertical="center"/>
    </xf>
    <xf numFmtId="41" fontId="18" fillId="6" borderId="1" xfId="0" applyNumberFormat="1" applyFont="1" applyFill="1" applyBorder="1">
      <alignment vertical="center"/>
    </xf>
    <xf numFmtId="0" fontId="18" fillId="20" borderId="1" xfId="0" applyFont="1" applyFill="1" applyBorder="1">
      <alignment vertical="center"/>
    </xf>
    <xf numFmtId="41" fontId="18" fillId="20" borderId="1" xfId="0" applyNumberFormat="1" applyFont="1" applyFill="1" applyBorder="1">
      <alignment vertical="center"/>
    </xf>
    <xf numFmtId="0" fontId="18" fillId="20" borderId="0" xfId="0" applyFont="1" applyFill="1">
      <alignment vertical="center"/>
    </xf>
    <xf numFmtId="0" fontId="18" fillId="20" borderId="1" xfId="0" applyFont="1" applyFill="1" applyBorder="1" applyAlignment="1">
      <alignment horizontal="center" vertical="center"/>
    </xf>
  </cellXfs>
  <cellStyles count="78">
    <cellStyle name="_x001f_?--_x0004_ _x000c_ _x0003__x000b__x0001__x000a__x000b__x0002_--_x0008__x0004__x0002__x0002__x0007__x0007__x0007__x0007__x0007__x0007__x0007__x0007__x0007__x0007__x0007__x0007__x0007__x0007__x0002_-_x0004_ _x000c_ _x0003__x000b__x0001__x000a__x000b__x0002_--_x0008__x0002_" xfId="51" xr:uid="{00000000-0005-0000-0000-000000000000}"/>
    <cellStyle name="_x001f_?--_x0004_ _x000c__x0009__x0003__x000b__x0001__x000a__x000b__x0002_--_x0008__x0004__x0002__x0002__x0007__x0007__x0007__x0007__x0007__x0007__x0007__x0007__x0007__x0007__x0007__x0007__x0007__x0007__x0002_-_x0004_ _x000c__x0009__x0003__x000b__x0001__x000a__x000b__x0002_--_x0008__x0002_" xfId="25" xr:uid="{00000000-0005-0000-0000-000001000000}"/>
    <cellStyle name="Comma 2" xfId="13" xr:uid="{00000000-0005-0000-0000-000002000000}"/>
    <cellStyle name="Comma 3" xfId="14" xr:uid="{00000000-0005-0000-0000-000003000000}"/>
    <cellStyle name="Currency 2" xfId="12" xr:uid="{00000000-0005-0000-0000-000004000000}"/>
    <cellStyle name="Followed Hyperlink" xfId="18" xr:uid="{00000000-0005-0000-0000-000005000000}"/>
    <cellStyle name="Normal 2" xfId="10" xr:uid="{00000000-0005-0000-0000-000006000000}"/>
    <cellStyle name="Normal 2 2" xfId="15" xr:uid="{00000000-0005-0000-0000-000007000000}"/>
    <cellStyle name="Normal 3" xfId="16" xr:uid="{00000000-0005-0000-0000-000008000000}"/>
    <cellStyle name="Normal 3 2" xfId="19" xr:uid="{00000000-0005-0000-0000-000009000000}"/>
    <cellStyle name="Normal 4" xfId="17" xr:uid="{00000000-0005-0000-0000-00000A000000}"/>
    <cellStyle name="Percent 2" xfId="11" xr:uid="{00000000-0005-0000-0000-00000B000000}"/>
    <cellStyle name="백분율 2" xfId="26" xr:uid="{00000000-0005-0000-0000-00000C000000}"/>
    <cellStyle name="백분율 2 5" xfId="48" xr:uid="{00000000-0005-0000-0000-00000D000000}"/>
    <cellStyle name="백분율 3" xfId="30" xr:uid="{00000000-0005-0000-0000-00000E000000}"/>
    <cellStyle name="백분율 3 3" xfId="39" xr:uid="{00000000-0005-0000-0000-00000F000000}"/>
    <cellStyle name="백분율 3 6" xfId="68" xr:uid="{00000000-0005-0000-0000-000010000000}"/>
    <cellStyle name="백분율 4" xfId="29" xr:uid="{00000000-0005-0000-0000-000011000000}"/>
    <cellStyle name="백분율 5" xfId="7" xr:uid="{00000000-0005-0000-0000-000012000000}"/>
    <cellStyle name="백분율 6" xfId="38" xr:uid="{00000000-0005-0000-0000-000013000000}"/>
    <cellStyle name="백분율 7" xfId="77" xr:uid="{00000000-0005-0000-0000-000014000000}"/>
    <cellStyle name="쉼표 [0]" xfId="75" builtinId="6"/>
    <cellStyle name="쉼표 [0] 11" xfId="27" xr:uid="{00000000-0005-0000-0000-000016000000}"/>
    <cellStyle name="쉼표 [0] 11 2 4" xfId="4" xr:uid="{00000000-0005-0000-0000-000017000000}"/>
    <cellStyle name="쉼표 [0] 11 2 4 2" xfId="45" xr:uid="{00000000-0005-0000-0000-000018000000}"/>
    <cellStyle name="쉼표 [0] 12 3 2" xfId="44" xr:uid="{00000000-0005-0000-0000-000019000000}"/>
    <cellStyle name="쉼표 [0] 12 3 2 2" xfId="3" xr:uid="{00000000-0005-0000-0000-00001A000000}"/>
    <cellStyle name="쉼표 [0] 12 3 2 2 2" xfId="69" xr:uid="{00000000-0005-0000-0000-00001B000000}"/>
    <cellStyle name="쉼표 [0] 13 2" xfId="36" xr:uid="{00000000-0005-0000-0000-00001C000000}"/>
    <cellStyle name="쉼표 [0] 13 2 2" xfId="65" xr:uid="{00000000-0005-0000-0000-00001D000000}"/>
    <cellStyle name="쉼표 [0] 15" xfId="5" xr:uid="{00000000-0005-0000-0000-00001E000000}"/>
    <cellStyle name="쉼표 [0] 15 2" xfId="46" xr:uid="{00000000-0005-0000-0000-00001F000000}"/>
    <cellStyle name="쉼표 [0] 17" xfId="52" xr:uid="{00000000-0005-0000-0000-000020000000}"/>
    <cellStyle name="쉼표 [0] 2" xfId="37" xr:uid="{00000000-0005-0000-0000-000021000000}"/>
    <cellStyle name="쉼표 [0] 2 2 2 3" xfId="1" xr:uid="{00000000-0005-0000-0000-000022000000}"/>
    <cellStyle name="쉼표 [0] 2 2 2 3 2" xfId="42" xr:uid="{00000000-0005-0000-0000-000023000000}"/>
    <cellStyle name="쉼표 [0] 2 3 2" xfId="40" xr:uid="{00000000-0005-0000-0000-000024000000}"/>
    <cellStyle name="쉼표 [0] 2 7" xfId="24" xr:uid="{00000000-0005-0000-0000-000025000000}"/>
    <cellStyle name="쉼표 [0] 3" xfId="63" xr:uid="{00000000-0005-0000-0000-000026000000}"/>
    <cellStyle name="쉼표 [0] 3 4 2" xfId="23" xr:uid="{00000000-0005-0000-0000-000027000000}"/>
    <cellStyle name="쉼표 [0] 3 4 2 4" xfId="34" xr:uid="{00000000-0005-0000-0000-000028000000}"/>
    <cellStyle name="쉼표 [0] 3 4 2 4 2" xfId="67" xr:uid="{00000000-0005-0000-0000-000029000000}"/>
    <cellStyle name="쉼표 [0] 4" xfId="76" xr:uid="{00000000-0005-0000-0000-00002A000000}"/>
    <cellStyle name="쉼표 [0] 5 2" xfId="28" xr:uid="{00000000-0005-0000-0000-00002B000000}"/>
    <cellStyle name="쉼표 [0] 7 2" xfId="35" xr:uid="{00000000-0005-0000-0000-00002C000000}"/>
    <cellStyle name="쉼표 [0] 7 2 2" xfId="50" xr:uid="{00000000-0005-0000-0000-00002D000000}"/>
    <cellStyle name="쉼표 [0] 9 2 2 3 2" xfId="62" xr:uid="{00000000-0005-0000-0000-00002E000000}"/>
    <cellStyle name="쉼표 [0] 9 2 2 3 2 2" xfId="73" xr:uid="{00000000-0005-0000-0000-00002F000000}"/>
    <cellStyle name="열어 본 하이퍼링크" xfId="74" builtinId="9" customBuiltin="1"/>
    <cellStyle name="표준" xfId="0" builtinId="0"/>
    <cellStyle name="표준 10 3 2" xfId="57" xr:uid="{00000000-0005-0000-0000-000032000000}"/>
    <cellStyle name="표준 10 6" xfId="53" xr:uid="{00000000-0005-0000-0000-000033000000}"/>
    <cellStyle name="표준 16 3 2" xfId="58" xr:uid="{00000000-0005-0000-0000-000034000000}"/>
    <cellStyle name="표준 2" xfId="20" xr:uid="{00000000-0005-0000-0000-000035000000}"/>
    <cellStyle name="표준 2 2 2 5" xfId="54" xr:uid="{00000000-0005-0000-0000-000036000000}"/>
    <cellStyle name="표준 2 4" xfId="6" xr:uid="{00000000-0005-0000-0000-000037000000}"/>
    <cellStyle name="표준 2 7 2" xfId="22" xr:uid="{00000000-0005-0000-0000-000038000000}"/>
    <cellStyle name="표준 2 7 2 4" xfId="33" xr:uid="{00000000-0005-0000-0000-000039000000}"/>
    <cellStyle name="표준 2 7 2 4 2" xfId="66" xr:uid="{00000000-0005-0000-0000-00003A000000}"/>
    <cellStyle name="표준 3" xfId="32" xr:uid="{00000000-0005-0000-0000-00003B000000}"/>
    <cellStyle name="표준 3 6" xfId="49" xr:uid="{00000000-0005-0000-0000-00003C000000}"/>
    <cellStyle name="표준 4" xfId="9" xr:uid="{00000000-0005-0000-0000-00003D000000}"/>
    <cellStyle name="표준 4 2 2 2 2" xfId="41" xr:uid="{00000000-0005-0000-0000-00003E000000}"/>
    <cellStyle name="표준 4 2 2 2 2 2" xfId="70" xr:uid="{00000000-0005-0000-0000-00003F000000}"/>
    <cellStyle name="표준 4 5" xfId="31" xr:uid="{00000000-0005-0000-0000-000040000000}"/>
    <cellStyle name="표준 48" xfId="43" xr:uid="{00000000-0005-0000-0000-000041000000}"/>
    <cellStyle name="표준 48 2" xfId="2" xr:uid="{00000000-0005-0000-0000-000042000000}"/>
    <cellStyle name="표준 5" xfId="56" xr:uid="{00000000-0005-0000-0000-000043000000}"/>
    <cellStyle name="표준 51" xfId="47" xr:uid="{00000000-0005-0000-0000-000044000000}"/>
    <cellStyle name="표준 51 2" xfId="8" xr:uid="{00000000-0005-0000-0000-000045000000}"/>
    <cellStyle name="표준 52" xfId="59" xr:uid="{00000000-0005-0000-0000-000046000000}"/>
    <cellStyle name="표준 53" xfId="55" xr:uid="{00000000-0005-0000-0000-000047000000}"/>
    <cellStyle name="표준 54" xfId="60" xr:uid="{00000000-0005-0000-0000-000048000000}"/>
    <cellStyle name="표준 54 2" xfId="71" xr:uid="{00000000-0005-0000-0000-000049000000}"/>
    <cellStyle name="표준 7 2 2 2 3 2" xfId="61" xr:uid="{00000000-0005-0000-0000-00004A000000}"/>
    <cellStyle name="표준 7 2 2 2 3 2 2" xfId="72" xr:uid="{00000000-0005-0000-0000-00004B000000}"/>
    <cellStyle name="하이퍼링크" xfId="64" builtinId="8" customBuiltin="1"/>
    <cellStyle name="하이퍼링크 2" xfId="21" xr:uid="{00000000-0005-0000-0000-00004D000000}"/>
  </cellStyles>
  <dxfs count="0"/>
  <tableStyles count="0" defaultTableStyle="TableStyleMedium2" defaultPivotStyle="PivotStyleLight16"/>
  <colors>
    <mruColors>
      <color rgb="FFFCE4D6"/>
      <color rgb="FFBDD7EE"/>
      <color rgb="FFFFFF99"/>
      <color rgb="FFC5C2C2"/>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180975</xdr:colOff>
      <xdr:row>1</xdr:row>
      <xdr:rowOff>9525</xdr:rowOff>
    </xdr:from>
    <xdr:to>
      <xdr:col>3</xdr:col>
      <xdr:colOff>295275</xdr:colOff>
      <xdr:row>3</xdr:row>
      <xdr:rowOff>9525</xdr:rowOff>
    </xdr:to>
    <xdr:grpSp>
      <xdr:nvGrpSpPr>
        <xdr:cNvPr id="2" name="그룹 4">
          <a:extLst>
            <a:ext uri="{FF2B5EF4-FFF2-40B4-BE49-F238E27FC236}">
              <a16:creationId xmlns:a16="http://schemas.microsoft.com/office/drawing/2014/main" id="{00000000-0008-0000-0100-000002000000}"/>
            </a:ext>
          </a:extLst>
        </xdr:cNvPr>
        <xdr:cNvGrpSpPr>
          <a:grpSpLocks/>
        </xdr:cNvGrpSpPr>
      </xdr:nvGrpSpPr>
      <xdr:grpSpPr bwMode="auto">
        <a:xfrm>
          <a:off x="180975" y="190500"/>
          <a:ext cx="3371850" cy="361950"/>
          <a:chOff x="483870" y="234315"/>
          <a:chExt cx="4105275" cy="361950"/>
        </a:xfrm>
      </xdr:grpSpPr>
      <xdr:sp macro="" textlink="">
        <xdr:nvSpPr>
          <xdr:cNvPr id="3" name="Freeform 6">
            <a:extLst>
              <a:ext uri="{FF2B5EF4-FFF2-40B4-BE49-F238E27FC236}">
                <a16:creationId xmlns:a16="http://schemas.microsoft.com/office/drawing/2014/main" id="{00000000-0008-0000-0100-000003000000}"/>
              </a:ext>
            </a:extLst>
          </xdr:cNvPr>
          <xdr:cNvSpPr>
            <a:spLocks/>
          </xdr:cNvSpPr>
        </xdr:nvSpPr>
        <xdr:spPr bwMode="auto">
          <a:xfrm>
            <a:off x="483870" y="414020"/>
            <a:ext cx="1186180" cy="182245"/>
          </a:xfrm>
          <a:custGeom>
            <a:avLst/>
            <a:gdLst>
              <a:gd name="T0" fmla="*/ 2147483646 w 2320"/>
              <a:gd name="T1" fmla="*/ 2147483646 h 792"/>
              <a:gd name="T2" fmla="*/ 2147483646 w 2320"/>
              <a:gd name="T3" fmla="*/ 0 h 792"/>
              <a:gd name="T4" fmla="*/ 0 w 2320"/>
              <a:gd name="T5" fmla="*/ 0 h 792"/>
              <a:gd name="T6" fmla="*/ 0 w 2320"/>
              <a:gd name="T7" fmla="*/ 2147483646 h 792"/>
              <a:gd name="T8" fmla="*/ 2147483646 w 2320"/>
              <a:gd name="T9" fmla="*/ 2147483646 h 792"/>
              <a:gd name="T10" fmla="*/ 2147483646 w 2320"/>
              <a:gd name="T11" fmla="*/ 2147483646 h 792"/>
              <a:gd name="T12" fmla="*/ 2147483646 w 2320"/>
              <a:gd name="T13" fmla="*/ 2147483646 h 792"/>
              <a:gd name="T14" fmla="*/ 0 60000 65536"/>
              <a:gd name="T15" fmla="*/ 0 60000 65536"/>
              <a:gd name="T16" fmla="*/ 0 60000 65536"/>
              <a:gd name="T17" fmla="*/ 0 60000 65536"/>
              <a:gd name="T18" fmla="*/ 0 60000 65536"/>
              <a:gd name="T19" fmla="*/ 0 60000 65536"/>
              <a:gd name="T20" fmla="*/ 0 60000 65536"/>
              <a:gd name="T21" fmla="*/ 0 w 2320"/>
              <a:gd name="T22" fmla="*/ 0 h 792"/>
              <a:gd name="T23" fmla="*/ 2320 w 2320"/>
              <a:gd name="T24" fmla="*/ 792 h 79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320" h="792">
                <a:moveTo>
                  <a:pt x="88" y="696"/>
                </a:moveTo>
                <a:lnTo>
                  <a:pt x="88" y="0"/>
                </a:lnTo>
                <a:lnTo>
                  <a:pt x="0" y="0"/>
                </a:lnTo>
                <a:lnTo>
                  <a:pt x="0" y="792"/>
                </a:lnTo>
                <a:lnTo>
                  <a:pt x="2320" y="792"/>
                </a:lnTo>
                <a:lnTo>
                  <a:pt x="2320" y="696"/>
                </a:lnTo>
                <a:lnTo>
                  <a:pt x="88" y="696"/>
                </a:lnTo>
                <a:close/>
              </a:path>
            </a:pathLst>
          </a:custGeom>
          <a:solidFill>
            <a:srgbClr val="91BF63"/>
          </a:solidFill>
          <a:ln>
            <a:noFill/>
          </a:ln>
          <a:extLst>
            <a:ext uri="{91240B29-F687-4F45-9708-019B960494DF}">
              <a14:hiddenLine xmlns:a14="http://schemas.microsoft.com/office/drawing/2010/main" w="0" cap="flat" cmpd="sng">
                <a:solidFill>
                  <a:srgbClr val="000000"/>
                </a:solidFill>
                <a:round/>
                <a:headEnd/>
                <a:tailEnd/>
              </a14:hiddenLine>
            </a:ext>
          </a:extLst>
        </xdr:spPr>
      </xdr:sp>
      <xdr:sp macro="" textlink="">
        <xdr:nvSpPr>
          <xdr:cNvPr id="4" name="Freeform 7">
            <a:extLst>
              <a:ext uri="{FF2B5EF4-FFF2-40B4-BE49-F238E27FC236}">
                <a16:creationId xmlns:a16="http://schemas.microsoft.com/office/drawing/2014/main" id="{00000000-0008-0000-0100-000004000000}"/>
              </a:ext>
            </a:extLst>
          </xdr:cNvPr>
          <xdr:cNvSpPr>
            <a:spLocks/>
          </xdr:cNvSpPr>
        </xdr:nvSpPr>
        <xdr:spPr bwMode="auto">
          <a:xfrm rot="10800000">
            <a:off x="3460115" y="234315"/>
            <a:ext cx="1129030" cy="181610"/>
          </a:xfrm>
          <a:custGeom>
            <a:avLst/>
            <a:gdLst>
              <a:gd name="T0" fmla="*/ 2147483646 w 2320"/>
              <a:gd name="T1" fmla="*/ 2147483646 h 792"/>
              <a:gd name="T2" fmla="*/ 2147483646 w 2320"/>
              <a:gd name="T3" fmla="*/ 0 h 792"/>
              <a:gd name="T4" fmla="*/ 0 w 2320"/>
              <a:gd name="T5" fmla="*/ 0 h 792"/>
              <a:gd name="T6" fmla="*/ 0 w 2320"/>
              <a:gd name="T7" fmla="*/ 2147483646 h 792"/>
              <a:gd name="T8" fmla="*/ 2147483646 w 2320"/>
              <a:gd name="T9" fmla="*/ 2147483646 h 792"/>
              <a:gd name="T10" fmla="*/ 2147483646 w 2320"/>
              <a:gd name="T11" fmla="*/ 2147483646 h 792"/>
              <a:gd name="T12" fmla="*/ 2147483646 w 2320"/>
              <a:gd name="T13" fmla="*/ 2147483646 h 792"/>
              <a:gd name="T14" fmla="*/ 0 60000 65536"/>
              <a:gd name="T15" fmla="*/ 0 60000 65536"/>
              <a:gd name="T16" fmla="*/ 0 60000 65536"/>
              <a:gd name="T17" fmla="*/ 0 60000 65536"/>
              <a:gd name="T18" fmla="*/ 0 60000 65536"/>
              <a:gd name="T19" fmla="*/ 0 60000 65536"/>
              <a:gd name="T20" fmla="*/ 0 60000 65536"/>
              <a:gd name="T21" fmla="*/ 0 w 2320"/>
              <a:gd name="T22" fmla="*/ 0 h 792"/>
              <a:gd name="T23" fmla="*/ 2320 w 2320"/>
              <a:gd name="T24" fmla="*/ 792 h 79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320" h="792">
                <a:moveTo>
                  <a:pt x="88" y="696"/>
                </a:moveTo>
                <a:lnTo>
                  <a:pt x="88" y="0"/>
                </a:lnTo>
                <a:lnTo>
                  <a:pt x="0" y="0"/>
                </a:lnTo>
                <a:lnTo>
                  <a:pt x="0" y="792"/>
                </a:lnTo>
                <a:lnTo>
                  <a:pt x="2320" y="792"/>
                </a:lnTo>
                <a:lnTo>
                  <a:pt x="2320" y="696"/>
                </a:lnTo>
                <a:lnTo>
                  <a:pt x="88" y="696"/>
                </a:lnTo>
                <a:close/>
              </a:path>
            </a:pathLst>
          </a:custGeom>
          <a:solidFill>
            <a:srgbClr val="91BF63"/>
          </a:solidFill>
          <a:ln>
            <a:noFill/>
          </a:ln>
          <a:extLst>
            <a:ext uri="{91240B29-F687-4F45-9708-019B960494DF}">
              <a14:hiddenLine xmlns:a14="http://schemas.microsoft.com/office/drawing/2010/main" w="0" cap="flat" cmpd="sng">
                <a:solidFill>
                  <a:srgbClr val="000000"/>
                </a:solidFill>
                <a:round/>
                <a:headEnd/>
                <a:tailEnd/>
              </a14:hiddenLine>
            </a:ext>
          </a:extLst>
        </xdr:spPr>
      </xdr:sp>
      <xdr:sp macro="" textlink="">
        <xdr:nvSpPr>
          <xdr:cNvPr id="5" name="Rectangle 8">
            <a:extLst>
              <a:ext uri="{FF2B5EF4-FFF2-40B4-BE49-F238E27FC236}">
                <a16:creationId xmlns:a16="http://schemas.microsoft.com/office/drawing/2014/main" id="{00000000-0008-0000-0100-000005000000}"/>
              </a:ext>
            </a:extLst>
          </xdr:cNvPr>
          <xdr:cNvSpPr>
            <a:spLocks/>
          </xdr:cNvSpPr>
        </xdr:nvSpPr>
        <xdr:spPr>
          <a:xfrm>
            <a:off x="599838" y="272415"/>
            <a:ext cx="3873339" cy="285750"/>
          </a:xfrm>
          <a:prstGeom prst="rect">
            <a:avLst/>
          </a:prstGeom>
          <a:solidFill>
            <a:srgbClr val="86B600"/>
          </a:solidFill>
          <a:ln w="0" cap="flat" cmpd="sng">
            <a:noFill/>
            <a:prstDash/>
          </a:ln>
          <a:effectLst>
            <a:outerShdw sy="50000" kx="-2453608" rotWithShape="0">
              <a:srgbClr val="B2B2B2">
                <a:alpha val="49803"/>
              </a:srgbClr>
            </a:outerShdw>
          </a:effectLst>
        </xdr:spPr>
        <xdr:txBody>
          <a:bodyPr vertOverflow="clip" wrap="square" lIns="91440" tIns="45720" rIns="91440" bIns="45720" anchor="ctr">
            <a:noAutofit/>
          </a:bodyPr>
          <a:lstStyle/>
          <a:p>
            <a:pPr algn="l">
              <a:buFontTx/>
              <a:buNone/>
            </a:pPr>
            <a:r>
              <a:rPr lang="en-US" altLang="ko-KR" sz="1400" b="1" kern="1200" cap="none" dirty="0">
                <a:solidFill>
                  <a:srgbClr val="FFFFFF"/>
                </a:solidFill>
                <a:latin typeface="맑은 고딕"/>
                <a:ea typeface="맑은 고딕"/>
              </a:rPr>
              <a:t>3</a:t>
            </a:r>
            <a:r>
              <a:rPr lang="ko-KR" altLang="en-US" sz="1400" b="1" kern="1200" cap="none" dirty="0">
                <a:solidFill>
                  <a:srgbClr val="FFFFFF"/>
                </a:solidFill>
                <a:latin typeface="맑은 고딕"/>
                <a:ea typeface="맑은 고딕"/>
              </a:rPr>
              <a:t>-</a:t>
            </a:r>
            <a:r>
              <a:rPr lang="en-US" altLang="ko-KR" sz="1400" b="1" kern="1200" cap="none" dirty="0">
                <a:solidFill>
                  <a:srgbClr val="FFFFFF"/>
                </a:solidFill>
                <a:latin typeface="맑은 고딕"/>
                <a:ea typeface="맑은 고딕"/>
              </a:rPr>
              <a:t>2</a:t>
            </a:r>
            <a:r>
              <a:rPr lang="ko-KR" altLang="en-US" sz="1400" b="1" kern="1200" cap="none" dirty="0">
                <a:solidFill>
                  <a:srgbClr val="FFFFFF"/>
                </a:solidFill>
                <a:latin typeface="맑은 고딕"/>
                <a:ea typeface="맑은 고딕"/>
              </a:rPr>
              <a:t>. 외상매출금 연령분석(201</a:t>
            </a:r>
            <a:r>
              <a:rPr lang="en-US" altLang="ko-KR" sz="1400" b="1" kern="1200" cap="none" dirty="0">
                <a:solidFill>
                  <a:srgbClr val="FFFFFF"/>
                </a:solidFill>
                <a:latin typeface="맑은 고딕"/>
                <a:ea typeface="맑은 고딕"/>
              </a:rPr>
              <a:t>9</a:t>
            </a:r>
            <a:r>
              <a:rPr lang="ko-KR" altLang="en-US" sz="1400" b="1" kern="1200" cap="none" dirty="0">
                <a:solidFill>
                  <a:srgbClr val="FFFFFF"/>
                </a:solidFill>
                <a:latin typeface="맑은 고딕"/>
                <a:ea typeface="맑은 고딕"/>
              </a:rPr>
              <a:t>.</a:t>
            </a:r>
            <a:r>
              <a:rPr lang="en-US" altLang="ko-KR" sz="1400" b="1" kern="1200" cap="none" dirty="0">
                <a:solidFill>
                  <a:srgbClr val="FFFFFF"/>
                </a:solidFill>
                <a:latin typeface="맑은 고딕"/>
                <a:ea typeface="맑은 고딕"/>
              </a:rPr>
              <a:t>09</a:t>
            </a:r>
            <a:r>
              <a:rPr lang="ko-KR" altLang="en-US" sz="1400" b="1" kern="1200" cap="none" dirty="0">
                <a:solidFill>
                  <a:srgbClr val="FFFFFF"/>
                </a:solidFill>
                <a:latin typeface="맑은 고딕"/>
                <a:ea typeface="맑은 고딕"/>
              </a:rPr>
              <a:t>)</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1</xdr:row>
      <xdr:rowOff>9525</xdr:rowOff>
    </xdr:from>
    <xdr:to>
      <xdr:col>3</xdr:col>
      <xdr:colOff>295275</xdr:colOff>
      <xdr:row>3</xdr:row>
      <xdr:rowOff>9525</xdr:rowOff>
    </xdr:to>
    <xdr:grpSp>
      <xdr:nvGrpSpPr>
        <xdr:cNvPr id="2" name="그룹 4">
          <a:extLst>
            <a:ext uri="{FF2B5EF4-FFF2-40B4-BE49-F238E27FC236}">
              <a16:creationId xmlns:a16="http://schemas.microsoft.com/office/drawing/2014/main" id="{00000000-0008-0000-0200-000002000000}"/>
            </a:ext>
          </a:extLst>
        </xdr:cNvPr>
        <xdr:cNvGrpSpPr>
          <a:grpSpLocks/>
        </xdr:cNvGrpSpPr>
      </xdr:nvGrpSpPr>
      <xdr:grpSpPr bwMode="auto">
        <a:xfrm>
          <a:off x="180975" y="190500"/>
          <a:ext cx="3371850" cy="361950"/>
          <a:chOff x="483870" y="234315"/>
          <a:chExt cx="4105275" cy="361950"/>
        </a:xfrm>
      </xdr:grpSpPr>
      <xdr:sp macro="" textlink="">
        <xdr:nvSpPr>
          <xdr:cNvPr id="3" name="Freeform 6">
            <a:extLst>
              <a:ext uri="{FF2B5EF4-FFF2-40B4-BE49-F238E27FC236}">
                <a16:creationId xmlns:a16="http://schemas.microsoft.com/office/drawing/2014/main" id="{00000000-0008-0000-0200-000003000000}"/>
              </a:ext>
            </a:extLst>
          </xdr:cNvPr>
          <xdr:cNvSpPr>
            <a:spLocks/>
          </xdr:cNvSpPr>
        </xdr:nvSpPr>
        <xdr:spPr bwMode="auto">
          <a:xfrm>
            <a:off x="483870" y="414020"/>
            <a:ext cx="1186180" cy="182245"/>
          </a:xfrm>
          <a:custGeom>
            <a:avLst/>
            <a:gdLst>
              <a:gd name="T0" fmla="*/ 2147483646 w 2320"/>
              <a:gd name="T1" fmla="*/ 2147483646 h 792"/>
              <a:gd name="T2" fmla="*/ 2147483646 w 2320"/>
              <a:gd name="T3" fmla="*/ 0 h 792"/>
              <a:gd name="T4" fmla="*/ 0 w 2320"/>
              <a:gd name="T5" fmla="*/ 0 h 792"/>
              <a:gd name="T6" fmla="*/ 0 w 2320"/>
              <a:gd name="T7" fmla="*/ 2147483646 h 792"/>
              <a:gd name="T8" fmla="*/ 2147483646 w 2320"/>
              <a:gd name="T9" fmla="*/ 2147483646 h 792"/>
              <a:gd name="T10" fmla="*/ 2147483646 w 2320"/>
              <a:gd name="T11" fmla="*/ 2147483646 h 792"/>
              <a:gd name="T12" fmla="*/ 2147483646 w 2320"/>
              <a:gd name="T13" fmla="*/ 2147483646 h 792"/>
              <a:gd name="T14" fmla="*/ 0 60000 65536"/>
              <a:gd name="T15" fmla="*/ 0 60000 65536"/>
              <a:gd name="T16" fmla="*/ 0 60000 65536"/>
              <a:gd name="T17" fmla="*/ 0 60000 65536"/>
              <a:gd name="T18" fmla="*/ 0 60000 65536"/>
              <a:gd name="T19" fmla="*/ 0 60000 65536"/>
              <a:gd name="T20" fmla="*/ 0 60000 65536"/>
              <a:gd name="T21" fmla="*/ 0 w 2320"/>
              <a:gd name="T22" fmla="*/ 0 h 792"/>
              <a:gd name="T23" fmla="*/ 2320 w 2320"/>
              <a:gd name="T24" fmla="*/ 792 h 79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320" h="792">
                <a:moveTo>
                  <a:pt x="88" y="696"/>
                </a:moveTo>
                <a:lnTo>
                  <a:pt x="88" y="0"/>
                </a:lnTo>
                <a:lnTo>
                  <a:pt x="0" y="0"/>
                </a:lnTo>
                <a:lnTo>
                  <a:pt x="0" y="792"/>
                </a:lnTo>
                <a:lnTo>
                  <a:pt x="2320" y="792"/>
                </a:lnTo>
                <a:lnTo>
                  <a:pt x="2320" y="696"/>
                </a:lnTo>
                <a:lnTo>
                  <a:pt x="88" y="696"/>
                </a:lnTo>
                <a:close/>
              </a:path>
            </a:pathLst>
          </a:custGeom>
          <a:solidFill>
            <a:srgbClr val="91BF63"/>
          </a:solidFill>
          <a:ln>
            <a:noFill/>
          </a:ln>
          <a:extLst>
            <a:ext uri="{91240B29-F687-4F45-9708-019B960494DF}">
              <a14:hiddenLine xmlns:a14="http://schemas.microsoft.com/office/drawing/2010/main" w="0" cap="flat" cmpd="sng">
                <a:solidFill>
                  <a:srgbClr val="000000"/>
                </a:solidFill>
                <a:round/>
                <a:headEnd/>
                <a:tailEnd/>
              </a14:hiddenLine>
            </a:ext>
          </a:extLst>
        </xdr:spPr>
      </xdr:sp>
      <xdr:sp macro="" textlink="">
        <xdr:nvSpPr>
          <xdr:cNvPr id="4" name="Freeform 7">
            <a:extLst>
              <a:ext uri="{FF2B5EF4-FFF2-40B4-BE49-F238E27FC236}">
                <a16:creationId xmlns:a16="http://schemas.microsoft.com/office/drawing/2014/main" id="{00000000-0008-0000-0200-000004000000}"/>
              </a:ext>
            </a:extLst>
          </xdr:cNvPr>
          <xdr:cNvSpPr>
            <a:spLocks/>
          </xdr:cNvSpPr>
        </xdr:nvSpPr>
        <xdr:spPr bwMode="auto">
          <a:xfrm rot="10800000">
            <a:off x="3460115" y="234315"/>
            <a:ext cx="1129030" cy="181610"/>
          </a:xfrm>
          <a:custGeom>
            <a:avLst/>
            <a:gdLst>
              <a:gd name="T0" fmla="*/ 2147483646 w 2320"/>
              <a:gd name="T1" fmla="*/ 2147483646 h 792"/>
              <a:gd name="T2" fmla="*/ 2147483646 w 2320"/>
              <a:gd name="T3" fmla="*/ 0 h 792"/>
              <a:gd name="T4" fmla="*/ 0 w 2320"/>
              <a:gd name="T5" fmla="*/ 0 h 792"/>
              <a:gd name="T6" fmla="*/ 0 w 2320"/>
              <a:gd name="T7" fmla="*/ 2147483646 h 792"/>
              <a:gd name="T8" fmla="*/ 2147483646 w 2320"/>
              <a:gd name="T9" fmla="*/ 2147483646 h 792"/>
              <a:gd name="T10" fmla="*/ 2147483646 w 2320"/>
              <a:gd name="T11" fmla="*/ 2147483646 h 792"/>
              <a:gd name="T12" fmla="*/ 2147483646 w 2320"/>
              <a:gd name="T13" fmla="*/ 2147483646 h 792"/>
              <a:gd name="T14" fmla="*/ 0 60000 65536"/>
              <a:gd name="T15" fmla="*/ 0 60000 65536"/>
              <a:gd name="T16" fmla="*/ 0 60000 65536"/>
              <a:gd name="T17" fmla="*/ 0 60000 65536"/>
              <a:gd name="T18" fmla="*/ 0 60000 65536"/>
              <a:gd name="T19" fmla="*/ 0 60000 65536"/>
              <a:gd name="T20" fmla="*/ 0 60000 65536"/>
              <a:gd name="T21" fmla="*/ 0 w 2320"/>
              <a:gd name="T22" fmla="*/ 0 h 792"/>
              <a:gd name="T23" fmla="*/ 2320 w 2320"/>
              <a:gd name="T24" fmla="*/ 792 h 79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320" h="792">
                <a:moveTo>
                  <a:pt x="88" y="696"/>
                </a:moveTo>
                <a:lnTo>
                  <a:pt x="88" y="0"/>
                </a:lnTo>
                <a:lnTo>
                  <a:pt x="0" y="0"/>
                </a:lnTo>
                <a:lnTo>
                  <a:pt x="0" y="792"/>
                </a:lnTo>
                <a:lnTo>
                  <a:pt x="2320" y="792"/>
                </a:lnTo>
                <a:lnTo>
                  <a:pt x="2320" y="696"/>
                </a:lnTo>
                <a:lnTo>
                  <a:pt x="88" y="696"/>
                </a:lnTo>
                <a:close/>
              </a:path>
            </a:pathLst>
          </a:custGeom>
          <a:solidFill>
            <a:srgbClr val="91BF63"/>
          </a:solidFill>
          <a:ln>
            <a:noFill/>
          </a:ln>
          <a:extLst>
            <a:ext uri="{91240B29-F687-4F45-9708-019B960494DF}">
              <a14:hiddenLine xmlns:a14="http://schemas.microsoft.com/office/drawing/2010/main" w="0" cap="flat" cmpd="sng">
                <a:solidFill>
                  <a:srgbClr val="000000"/>
                </a:solidFill>
                <a:round/>
                <a:headEnd/>
                <a:tailEnd/>
              </a14:hiddenLine>
            </a:ext>
          </a:extLst>
        </xdr:spPr>
      </xdr:sp>
      <xdr:sp macro="" textlink="">
        <xdr:nvSpPr>
          <xdr:cNvPr id="5" name="Rectangle 8">
            <a:extLst>
              <a:ext uri="{FF2B5EF4-FFF2-40B4-BE49-F238E27FC236}">
                <a16:creationId xmlns:a16="http://schemas.microsoft.com/office/drawing/2014/main" id="{00000000-0008-0000-0200-000005000000}"/>
              </a:ext>
            </a:extLst>
          </xdr:cNvPr>
          <xdr:cNvSpPr>
            <a:spLocks/>
          </xdr:cNvSpPr>
        </xdr:nvSpPr>
        <xdr:spPr>
          <a:xfrm>
            <a:off x="599838" y="272415"/>
            <a:ext cx="3873339" cy="285750"/>
          </a:xfrm>
          <a:prstGeom prst="rect">
            <a:avLst/>
          </a:prstGeom>
          <a:solidFill>
            <a:srgbClr val="86B600"/>
          </a:solidFill>
          <a:ln w="0" cap="flat" cmpd="sng">
            <a:noFill/>
            <a:prstDash/>
          </a:ln>
          <a:effectLst>
            <a:outerShdw sy="50000" kx="-2453608" rotWithShape="0">
              <a:srgbClr val="B2B2B2">
                <a:alpha val="49803"/>
              </a:srgbClr>
            </a:outerShdw>
          </a:effectLst>
        </xdr:spPr>
        <xdr:txBody>
          <a:bodyPr vertOverflow="clip" wrap="square" lIns="91440" tIns="45720" rIns="91440" bIns="45720" anchor="ctr">
            <a:noAutofit/>
          </a:bodyPr>
          <a:lstStyle/>
          <a:p>
            <a:pPr algn="l">
              <a:buFontTx/>
              <a:buNone/>
            </a:pPr>
            <a:r>
              <a:rPr lang="en-US" altLang="ko-KR" sz="1400" b="1" kern="1200" cap="none" dirty="0">
                <a:solidFill>
                  <a:srgbClr val="FFFFFF"/>
                </a:solidFill>
                <a:latin typeface="맑은 고딕"/>
                <a:ea typeface="맑은 고딕"/>
              </a:rPr>
              <a:t>4</a:t>
            </a:r>
            <a:r>
              <a:rPr lang="ko-KR" altLang="en-US" sz="1400" b="1" kern="1200" cap="none" dirty="0">
                <a:solidFill>
                  <a:srgbClr val="FFFFFF"/>
                </a:solidFill>
                <a:latin typeface="맑은 고딕"/>
                <a:ea typeface="맑은 고딕"/>
              </a:rPr>
              <a:t>-</a:t>
            </a:r>
            <a:r>
              <a:rPr lang="en-US" altLang="ko-KR" sz="1400" b="1" kern="1200" cap="none" dirty="0">
                <a:solidFill>
                  <a:srgbClr val="FFFFFF"/>
                </a:solidFill>
                <a:latin typeface="맑은 고딕"/>
                <a:ea typeface="맑은 고딕"/>
              </a:rPr>
              <a:t>2</a:t>
            </a:r>
            <a:r>
              <a:rPr lang="ko-KR" altLang="en-US" sz="1400" b="1" kern="1200" cap="none" dirty="0">
                <a:solidFill>
                  <a:srgbClr val="FFFFFF"/>
                </a:solidFill>
                <a:latin typeface="맑은 고딕"/>
                <a:ea typeface="맑은 고딕"/>
              </a:rPr>
              <a:t>. 외상매출금 연령분석(201</a:t>
            </a:r>
            <a:r>
              <a:rPr lang="en-US" altLang="ko-KR" sz="1400" b="1" kern="1200" cap="none" dirty="0">
                <a:solidFill>
                  <a:srgbClr val="FFFFFF"/>
                </a:solidFill>
                <a:latin typeface="맑은 고딕"/>
                <a:ea typeface="맑은 고딕"/>
              </a:rPr>
              <a:t>9</a:t>
            </a:r>
            <a:r>
              <a:rPr lang="ko-KR" altLang="en-US" sz="1400" b="1" kern="1200" cap="none" dirty="0">
                <a:solidFill>
                  <a:srgbClr val="FFFFFF"/>
                </a:solidFill>
                <a:latin typeface="맑은 고딕"/>
                <a:ea typeface="맑은 고딕"/>
              </a:rPr>
              <a:t>.</a:t>
            </a:r>
            <a:r>
              <a:rPr lang="en-US" altLang="ko-KR" sz="1400" b="1" kern="1200" cap="none" dirty="0">
                <a:solidFill>
                  <a:srgbClr val="FFFFFF"/>
                </a:solidFill>
                <a:latin typeface="맑은 고딕"/>
                <a:ea typeface="맑은 고딕"/>
              </a:rPr>
              <a:t>12</a:t>
            </a:r>
            <a:r>
              <a:rPr lang="ko-KR" altLang="en-US" sz="1400" b="1" kern="1200" cap="none" dirty="0">
                <a:solidFill>
                  <a:srgbClr val="FFFFFF"/>
                </a:solidFill>
                <a:latin typeface="맑은 고딕"/>
                <a:ea typeface="맑은 고딕"/>
              </a:rPr>
              <a:t>)</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1</xdr:row>
      <xdr:rowOff>9525</xdr:rowOff>
    </xdr:from>
    <xdr:to>
      <xdr:col>3</xdr:col>
      <xdr:colOff>295275</xdr:colOff>
      <xdr:row>3</xdr:row>
      <xdr:rowOff>9525</xdr:rowOff>
    </xdr:to>
    <xdr:grpSp>
      <xdr:nvGrpSpPr>
        <xdr:cNvPr id="2" name="그룹 4">
          <a:extLst>
            <a:ext uri="{FF2B5EF4-FFF2-40B4-BE49-F238E27FC236}">
              <a16:creationId xmlns:a16="http://schemas.microsoft.com/office/drawing/2014/main" id="{00000000-0008-0000-0300-000002000000}"/>
            </a:ext>
          </a:extLst>
        </xdr:cNvPr>
        <xdr:cNvGrpSpPr>
          <a:grpSpLocks/>
        </xdr:cNvGrpSpPr>
      </xdr:nvGrpSpPr>
      <xdr:grpSpPr bwMode="auto">
        <a:xfrm>
          <a:off x="180975" y="190500"/>
          <a:ext cx="3371850" cy="361950"/>
          <a:chOff x="483870" y="234315"/>
          <a:chExt cx="4105275" cy="361950"/>
        </a:xfrm>
      </xdr:grpSpPr>
      <xdr:sp macro="" textlink="">
        <xdr:nvSpPr>
          <xdr:cNvPr id="3" name="Freeform 6">
            <a:extLst>
              <a:ext uri="{FF2B5EF4-FFF2-40B4-BE49-F238E27FC236}">
                <a16:creationId xmlns:a16="http://schemas.microsoft.com/office/drawing/2014/main" id="{00000000-0008-0000-0300-000003000000}"/>
              </a:ext>
            </a:extLst>
          </xdr:cNvPr>
          <xdr:cNvSpPr>
            <a:spLocks/>
          </xdr:cNvSpPr>
        </xdr:nvSpPr>
        <xdr:spPr bwMode="auto">
          <a:xfrm>
            <a:off x="483870" y="414020"/>
            <a:ext cx="1186180" cy="182245"/>
          </a:xfrm>
          <a:custGeom>
            <a:avLst/>
            <a:gdLst>
              <a:gd name="T0" fmla="*/ 2147483646 w 2320"/>
              <a:gd name="T1" fmla="*/ 2147483646 h 792"/>
              <a:gd name="T2" fmla="*/ 2147483646 w 2320"/>
              <a:gd name="T3" fmla="*/ 0 h 792"/>
              <a:gd name="T4" fmla="*/ 0 w 2320"/>
              <a:gd name="T5" fmla="*/ 0 h 792"/>
              <a:gd name="T6" fmla="*/ 0 w 2320"/>
              <a:gd name="T7" fmla="*/ 2147483646 h 792"/>
              <a:gd name="T8" fmla="*/ 2147483646 w 2320"/>
              <a:gd name="T9" fmla="*/ 2147483646 h 792"/>
              <a:gd name="T10" fmla="*/ 2147483646 w 2320"/>
              <a:gd name="T11" fmla="*/ 2147483646 h 792"/>
              <a:gd name="T12" fmla="*/ 2147483646 w 2320"/>
              <a:gd name="T13" fmla="*/ 2147483646 h 792"/>
              <a:gd name="T14" fmla="*/ 0 60000 65536"/>
              <a:gd name="T15" fmla="*/ 0 60000 65536"/>
              <a:gd name="T16" fmla="*/ 0 60000 65536"/>
              <a:gd name="T17" fmla="*/ 0 60000 65536"/>
              <a:gd name="T18" fmla="*/ 0 60000 65536"/>
              <a:gd name="T19" fmla="*/ 0 60000 65536"/>
              <a:gd name="T20" fmla="*/ 0 60000 65536"/>
              <a:gd name="T21" fmla="*/ 0 w 2320"/>
              <a:gd name="T22" fmla="*/ 0 h 792"/>
              <a:gd name="T23" fmla="*/ 2320 w 2320"/>
              <a:gd name="T24" fmla="*/ 792 h 79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320" h="792">
                <a:moveTo>
                  <a:pt x="88" y="696"/>
                </a:moveTo>
                <a:lnTo>
                  <a:pt x="88" y="0"/>
                </a:lnTo>
                <a:lnTo>
                  <a:pt x="0" y="0"/>
                </a:lnTo>
                <a:lnTo>
                  <a:pt x="0" y="792"/>
                </a:lnTo>
                <a:lnTo>
                  <a:pt x="2320" y="792"/>
                </a:lnTo>
                <a:lnTo>
                  <a:pt x="2320" y="696"/>
                </a:lnTo>
                <a:lnTo>
                  <a:pt x="88" y="696"/>
                </a:lnTo>
                <a:close/>
              </a:path>
            </a:pathLst>
          </a:custGeom>
          <a:solidFill>
            <a:srgbClr val="91BF63"/>
          </a:solidFill>
          <a:ln>
            <a:noFill/>
          </a:ln>
          <a:extLst>
            <a:ext uri="{91240B29-F687-4F45-9708-019B960494DF}">
              <a14:hiddenLine xmlns:a14="http://schemas.microsoft.com/office/drawing/2010/main" w="0" cap="flat" cmpd="sng">
                <a:solidFill>
                  <a:srgbClr val="000000"/>
                </a:solidFill>
                <a:round/>
                <a:headEnd/>
                <a:tailEnd/>
              </a14:hiddenLine>
            </a:ext>
          </a:extLst>
        </xdr:spPr>
      </xdr:sp>
      <xdr:sp macro="" textlink="">
        <xdr:nvSpPr>
          <xdr:cNvPr id="4" name="Freeform 7">
            <a:extLst>
              <a:ext uri="{FF2B5EF4-FFF2-40B4-BE49-F238E27FC236}">
                <a16:creationId xmlns:a16="http://schemas.microsoft.com/office/drawing/2014/main" id="{00000000-0008-0000-0300-000004000000}"/>
              </a:ext>
            </a:extLst>
          </xdr:cNvPr>
          <xdr:cNvSpPr>
            <a:spLocks/>
          </xdr:cNvSpPr>
        </xdr:nvSpPr>
        <xdr:spPr bwMode="auto">
          <a:xfrm rot="10800000">
            <a:off x="3460115" y="234315"/>
            <a:ext cx="1129030" cy="181610"/>
          </a:xfrm>
          <a:custGeom>
            <a:avLst/>
            <a:gdLst>
              <a:gd name="T0" fmla="*/ 2147483646 w 2320"/>
              <a:gd name="T1" fmla="*/ 2147483646 h 792"/>
              <a:gd name="T2" fmla="*/ 2147483646 w 2320"/>
              <a:gd name="T3" fmla="*/ 0 h 792"/>
              <a:gd name="T4" fmla="*/ 0 w 2320"/>
              <a:gd name="T5" fmla="*/ 0 h 792"/>
              <a:gd name="T6" fmla="*/ 0 w 2320"/>
              <a:gd name="T7" fmla="*/ 2147483646 h 792"/>
              <a:gd name="T8" fmla="*/ 2147483646 w 2320"/>
              <a:gd name="T9" fmla="*/ 2147483646 h 792"/>
              <a:gd name="T10" fmla="*/ 2147483646 w 2320"/>
              <a:gd name="T11" fmla="*/ 2147483646 h 792"/>
              <a:gd name="T12" fmla="*/ 2147483646 w 2320"/>
              <a:gd name="T13" fmla="*/ 2147483646 h 792"/>
              <a:gd name="T14" fmla="*/ 0 60000 65536"/>
              <a:gd name="T15" fmla="*/ 0 60000 65536"/>
              <a:gd name="T16" fmla="*/ 0 60000 65536"/>
              <a:gd name="T17" fmla="*/ 0 60000 65536"/>
              <a:gd name="T18" fmla="*/ 0 60000 65536"/>
              <a:gd name="T19" fmla="*/ 0 60000 65536"/>
              <a:gd name="T20" fmla="*/ 0 60000 65536"/>
              <a:gd name="T21" fmla="*/ 0 w 2320"/>
              <a:gd name="T22" fmla="*/ 0 h 792"/>
              <a:gd name="T23" fmla="*/ 2320 w 2320"/>
              <a:gd name="T24" fmla="*/ 792 h 79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320" h="792">
                <a:moveTo>
                  <a:pt x="88" y="696"/>
                </a:moveTo>
                <a:lnTo>
                  <a:pt x="88" y="0"/>
                </a:lnTo>
                <a:lnTo>
                  <a:pt x="0" y="0"/>
                </a:lnTo>
                <a:lnTo>
                  <a:pt x="0" y="792"/>
                </a:lnTo>
                <a:lnTo>
                  <a:pt x="2320" y="792"/>
                </a:lnTo>
                <a:lnTo>
                  <a:pt x="2320" y="696"/>
                </a:lnTo>
                <a:lnTo>
                  <a:pt x="88" y="696"/>
                </a:lnTo>
                <a:close/>
              </a:path>
            </a:pathLst>
          </a:custGeom>
          <a:solidFill>
            <a:srgbClr val="91BF63"/>
          </a:solidFill>
          <a:ln>
            <a:noFill/>
          </a:ln>
          <a:extLst>
            <a:ext uri="{91240B29-F687-4F45-9708-019B960494DF}">
              <a14:hiddenLine xmlns:a14="http://schemas.microsoft.com/office/drawing/2010/main" w="0" cap="flat" cmpd="sng">
                <a:solidFill>
                  <a:srgbClr val="000000"/>
                </a:solidFill>
                <a:round/>
                <a:headEnd/>
                <a:tailEnd/>
              </a14:hiddenLine>
            </a:ext>
          </a:extLst>
        </xdr:spPr>
      </xdr:sp>
      <xdr:sp macro="" textlink="">
        <xdr:nvSpPr>
          <xdr:cNvPr id="5" name="Rectangle 8">
            <a:extLst>
              <a:ext uri="{FF2B5EF4-FFF2-40B4-BE49-F238E27FC236}">
                <a16:creationId xmlns:a16="http://schemas.microsoft.com/office/drawing/2014/main" id="{00000000-0008-0000-0300-000005000000}"/>
              </a:ext>
            </a:extLst>
          </xdr:cNvPr>
          <xdr:cNvSpPr>
            <a:spLocks/>
          </xdr:cNvSpPr>
        </xdr:nvSpPr>
        <xdr:spPr>
          <a:xfrm>
            <a:off x="599838" y="272415"/>
            <a:ext cx="3873339" cy="285750"/>
          </a:xfrm>
          <a:prstGeom prst="rect">
            <a:avLst/>
          </a:prstGeom>
          <a:solidFill>
            <a:srgbClr val="86B600"/>
          </a:solidFill>
          <a:ln w="0" cap="flat" cmpd="sng">
            <a:noFill/>
            <a:prstDash/>
          </a:ln>
          <a:effectLst>
            <a:outerShdw sy="50000" kx="-2453608" rotWithShape="0">
              <a:srgbClr val="B2B2B2">
                <a:alpha val="49803"/>
              </a:srgbClr>
            </a:outerShdw>
          </a:effectLst>
        </xdr:spPr>
        <xdr:txBody>
          <a:bodyPr vertOverflow="clip" wrap="square" lIns="91440" tIns="45720" rIns="91440" bIns="45720" anchor="ctr">
            <a:noAutofit/>
          </a:bodyPr>
          <a:lstStyle/>
          <a:p>
            <a:pPr algn="l">
              <a:buFontTx/>
              <a:buNone/>
            </a:pPr>
            <a:r>
              <a:rPr lang="en-US" altLang="ko-KR" sz="1400" b="1" kern="1200" cap="none" dirty="0">
                <a:solidFill>
                  <a:srgbClr val="FFFFFF"/>
                </a:solidFill>
                <a:latin typeface="맑은 고딕"/>
                <a:ea typeface="맑은 고딕"/>
              </a:rPr>
              <a:t>1</a:t>
            </a:r>
            <a:r>
              <a:rPr lang="ko-KR" altLang="en-US" sz="1400" b="1" kern="1200" cap="none" dirty="0">
                <a:solidFill>
                  <a:srgbClr val="FFFFFF"/>
                </a:solidFill>
                <a:latin typeface="맑은 고딕"/>
                <a:ea typeface="맑은 고딕"/>
              </a:rPr>
              <a:t>-</a:t>
            </a:r>
            <a:r>
              <a:rPr lang="en-US" altLang="ko-KR" sz="1400" b="1" kern="1200" cap="none" dirty="0">
                <a:solidFill>
                  <a:srgbClr val="FFFFFF"/>
                </a:solidFill>
                <a:latin typeface="맑은 고딕"/>
                <a:ea typeface="맑은 고딕"/>
              </a:rPr>
              <a:t>2</a:t>
            </a:r>
            <a:r>
              <a:rPr lang="ko-KR" altLang="en-US" sz="1400" b="1" kern="1200" cap="none" dirty="0">
                <a:solidFill>
                  <a:srgbClr val="FFFFFF"/>
                </a:solidFill>
                <a:latin typeface="맑은 고딕"/>
                <a:ea typeface="맑은 고딕"/>
              </a:rPr>
              <a:t>. 외상매출금 연령분석(20</a:t>
            </a:r>
            <a:r>
              <a:rPr lang="en-US" altLang="ko-KR" sz="1400" b="1" kern="1200" cap="none" dirty="0">
                <a:solidFill>
                  <a:srgbClr val="FFFFFF"/>
                </a:solidFill>
                <a:latin typeface="맑은 고딕"/>
                <a:ea typeface="맑은 고딕"/>
              </a:rPr>
              <a:t>20</a:t>
            </a:r>
            <a:r>
              <a:rPr lang="ko-KR" altLang="en-US" sz="1400" b="1" kern="1200" cap="none" dirty="0">
                <a:solidFill>
                  <a:srgbClr val="FFFFFF"/>
                </a:solidFill>
                <a:latin typeface="맑은 고딕"/>
                <a:ea typeface="맑은 고딕"/>
              </a:rPr>
              <a:t>.</a:t>
            </a:r>
            <a:r>
              <a:rPr lang="en-US" altLang="ko-KR" sz="1400" b="1" kern="1200" cap="none" dirty="0">
                <a:solidFill>
                  <a:srgbClr val="FFFFFF"/>
                </a:solidFill>
                <a:latin typeface="맑은 고딕"/>
                <a:ea typeface="맑은 고딕"/>
              </a:rPr>
              <a:t>03</a:t>
            </a:r>
            <a:r>
              <a:rPr lang="ko-KR" altLang="en-US" sz="1400" b="1" kern="1200" cap="none" dirty="0">
                <a:solidFill>
                  <a:srgbClr val="FFFFFF"/>
                </a:solidFill>
                <a:latin typeface="맑은 고딕"/>
                <a:ea typeface="맑은 고딕"/>
              </a:rPr>
              <a:t>)</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180975</xdr:colOff>
      <xdr:row>1</xdr:row>
      <xdr:rowOff>9525</xdr:rowOff>
    </xdr:from>
    <xdr:to>
      <xdr:col>3</xdr:col>
      <xdr:colOff>295275</xdr:colOff>
      <xdr:row>3</xdr:row>
      <xdr:rowOff>9525</xdr:rowOff>
    </xdr:to>
    <xdr:grpSp>
      <xdr:nvGrpSpPr>
        <xdr:cNvPr id="2" name="그룹 4">
          <a:extLst>
            <a:ext uri="{FF2B5EF4-FFF2-40B4-BE49-F238E27FC236}">
              <a16:creationId xmlns:a16="http://schemas.microsoft.com/office/drawing/2014/main" id="{00000000-0008-0000-0400-000002000000}"/>
            </a:ext>
          </a:extLst>
        </xdr:cNvPr>
        <xdr:cNvGrpSpPr>
          <a:grpSpLocks/>
        </xdr:cNvGrpSpPr>
      </xdr:nvGrpSpPr>
      <xdr:grpSpPr bwMode="auto">
        <a:xfrm>
          <a:off x="180975" y="190500"/>
          <a:ext cx="3371850" cy="361950"/>
          <a:chOff x="483870" y="234315"/>
          <a:chExt cx="4105275" cy="361950"/>
        </a:xfrm>
      </xdr:grpSpPr>
      <xdr:sp macro="" textlink="">
        <xdr:nvSpPr>
          <xdr:cNvPr id="3" name="Freeform 6">
            <a:extLst>
              <a:ext uri="{FF2B5EF4-FFF2-40B4-BE49-F238E27FC236}">
                <a16:creationId xmlns:a16="http://schemas.microsoft.com/office/drawing/2014/main" id="{00000000-0008-0000-0400-000003000000}"/>
              </a:ext>
            </a:extLst>
          </xdr:cNvPr>
          <xdr:cNvSpPr>
            <a:spLocks/>
          </xdr:cNvSpPr>
        </xdr:nvSpPr>
        <xdr:spPr bwMode="auto">
          <a:xfrm>
            <a:off x="483870" y="414020"/>
            <a:ext cx="1186180" cy="182245"/>
          </a:xfrm>
          <a:custGeom>
            <a:avLst/>
            <a:gdLst>
              <a:gd name="T0" fmla="*/ 2147483646 w 2320"/>
              <a:gd name="T1" fmla="*/ 2147483646 h 792"/>
              <a:gd name="T2" fmla="*/ 2147483646 w 2320"/>
              <a:gd name="T3" fmla="*/ 0 h 792"/>
              <a:gd name="T4" fmla="*/ 0 w 2320"/>
              <a:gd name="T5" fmla="*/ 0 h 792"/>
              <a:gd name="T6" fmla="*/ 0 w 2320"/>
              <a:gd name="T7" fmla="*/ 2147483646 h 792"/>
              <a:gd name="T8" fmla="*/ 2147483646 w 2320"/>
              <a:gd name="T9" fmla="*/ 2147483646 h 792"/>
              <a:gd name="T10" fmla="*/ 2147483646 w 2320"/>
              <a:gd name="T11" fmla="*/ 2147483646 h 792"/>
              <a:gd name="T12" fmla="*/ 2147483646 w 2320"/>
              <a:gd name="T13" fmla="*/ 2147483646 h 792"/>
              <a:gd name="T14" fmla="*/ 0 60000 65536"/>
              <a:gd name="T15" fmla="*/ 0 60000 65536"/>
              <a:gd name="T16" fmla="*/ 0 60000 65536"/>
              <a:gd name="T17" fmla="*/ 0 60000 65536"/>
              <a:gd name="T18" fmla="*/ 0 60000 65536"/>
              <a:gd name="T19" fmla="*/ 0 60000 65536"/>
              <a:gd name="T20" fmla="*/ 0 60000 65536"/>
              <a:gd name="T21" fmla="*/ 0 w 2320"/>
              <a:gd name="T22" fmla="*/ 0 h 792"/>
              <a:gd name="T23" fmla="*/ 2320 w 2320"/>
              <a:gd name="T24" fmla="*/ 792 h 79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320" h="792">
                <a:moveTo>
                  <a:pt x="88" y="696"/>
                </a:moveTo>
                <a:lnTo>
                  <a:pt x="88" y="0"/>
                </a:lnTo>
                <a:lnTo>
                  <a:pt x="0" y="0"/>
                </a:lnTo>
                <a:lnTo>
                  <a:pt x="0" y="792"/>
                </a:lnTo>
                <a:lnTo>
                  <a:pt x="2320" y="792"/>
                </a:lnTo>
                <a:lnTo>
                  <a:pt x="2320" y="696"/>
                </a:lnTo>
                <a:lnTo>
                  <a:pt x="88" y="696"/>
                </a:lnTo>
                <a:close/>
              </a:path>
            </a:pathLst>
          </a:custGeom>
          <a:solidFill>
            <a:srgbClr val="91BF63"/>
          </a:solidFill>
          <a:ln>
            <a:noFill/>
          </a:ln>
          <a:extLst>
            <a:ext uri="{91240B29-F687-4F45-9708-019B960494DF}">
              <a14:hiddenLine xmlns:a14="http://schemas.microsoft.com/office/drawing/2010/main" w="0" cap="flat" cmpd="sng">
                <a:solidFill>
                  <a:srgbClr val="000000"/>
                </a:solidFill>
                <a:round/>
                <a:headEnd/>
                <a:tailEnd/>
              </a14:hiddenLine>
            </a:ext>
          </a:extLst>
        </xdr:spPr>
      </xdr:sp>
      <xdr:sp macro="" textlink="">
        <xdr:nvSpPr>
          <xdr:cNvPr id="4" name="Freeform 7">
            <a:extLst>
              <a:ext uri="{FF2B5EF4-FFF2-40B4-BE49-F238E27FC236}">
                <a16:creationId xmlns:a16="http://schemas.microsoft.com/office/drawing/2014/main" id="{00000000-0008-0000-0400-000004000000}"/>
              </a:ext>
            </a:extLst>
          </xdr:cNvPr>
          <xdr:cNvSpPr>
            <a:spLocks/>
          </xdr:cNvSpPr>
        </xdr:nvSpPr>
        <xdr:spPr bwMode="auto">
          <a:xfrm rot="10800000">
            <a:off x="3460115" y="234315"/>
            <a:ext cx="1129030" cy="181610"/>
          </a:xfrm>
          <a:custGeom>
            <a:avLst/>
            <a:gdLst>
              <a:gd name="T0" fmla="*/ 2147483646 w 2320"/>
              <a:gd name="T1" fmla="*/ 2147483646 h 792"/>
              <a:gd name="T2" fmla="*/ 2147483646 w 2320"/>
              <a:gd name="T3" fmla="*/ 0 h 792"/>
              <a:gd name="T4" fmla="*/ 0 w 2320"/>
              <a:gd name="T5" fmla="*/ 0 h 792"/>
              <a:gd name="T6" fmla="*/ 0 w 2320"/>
              <a:gd name="T7" fmla="*/ 2147483646 h 792"/>
              <a:gd name="T8" fmla="*/ 2147483646 w 2320"/>
              <a:gd name="T9" fmla="*/ 2147483646 h 792"/>
              <a:gd name="T10" fmla="*/ 2147483646 w 2320"/>
              <a:gd name="T11" fmla="*/ 2147483646 h 792"/>
              <a:gd name="T12" fmla="*/ 2147483646 w 2320"/>
              <a:gd name="T13" fmla="*/ 2147483646 h 792"/>
              <a:gd name="T14" fmla="*/ 0 60000 65536"/>
              <a:gd name="T15" fmla="*/ 0 60000 65536"/>
              <a:gd name="T16" fmla="*/ 0 60000 65536"/>
              <a:gd name="T17" fmla="*/ 0 60000 65536"/>
              <a:gd name="T18" fmla="*/ 0 60000 65536"/>
              <a:gd name="T19" fmla="*/ 0 60000 65536"/>
              <a:gd name="T20" fmla="*/ 0 60000 65536"/>
              <a:gd name="T21" fmla="*/ 0 w 2320"/>
              <a:gd name="T22" fmla="*/ 0 h 792"/>
              <a:gd name="T23" fmla="*/ 2320 w 2320"/>
              <a:gd name="T24" fmla="*/ 792 h 79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320" h="792">
                <a:moveTo>
                  <a:pt x="88" y="696"/>
                </a:moveTo>
                <a:lnTo>
                  <a:pt x="88" y="0"/>
                </a:lnTo>
                <a:lnTo>
                  <a:pt x="0" y="0"/>
                </a:lnTo>
                <a:lnTo>
                  <a:pt x="0" y="792"/>
                </a:lnTo>
                <a:lnTo>
                  <a:pt x="2320" y="792"/>
                </a:lnTo>
                <a:lnTo>
                  <a:pt x="2320" y="696"/>
                </a:lnTo>
                <a:lnTo>
                  <a:pt x="88" y="696"/>
                </a:lnTo>
                <a:close/>
              </a:path>
            </a:pathLst>
          </a:custGeom>
          <a:solidFill>
            <a:srgbClr val="91BF63"/>
          </a:solidFill>
          <a:ln>
            <a:noFill/>
          </a:ln>
          <a:extLst>
            <a:ext uri="{91240B29-F687-4F45-9708-019B960494DF}">
              <a14:hiddenLine xmlns:a14="http://schemas.microsoft.com/office/drawing/2010/main" w="0" cap="flat" cmpd="sng">
                <a:solidFill>
                  <a:srgbClr val="000000"/>
                </a:solidFill>
                <a:round/>
                <a:headEnd/>
                <a:tailEnd/>
              </a14:hiddenLine>
            </a:ext>
          </a:extLst>
        </xdr:spPr>
      </xdr:sp>
      <xdr:sp macro="" textlink="">
        <xdr:nvSpPr>
          <xdr:cNvPr id="5" name="Rectangle 8">
            <a:extLst>
              <a:ext uri="{FF2B5EF4-FFF2-40B4-BE49-F238E27FC236}">
                <a16:creationId xmlns:a16="http://schemas.microsoft.com/office/drawing/2014/main" id="{00000000-0008-0000-0400-000005000000}"/>
              </a:ext>
            </a:extLst>
          </xdr:cNvPr>
          <xdr:cNvSpPr>
            <a:spLocks/>
          </xdr:cNvSpPr>
        </xdr:nvSpPr>
        <xdr:spPr>
          <a:xfrm>
            <a:off x="599838" y="272415"/>
            <a:ext cx="3873339" cy="285750"/>
          </a:xfrm>
          <a:prstGeom prst="rect">
            <a:avLst/>
          </a:prstGeom>
          <a:solidFill>
            <a:srgbClr val="86B600"/>
          </a:solidFill>
          <a:ln w="0" cap="flat" cmpd="sng">
            <a:noFill/>
            <a:prstDash/>
          </a:ln>
          <a:effectLst>
            <a:outerShdw sy="50000" kx="-2453608" rotWithShape="0">
              <a:srgbClr val="B2B2B2">
                <a:alpha val="49803"/>
              </a:srgbClr>
            </a:outerShdw>
          </a:effectLst>
        </xdr:spPr>
        <xdr:txBody>
          <a:bodyPr vertOverflow="clip" wrap="square" lIns="91440" tIns="45720" rIns="91440" bIns="45720" anchor="ctr">
            <a:noAutofit/>
          </a:bodyPr>
          <a:lstStyle/>
          <a:p>
            <a:pPr algn="l">
              <a:buFontTx/>
              <a:buNone/>
            </a:pPr>
            <a:r>
              <a:rPr lang="en-US" altLang="ko-KR" sz="1400" b="1" kern="1200" cap="none" dirty="0">
                <a:solidFill>
                  <a:srgbClr val="FFFFFF"/>
                </a:solidFill>
                <a:latin typeface="맑은 고딕"/>
                <a:ea typeface="맑은 고딕"/>
              </a:rPr>
              <a:t>2</a:t>
            </a:r>
            <a:r>
              <a:rPr lang="ko-KR" altLang="en-US" sz="1400" b="1" kern="1200" cap="none" dirty="0">
                <a:solidFill>
                  <a:srgbClr val="FFFFFF"/>
                </a:solidFill>
                <a:latin typeface="맑은 고딕"/>
                <a:ea typeface="맑은 고딕"/>
              </a:rPr>
              <a:t>-</a:t>
            </a:r>
            <a:r>
              <a:rPr lang="en-US" altLang="ko-KR" sz="1400" b="1" kern="1200" cap="none" dirty="0">
                <a:solidFill>
                  <a:srgbClr val="FFFFFF"/>
                </a:solidFill>
                <a:latin typeface="맑은 고딕"/>
                <a:ea typeface="맑은 고딕"/>
              </a:rPr>
              <a:t>2</a:t>
            </a:r>
            <a:r>
              <a:rPr lang="ko-KR" altLang="en-US" sz="1400" b="1" kern="1200" cap="none" dirty="0">
                <a:solidFill>
                  <a:srgbClr val="FFFFFF"/>
                </a:solidFill>
                <a:latin typeface="맑은 고딕"/>
                <a:ea typeface="맑은 고딕"/>
              </a:rPr>
              <a:t>. 외상매출금 연령분석(20</a:t>
            </a:r>
            <a:r>
              <a:rPr lang="en-US" altLang="ko-KR" sz="1400" b="1" kern="1200" cap="none" dirty="0">
                <a:solidFill>
                  <a:srgbClr val="FFFFFF"/>
                </a:solidFill>
                <a:latin typeface="맑은 고딕"/>
                <a:ea typeface="맑은 고딕"/>
              </a:rPr>
              <a:t>20</a:t>
            </a:r>
            <a:r>
              <a:rPr lang="ko-KR" altLang="en-US" sz="1400" b="1" kern="1200" cap="none" dirty="0">
                <a:solidFill>
                  <a:srgbClr val="FFFFFF"/>
                </a:solidFill>
                <a:latin typeface="맑은 고딕"/>
                <a:ea typeface="맑은 고딕"/>
              </a:rPr>
              <a:t>.</a:t>
            </a:r>
            <a:r>
              <a:rPr lang="en-US" altLang="ko-KR" sz="1400" b="1" kern="1200" cap="none" dirty="0">
                <a:solidFill>
                  <a:srgbClr val="FFFFFF"/>
                </a:solidFill>
                <a:latin typeface="맑은 고딕"/>
                <a:ea typeface="맑은 고딕"/>
              </a:rPr>
              <a:t>06</a:t>
            </a:r>
            <a:r>
              <a:rPr lang="ko-KR" altLang="en-US" sz="1400" b="1" kern="1200" cap="none" dirty="0">
                <a:solidFill>
                  <a:srgbClr val="FFFFFF"/>
                </a:solidFill>
                <a:latin typeface="맑은 고딕"/>
                <a:ea typeface="맑은 고딕"/>
              </a:rPr>
              <a:t>)</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44608;&#49688;&#48124;\2020&#45380;&#46020;\2020&#45380;%203&#48516;&#44592;\2020&#45380;%203&#48516;&#44592;%20&#45824;&#49552;&#52649;&#45817;&#44552;%20&#49444;&#512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44608;&#49688;&#48124;\2019&#45380;&#46020;\2019&#45380;%204&#48516;&#44592;\2019&#45380;%204&#48516;&#44592;%20&#45824;&#49552;&#52649;&#45817;&#44552;%20&#49444;&#51221;-02.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ODTECH\&#44608;&#49688;&#48124;\2022&#45380;&#46020;\2022&#45380;%203&#48516;&#44592;\2022&#45380;%203&#48516;&#44592;%20&#45824;&#49552;&#52649;&#45817;&#44552;%20&#51665;&#54633;&#54217;&#44032;%20-%20ori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1.2013년말연령"/>
      <sheetName val="4-2.2013년말"/>
      <sheetName val="1.2014년 1분기"/>
      <sheetName val="2-1.2014년 2분기연령"/>
      <sheetName val="2-2.2014년 2분기"/>
      <sheetName val="3.2014년 3분기"/>
      <sheetName val="4-1.2014년말 연령"/>
      <sheetName val="4-2.2014년말"/>
      <sheetName val="1.2015년 1분기"/>
      <sheetName val="2-1.2015년 2분기연령"/>
      <sheetName val="2-2.2015년 2분기"/>
      <sheetName val="3.2015년 3분기"/>
      <sheetName val="4-1.2015년 4분기연령"/>
      <sheetName val="4-2.2015년 4분기"/>
      <sheetName val="1.2016년 1분기"/>
      <sheetName val="2-1.2016년 2분기연령"/>
      <sheetName val="2-2.2016년 2분기"/>
      <sheetName val="3.2016년 3분기"/>
      <sheetName val="4-1.2016년 4분기연령"/>
      <sheetName val="4-2.2016년 4분기"/>
      <sheetName val="1.2017년 1분기"/>
      <sheetName val="2-1.2017년 2분기연령"/>
      <sheetName val="2-2.2017년 2분기"/>
      <sheetName val="3.2017년 3분기"/>
      <sheetName val="4-1.2017년 4분기연령"/>
      <sheetName val="4-2.2017년 4분기"/>
      <sheetName val="1.2018년 1분기 - 1039호 기업회계기준"/>
      <sheetName val="2-1.2018년 2분기연령 - 1039호 기업회계기준"/>
      <sheetName val="2-2.2018년 2분기 - 1039호 기업회계기준"/>
      <sheetName val="1039호 전이율(안)"/>
      <sheetName val="1039호 정책검토"/>
      <sheetName val="1-1.2018년 1분기연령"/>
      <sheetName val="1-2.2018년 1분기"/>
      <sheetName val="2-1.2018년 2분기연령"/>
      <sheetName val="2-2.2018년 2분기"/>
      <sheetName val="3-1.2018년 3분기연령"/>
      <sheetName val="3-2.2018년 3분기"/>
      <sheetName val="4-1.2018년 4분기연령"/>
      <sheetName val="4-2.2018년 4분기"/>
      <sheetName val="1-1.2019년 1분기연령"/>
      <sheetName val="1-2.2019년 1분기"/>
      <sheetName val="2-1.2019년 2분기연령"/>
      <sheetName val="2-2.2019년 2분기"/>
      <sheetName val="3-1.2019년 3분기연령"/>
      <sheetName val="3-2.2019년 3분기"/>
      <sheetName val="4-1.2019년 4분기연령"/>
      <sheetName val="4-2.2019년 4분기"/>
      <sheetName val="1-1.2020년 1분기연령"/>
      <sheetName val="1-2.2020년 1분기"/>
      <sheetName val="2-1.2020년 2분기연령"/>
      <sheetName val="2-2.2020년 2분기"/>
      <sheetName val="3-1.2020년 3분기연령"/>
      <sheetName val="3-2.2020년 3분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ow r="20">
          <cell r="P20">
            <v>2406088562</v>
          </cell>
          <cell r="V20">
            <v>3277686808</v>
          </cell>
          <cell r="AB20">
            <v>3152922875</v>
          </cell>
          <cell r="AH20">
            <v>4259069755</v>
          </cell>
        </row>
        <row r="21">
          <cell r="P21">
            <v>160002578</v>
          </cell>
          <cell r="V21">
            <v>71807521</v>
          </cell>
          <cell r="AB21">
            <v>23070000</v>
          </cell>
          <cell r="AH21">
            <v>3065040</v>
          </cell>
        </row>
        <row r="22">
          <cell r="P22">
            <v>22776400</v>
          </cell>
          <cell r="V22">
            <v>0</v>
          </cell>
          <cell r="AB22">
            <v>0</v>
          </cell>
          <cell r="AH22">
            <v>308934960</v>
          </cell>
        </row>
        <row r="23">
          <cell r="V23">
            <v>0</v>
          </cell>
          <cell r="AB23">
            <v>0</v>
          </cell>
        </row>
        <row r="24">
          <cell r="P24">
            <v>300000000</v>
          </cell>
          <cell r="V24">
            <v>300000000</v>
          </cell>
          <cell r="AB24">
            <v>300000000</v>
          </cell>
          <cell r="AH24">
            <v>3228130</v>
          </cell>
        </row>
        <row r="36">
          <cell r="P36">
            <v>5549958368</v>
          </cell>
          <cell r="V36">
            <v>9008456717</v>
          </cell>
          <cell r="AB36">
            <v>8233035815</v>
          </cell>
          <cell r="AH36">
            <v>7746308698</v>
          </cell>
        </row>
        <row r="37">
          <cell r="P37">
            <v>1223890540</v>
          </cell>
          <cell r="V37">
            <v>1709675501</v>
          </cell>
          <cell r="AB37">
            <v>1275160684</v>
          </cell>
          <cell r="AH37">
            <v>1452889923</v>
          </cell>
        </row>
        <row r="38">
          <cell r="P38">
            <v>32198537</v>
          </cell>
        </row>
        <row r="39">
          <cell r="AH39">
            <v>90516329</v>
          </cell>
        </row>
        <row r="40">
          <cell r="P40">
            <v>99516905</v>
          </cell>
          <cell r="V40">
            <v>99516905</v>
          </cell>
          <cell r="AB40">
            <v>96511224</v>
          </cell>
        </row>
      </sheetData>
      <sheetData sheetId="40" refreshError="1"/>
      <sheetData sheetId="41" refreshError="1"/>
      <sheetData sheetId="42" refreshError="1"/>
      <sheetData sheetId="43">
        <row r="20">
          <cell r="D20">
            <v>2192663596</v>
          </cell>
        </row>
        <row r="21">
          <cell r="D21">
            <v>15932348</v>
          </cell>
        </row>
        <row r="22">
          <cell r="D22">
            <v>45408000</v>
          </cell>
        </row>
        <row r="24">
          <cell r="D24">
            <v>322776400</v>
          </cell>
        </row>
        <row r="36">
          <cell r="D36">
            <v>7523145185</v>
          </cell>
        </row>
        <row r="37">
          <cell r="D37">
            <v>1052547801</v>
          </cell>
        </row>
        <row r="38">
          <cell r="D38">
            <v>8057060</v>
          </cell>
        </row>
        <row r="40">
          <cell r="D40">
            <v>130241390</v>
          </cell>
        </row>
      </sheetData>
      <sheetData sheetId="44" refreshError="1"/>
      <sheetData sheetId="45" refreshError="1"/>
      <sheetData sheetId="46" refreshError="1"/>
      <sheetData sheetId="47">
        <row r="20">
          <cell r="D20">
            <v>2076211607</v>
          </cell>
        </row>
        <row r="24">
          <cell r="D24">
            <v>322776400</v>
          </cell>
        </row>
        <row r="36">
          <cell r="D36">
            <v>6975900944</v>
          </cell>
        </row>
        <row r="37">
          <cell r="D37">
            <v>1425778673</v>
          </cell>
        </row>
        <row r="38">
          <cell r="D38">
            <v>56941372</v>
          </cell>
        </row>
        <row r="40">
          <cell r="D40">
            <v>99516905</v>
          </cell>
        </row>
      </sheetData>
      <sheetData sheetId="48" refreshError="1"/>
      <sheetData sheetId="49">
        <row r="20">
          <cell r="D20">
            <v>2642464248</v>
          </cell>
        </row>
        <row r="21">
          <cell r="D21">
            <v>73921998</v>
          </cell>
        </row>
        <row r="24">
          <cell r="D24">
            <v>322776400</v>
          </cell>
        </row>
        <row r="36">
          <cell r="D36">
            <v>6924955601</v>
          </cell>
        </row>
        <row r="37">
          <cell r="D37">
            <v>833289856</v>
          </cell>
        </row>
        <row r="38">
          <cell r="D38">
            <v>112593193</v>
          </cell>
        </row>
        <row r="39">
          <cell r="D39">
            <v>20941349</v>
          </cell>
        </row>
        <row r="40">
          <cell r="D40">
            <v>99516905</v>
          </cell>
        </row>
      </sheetData>
      <sheetData sheetId="50" refreshError="1"/>
      <sheetData sheetId="51" refreshError="1"/>
      <sheetData sheetId="5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1.2013년말연령"/>
      <sheetName val="4-2.2013년말"/>
      <sheetName val="1.2014년 1분기"/>
      <sheetName val="2-1.2014년 2분기연령"/>
      <sheetName val="2-2.2014년 2분기"/>
      <sheetName val="3.2014년 3분기"/>
      <sheetName val="4-1.2014년말 연령"/>
      <sheetName val="4-2.2014년말"/>
      <sheetName val="1.2015년 1분기"/>
      <sheetName val="2-1.2015년 2분기연령"/>
      <sheetName val="2-2.2015년 2분기"/>
      <sheetName val="3.2015년 3분기"/>
      <sheetName val="4-1.2015년 4분기연령"/>
      <sheetName val="4-2.2015년 4분기"/>
      <sheetName val="1.2016년 1분기"/>
      <sheetName val="2-1.2016년 2분기연령"/>
      <sheetName val="2-2.2016년 2분기"/>
      <sheetName val="3.2016년 3분기"/>
      <sheetName val="4-1.2016년 4분기연령"/>
      <sheetName val="4-2.2016년 4분기"/>
      <sheetName val="1.2017년 1분기"/>
      <sheetName val="2-1.2017년 2분기연령"/>
      <sheetName val="2-2.2017년 2분기"/>
      <sheetName val="3.2017년 3분기"/>
      <sheetName val="4-1.2017년 4분기연령"/>
      <sheetName val="4-2.2017년 4분기"/>
      <sheetName val="1.2018년 1분기 - 1039호 기업회계기준"/>
      <sheetName val="2-1.2018년 2분기연령 - 1039호 기업회계기준"/>
      <sheetName val="2-2.2018년 2분기 - 1039호 기업회계기준"/>
      <sheetName val="1039호 전이율(안)"/>
      <sheetName val="1039호 정책검토"/>
      <sheetName val="1-1.2018년 1분기연령"/>
      <sheetName val="1-2.2018년 1분기"/>
      <sheetName val="2-1.2018년 2분기연령"/>
      <sheetName val="2-2.2018년 2분기"/>
      <sheetName val="3-1.2018년 3분기연령"/>
      <sheetName val="3-2.2018년 3분기"/>
      <sheetName val="4-1.2018년 4분기연령"/>
      <sheetName val="4-2.2018년 4분기"/>
      <sheetName val="1-1.2019년 1분기연령"/>
      <sheetName val="1-2.2019년 1분기"/>
      <sheetName val="2-1.2019년 2분기연령"/>
      <sheetName val="2-2.2019년 2분기"/>
      <sheetName val="3-1.2019년 3분기연령"/>
      <sheetName val="3-2.2019년 3분기"/>
      <sheetName val="4-1.2019년 4분기연령"/>
      <sheetName val="4-2.2019년 4분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ow r="20">
          <cell r="J20">
            <v>2526773072</v>
          </cell>
          <cell r="P20">
            <v>2406088562</v>
          </cell>
          <cell r="V20">
            <v>3277686808</v>
          </cell>
          <cell r="AB20">
            <v>3152922875</v>
          </cell>
          <cell r="AH20">
            <v>4259069755</v>
          </cell>
        </row>
        <row r="21">
          <cell r="J21">
            <v>46119947</v>
          </cell>
          <cell r="P21">
            <v>160002578</v>
          </cell>
          <cell r="V21">
            <v>71807521</v>
          </cell>
          <cell r="AB21">
            <v>23070000</v>
          </cell>
          <cell r="AH21">
            <v>3065040</v>
          </cell>
        </row>
        <row r="22">
          <cell r="J22">
            <v>13356968</v>
          </cell>
          <cell r="P22">
            <v>22776400</v>
          </cell>
          <cell r="V22">
            <v>0</v>
          </cell>
          <cell r="AB22">
            <v>0</v>
          </cell>
          <cell r="AH22">
            <v>308934960</v>
          </cell>
        </row>
        <row r="23">
          <cell r="J23">
            <v>18937160</v>
          </cell>
          <cell r="V23">
            <v>0</v>
          </cell>
          <cell r="AB23">
            <v>0</v>
          </cell>
        </row>
        <row r="24">
          <cell r="J24">
            <v>322776400</v>
          </cell>
          <cell r="P24">
            <v>300000000</v>
          </cell>
          <cell r="V24">
            <v>300000000</v>
          </cell>
          <cell r="AB24">
            <v>300000000</v>
          </cell>
          <cell r="AH24">
            <v>3228130</v>
          </cell>
        </row>
        <row r="36">
          <cell r="J36">
            <v>7138183470</v>
          </cell>
          <cell r="P36">
            <v>5549958368</v>
          </cell>
          <cell r="V36">
            <v>9008456717</v>
          </cell>
          <cell r="AB36">
            <v>8233035815</v>
          </cell>
          <cell r="AH36">
            <v>7746308698</v>
          </cell>
        </row>
        <row r="37">
          <cell r="J37">
            <v>586715608</v>
          </cell>
          <cell r="P37">
            <v>1223890540</v>
          </cell>
          <cell r="V37">
            <v>1709675501</v>
          </cell>
          <cell r="AB37">
            <v>1275160684</v>
          </cell>
          <cell r="AH37">
            <v>1452889923</v>
          </cell>
        </row>
        <row r="38">
          <cell r="J38">
            <v>8724266</v>
          </cell>
          <cell r="P38">
            <v>32198537</v>
          </cell>
        </row>
        <row r="39">
          <cell r="J39">
            <v>28596559</v>
          </cell>
          <cell r="AH39">
            <v>90516329</v>
          </cell>
        </row>
        <row r="40">
          <cell r="J40">
            <v>99516905</v>
          </cell>
          <cell r="P40">
            <v>99516905</v>
          </cell>
          <cell r="V40">
            <v>99516905</v>
          </cell>
          <cell r="AB40">
            <v>96511224</v>
          </cell>
        </row>
      </sheetData>
      <sheetData sheetId="40" refreshError="1"/>
      <sheetData sheetId="41" refreshError="1"/>
      <sheetData sheetId="42" refreshError="1"/>
      <sheetData sheetId="43" refreshError="1"/>
      <sheetData sheetId="44" refreshError="1"/>
      <sheetData sheetId="45">
        <row r="20">
          <cell r="D20">
            <v>2399650606</v>
          </cell>
        </row>
        <row r="21">
          <cell r="D21">
            <v>9405521</v>
          </cell>
        </row>
        <row r="24">
          <cell r="D24">
            <v>322776400</v>
          </cell>
        </row>
        <row r="36">
          <cell r="D36">
            <v>6940860870</v>
          </cell>
        </row>
        <row r="37">
          <cell r="D37">
            <v>883557445</v>
          </cell>
        </row>
        <row r="38">
          <cell r="D38">
            <v>20193132</v>
          </cell>
        </row>
        <row r="40">
          <cell r="D40">
            <v>104815033</v>
          </cell>
        </row>
      </sheetData>
      <sheetData sheetId="4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기본가정"/>
      <sheetName val="3-2.2019년 3분기"/>
      <sheetName val="4-2.2019년 4분기"/>
      <sheetName val="1-2.2020년 1분기"/>
      <sheetName val="2-2.2020년 2분기"/>
      <sheetName val="부도율 적용(2020.02Q)"/>
      <sheetName val="전이율 적용(2020.02Q)"/>
      <sheetName val="부도율 적용(2020.3Q)"/>
      <sheetName val="전이율 적용(2020.3Q)"/>
      <sheetName val="부도율 적용(2020.4Q)"/>
      <sheetName val="전이율 적용(2020.4Q)-기존"/>
      <sheetName val="전이율 적용(2020.4Q)-국내"/>
      <sheetName val="전이율 적용(2020.4Q)-수출"/>
      <sheetName val="전이율 적용(2021.1Q)-국내"/>
      <sheetName val="전이율 적용(2021.1Q)-수출"/>
      <sheetName val="전이율 적용(2021.2Q)-국내"/>
      <sheetName val="전이율 적용(2021.2Q)-수출"/>
      <sheetName val="전이율 적용(2021.3Q)-국내"/>
      <sheetName val="전이율 적용(2021.3Q)-수출"/>
      <sheetName val="전이율 적용(2021.4Q)-국내"/>
      <sheetName val="전이율 적용(2021.4Q)-수출"/>
      <sheetName val="전이율 적용(2022.1Q)-국내"/>
      <sheetName val="전이율 적용(2022.1Q)-수출"/>
      <sheetName val="전이율 적용(2022.2Q)-국내"/>
      <sheetName val="전이율 적용(2022.2Q)-수출"/>
      <sheetName val="전이율 적용(2022.3Q)-국내"/>
      <sheetName val="전이율 적용(2022.3Q)-수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63">
          <cell r="D63">
            <v>549696594</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6"/>
  <sheetViews>
    <sheetView workbookViewId="0">
      <selection activeCell="E19" sqref="E19"/>
    </sheetView>
  </sheetViews>
  <sheetFormatPr defaultRowHeight="16.5" x14ac:dyDescent="0.3"/>
  <sheetData>
    <row r="2" spans="1:2" x14ac:dyDescent="0.3">
      <c r="A2">
        <v>1</v>
      </c>
      <c r="B2" t="s">
        <v>67</v>
      </c>
    </row>
    <row r="4" spans="1:2" x14ac:dyDescent="0.3">
      <c r="A4">
        <v>2</v>
      </c>
      <c r="B4" t="s">
        <v>68</v>
      </c>
    </row>
    <row r="6" spans="1:2" x14ac:dyDescent="0.3">
      <c r="A6">
        <v>3</v>
      </c>
      <c r="B6" t="s">
        <v>69</v>
      </c>
    </row>
  </sheetData>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2060"/>
    <pageSetUpPr fitToPage="1"/>
  </sheetPr>
  <dimension ref="A2:N69"/>
  <sheetViews>
    <sheetView topLeftCell="A52" zoomScaleNormal="100" workbookViewId="0">
      <selection activeCell="D69" sqref="D69"/>
    </sheetView>
  </sheetViews>
  <sheetFormatPr defaultColWidth="9" defaultRowHeight="13.5" x14ac:dyDescent="0.3"/>
  <cols>
    <col min="1" max="1" width="9.75" style="2"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6384" width="9" style="2"/>
  </cols>
  <sheetData>
    <row r="2" spans="2:6" x14ac:dyDescent="0.3">
      <c r="B2" s="117" t="s">
        <v>54</v>
      </c>
    </row>
    <row r="3" spans="2:6" x14ac:dyDescent="0.3">
      <c r="B3" s="117" t="s">
        <v>55</v>
      </c>
    </row>
    <row r="4" spans="2:6" x14ac:dyDescent="0.3">
      <c r="B4" s="117" t="s">
        <v>56</v>
      </c>
    </row>
    <row r="5" spans="2:6" x14ac:dyDescent="0.3">
      <c r="B5" s="2" t="s">
        <v>57</v>
      </c>
    </row>
    <row r="8" spans="2:6" x14ac:dyDescent="0.3">
      <c r="B8" s="111" t="s">
        <v>21</v>
      </c>
    </row>
    <row r="9" spans="2:6" ht="14.25" thickBot="1" x14ac:dyDescent="0.35"/>
    <row r="10" spans="2:6" ht="14.25" thickBot="1" x14ac:dyDescent="0.35">
      <c r="C10" s="1"/>
      <c r="D10" s="2" t="s">
        <v>22</v>
      </c>
      <c r="E10" s="116"/>
      <c r="F10" s="2" t="s">
        <v>23</v>
      </c>
    </row>
    <row r="12" spans="2:6" x14ac:dyDescent="0.3">
      <c r="B12" s="111" t="s">
        <v>24</v>
      </c>
    </row>
    <row r="13" spans="2:6" x14ac:dyDescent="0.3">
      <c r="B13" s="111"/>
    </row>
    <row r="14" spans="2:6" x14ac:dyDescent="0.3">
      <c r="B14" s="111" t="s">
        <v>25</v>
      </c>
    </row>
    <row r="15" spans="2:6" x14ac:dyDescent="0.3">
      <c r="B15" s="2" t="s">
        <v>43</v>
      </c>
    </row>
    <row r="16" spans="2:6" ht="14.25" thickBot="1" x14ac:dyDescent="0.35"/>
    <row r="17" spans="1:14" x14ac:dyDescent="0.3">
      <c r="B17" s="3" t="s">
        <v>0</v>
      </c>
      <c r="C17" s="4" t="s">
        <v>2</v>
      </c>
      <c r="D17" s="4" t="s">
        <v>36</v>
      </c>
      <c r="E17" s="4" t="s">
        <v>3</v>
      </c>
      <c r="F17" s="4" t="s">
        <v>70</v>
      </c>
      <c r="G17" s="4" t="s">
        <v>71</v>
      </c>
      <c r="H17" s="4" t="s">
        <v>72</v>
      </c>
      <c r="I17" s="4" t="s">
        <v>75</v>
      </c>
      <c r="J17" s="4" t="s">
        <v>76</v>
      </c>
      <c r="K17" s="4" t="s">
        <v>73</v>
      </c>
      <c r="L17" s="73" t="s">
        <v>74</v>
      </c>
      <c r="M17" s="4" t="s">
        <v>246</v>
      </c>
      <c r="N17" s="149" t="s">
        <v>313</v>
      </c>
    </row>
    <row r="18" spans="1:14" x14ac:dyDescent="0.3">
      <c r="A18" s="2" t="s">
        <v>5</v>
      </c>
      <c r="B18" s="5" t="s">
        <v>27</v>
      </c>
      <c r="C18" s="6">
        <v>8088933456</v>
      </c>
      <c r="D18" s="6">
        <v>8285594445</v>
      </c>
      <c r="E18" s="6">
        <v>8444037996</v>
      </c>
      <c r="F18" s="6">
        <v>8408662571</v>
      </c>
      <c r="G18" s="6">
        <v>7930471712</v>
      </c>
      <c r="H18" s="6">
        <v>8422864390</v>
      </c>
      <c r="I18" s="6">
        <v>7484645852</v>
      </c>
      <c r="J18" s="6">
        <v>7599457573</v>
      </c>
      <c r="K18" s="6">
        <v>7351579284</v>
      </c>
      <c r="L18" s="74">
        <v>7878825915</v>
      </c>
      <c r="M18" s="6">
        <v>7429311505</v>
      </c>
      <c r="N18" s="150">
        <v>7755105530</v>
      </c>
    </row>
    <row r="19" spans="1:14" x14ac:dyDescent="0.3">
      <c r="A19" s="2" t="s">
        <v>6</v>
      </c>
      <c r="B19" s="7" t="s">
        <v>39</v>
      </c>
      <c r="C19" s="6">
        <v>1109590670</v>
      </c>
      <c r="D19" s="6">
        <v>1368971919</v>
      </c>
      <c r="E19" s="6">
        <v>1283151195</v>
      </c>
      <c r="F19" s="6">
        <v>1295326842</v>
      </c>
      <c r="G19" s="6">
        <v>1918321221</v>
      </c>
      <c r="H19" s="6">
        <v>2109557133</v>
      </c>
      <c r="I19" s="6">
        <v>2258274420</v>
      </c>
      <c r="J19" s="6">
        <v>1943018127</v>
      </c>
      <c r="K19" s="6">
        <v>2096960755</v>
      </c>
      <c r="L19" s="74">
        <v>1695855768</v>
      </c>
      <c r="M19" s="6">
        <v>1329525137</v>
      </c>
      <c r="N19" s="150">
        <v>1103368306</v>
      </c>
    </row>
    <row r="20" spans="1:14" x14ac:dyDescent="0.3">
      <c r="A20" s="2" t="s">
        <v>7</v>
      </c>
      <c r="B20" s="7" t="s">
        <v>92</v>
      </c>
      <c r="C20" s="6">
        <v>700538386</v>
      </c>
      <c r="D20" s="6">
        <v>282972718</v>
      </c>
      <c r="E20" s="6">
        <v>438893540</v>
      </c>
      <c r="F20" s="6">
        <v>400074558</v>
      </c>
      <c r="G20" s="6">
        <v>646626532</v>
      </c>
      <c r="H20" s="6">
        <v>419338042</v>
      </c>
      <c r="I20" s="6">
        <v>904477364</v>
      </c>
      <c r="J20" s="6">
        <v>753893940</v>
      </c>
      <c r="K20" s="6">
        <v>979650983</v>
      </c>
      <c r="L20" s="74">
        <v>633708016</v>
      </c>
      <c r="M20" s="6">
        <v>239763111</v>
      </c>
      <c r="N20" s="150">
        <v>313840579</v>
      </c>
    </row>
    <row r="21" spans="1:14" x14ac:dyDescent="0.3">
      <c r="A21" s="2" t="s">
        <v>8</v>
      </c>
      <c r="B21" s="7" t="s">
        <v>30</v>
      </c>
      <c r="C21" s="6">
        <v>564542316</v>
      </c>
      <c r="D21" s="6">
        <v>291281441</v>
      </c>
      <c r="E21" s="6">
        <v>240517439</v>
      </c>
      <c r="F21" s="6">
        <v>232760997</v>
      </c>
      <c r="G21" s="6">
        <v>170550445</v>
      </c>
      <c r="H21" s="6">
        <v>440669315</v>
      </c>
      <c r="I21" s="6">
        <v>164002785</v>
      </c>
      <c r="J21" s="6">
        <v>139069026</v>
      </c>
      <c r="K21" s="6">
        <v>446127690</v>
      </c>
      <c r="L21" s="74">
        <v>273503838</v>
      </c>
      <c r="M21" s="6">
        <v>347750247</v>
      </c>
      <c r="N21" s="150">
        <v>134444998</v>
      </c>
    </row>
    <row r="22" spans="1:14" x14ac:dyDescent="0.3">
      <c r="A22" s="2" t="s">
        <v>9</v>
      </c>
      <c r="B22" s="7" t="s">
        <v>32</v>
      </c>
      <c r="C22" s="6">
        <v>469950910</v>
      </c>
      <c r="D22" s="6">
        <v>514645368</v>
      </c>
      <c r="E22" s="6">
        <v>111703072</v>
      </c>
      <c r="F22" s="6">
        <v>13356968</v>
      </c>
      <c r="G22" s="6">
        <v>90387652</v>
      </c>
      <c r="H22" s="6">
        <v>55818029</v>
      </c>
      <c r="I22" s="6">
        <v>52492007</v>
      </c>
      <c r="J22" s="6">
        <v>20193132</v>
      </c>
      <c r="K22" s="6">
        <v>35618067</v>
      </c>
      <c r="L22" s="74">
        <v>77613140</v>
      </c>
      <c r="M22" s="6">
        <v>56425025</v>
      </c>
      <c r="N22" s="150">
        <v>120149886</v>
      </c>
    </row>
    <row r="23" spans="1:14" x14ac:dyDescent="0.3">
      <c r="A23" s="2" t="s">
        <v>10</v>
      </c>
      <c r="B23" s="7" t="s">
        <v>34</v>
      </c>
      <c r="C23" s="6">
        <v>22776400</v>
      </c>
      <c r="D23" s="6">
        <v>257483476</v>
      </c>
      <c r="E23" s="6">
        <v>49979298</v>
      </c>
      <c r="F23" s="6">
        <v>8724266</v>
      </c>
      <c r="G23" s="6"/>
      <c r="H23" s="6">
        <v>4916400</v>
      </c>
      <c r="I23" s="6">
        <v>973053</v>
      </c>
      <c r="J23" s="6"/>
      <c r="K23" s="6">
        <v>21323305</v>
      </c>
      <c r="L23" s="74">
        <v>34980053</v>
      </c>
      <c r="M23" s="6">
        <v>56383366</v>
      </c>
      <c r="N23" s="150">
        <v>52313956</v>
      </c>
    </row>
    <row r="24" spans="1:14" ht="14.25" thickBot="1" x14ac:dyDescent="0.35">
      <c r="A24" s="2" t="s">
        <v>17</v>
      </c>
      <c r="B24" s="8" t="s">
        <v>93</v>
      </c>
      <c r="C24" s="9">
        <v>1030681756</v>
      </c>
      <c r="D24" s="9">
        <v>1053458156</v>
      </c>
      <c r="E24" s="9">
        <v>1068250623</v>
      </c>
      <c r="F24" s="9">
        <v>1100991875</v>
      </c>
      <c r="G24" s="9">
        <v>1069297917</v>
      </c>
      <c r="H24" s="9">
        <v>1065272465</v>
      </c>
      <c r="I24" s="9">
        <v>1038447205</v>
      </c>
      <c r="J24" s="9">
        <v>1013020848</v>
      </c>
      <c r="K24" s="9">
        <v>541485676</v>
      </c>
      <c r="L24" s="75">
        <v>562427025</v>
      </c>
      <c r="M24" s="9">
        <v>541485676</v>
      </c>
      <c r="N24" s="151">
        <v>582881008</v>
      </c>
    </row>
    <row r="25" spans="1:14" ht="14.25" thickBot="1" x14ac:dyDescent="0.35">
      <c r="B25" s="113"/>
      <c r="C25" s="114"/>
      <c r="D25" s="114"/>
      <c r="E25" s="114"/>
      <c r="F25" s="114"/>
      <c r="G25" s="114"/>
      <c r="H25" s="114"/>
      <c r="I25" s="114"/>
      <c r="J25" s="114"/>
      <c r="K25" s="114"/>
      <c r="L25" s="114"/>
      <c r="M25" s="114"/>
      <c r="N25" s="114"/>
    </row>
    <row r="26" spans="1:14" x14ac:dyDescent="0.3">
      <c r="B26" s="10" t="s">
        <v>102</v>
      </c>
      <c r="C26" s="11">
        <f>IF(ISERROR(H23/C18),0,H23/C18)</f>
        <v>6.0779335455569115E-4</v>
      </c>
      <c r="D26" s="11">
        <f>IF(ISERROR(I23/D18),0,I23/D18)</f>
        <v>1.1743912961938364E-4</v>
      </c>
      <c r="E26" s="11">
        <f>IF(ISERROR(J23/E18),0,J23/E18)</f>
        <v>0</v>
      </c>
      <c r="F26" s="11">
        <f>IF(ISERROR(K23/F18),0,K23/F18)</f>
        <v>2.535873549444157E-3</v>
      </c>
      <c r="G26" s="11">
        <f>IF(ISERROR(L23/G18),0,L23/G18)</f>
        <v>4.4108414064537808E-3</v>
      </c>
      <c r="H26" s="11">
        <f t="shared" ref="H26:I26" si="0">IF(ISERROR(M23/H18),0,M23/H18)</f>
        <v>6.6940845049032064E-3</v>
      </c>
      <c r="I26" s="11">
        <f t="shared" si="0"/>
        <v>6.9895031821740764E-3</v>
      </c>
      <c r="J26" s="11"/>
      <c r="K26" s="12"/>
      <c r="L26" s="76"/>
      <c r="M26" s="78"/>
      <c r="N26" s="152"/>
    </row>
    <row r="27" spans="1:14" x14ac:dyDescent="0.3">
      <c r="B27" s="13" t="s">
        <v>103</v>
      </c>
      <c r="C27" s="14">
        <f>IF(ISERROR(G23/C19),0,G23/C19)</f>
        <v>0</v>
      </c>
      <c r="D27" s="14">
        <f t="shared" ref="D27:J27" si="1">IF(ISERROR(H23/D19),0,H23/D19)</f>
        <v>3.5913081428224679E-3</v>
      </c>
      <c r="E27" s="14">
        <f t="shared" si="1"/>
        <v>7.5833074371255214E-4</v>
      </c>
      <c r="F27" s="14">
        <f t="shared" si="1"/>
        <v>0</v>
      </c>
      <c r="G27" s="14">
        <f t="shared" si="1"/>
        <v>1.1115607108221633E-2</v>
      </c>
      <c r="H27" s="14">
        <f t="shared" si="1"/>
        <v>1.6581704497500328E-2</v>
      </c>
      <c r="I27" s="14">
        <f t="shared" si="1"/>
        <v>2.4967455460970948E-2</v>
      </c>
      <c r="J27" s="14">
        <f t="shared" si="1"/>
        <v>2.6924069967773388E-2</v>
      </c>
      <c r="K27" s="14"/>
      <c r="L27" s="77"/>
      <c r="M27" s="79"/>
      <c r="N27" s="153"/>
    </row>
    <row r="28" spans="1:14" x14ac:dyDescent="0.3">
      <c r="B28" s="13" t="s">
        <v>104</v>
      </c>
      <c r="C28" s="14">
        <f>IF(ISERROR(F23/C20),0,F23/C20)</f>
        <v>1.2453658749258032E-2</v>
      </c>
      <c r="D28" s="14">
        <f t="shared" ref="D28:H28" si="2">IF(ISERROR(G23/D20),0,G23/D20)</f>
        <v>0</v>
      </c>
      <c r="E28" s="14">
        <f t="shared" si="2"/>
        <v>1.1201805339855309E-2</v>
      </c>
      <c r="F28" s="14">
        <f t="shared" si="2"/>
        <v>2.4321791539665964E-3</v>
      </c>
      <c r="G28" s="14">
        <f t="shared" si="2"/>
        <v>0</v>
      </c>
      <c r="H28" s="14">
        <f t="shared" si="2"/>
        <v>5.0849917880810822E-2</v>
      </c>
      <c r="I28" s="14">
        <f>IF(ISERROR(L23/I20),0,L23/I20)</f>
        <v>3.867432662471805E-2</v>
      </c>
      <c r="J28" s="14">
        <f t="shared" ref="J28:K28" si="3">IF(ISERROR(M23/J20),0,M23/J20)</f>
        <v>7.4789520127990422E-2</v>
      </c>
      <c r="K28" s="14">
        <f t="shared" si="3"/>
        <v>5.3400605835966376E-2</v>
      </c>
      <c r="L28" s="77"/>
      <c r="M28" s="79"/>
      <c r="N28" s="153"/>
    </row>
    <row r="29" spans="1:14" x14ac:dyDescent="0.3">
      <c r="B29" s="13" t="s">
        <v>105</v>
      </c>
      <c r="C29" s="14">
        <f>IF(ISERROR(E23/C21),0,(E23/C21))</f>
        <v>8.853064966701274E-2</v>
      </c>
      <c r="D29" s="14">
        <f t="shared" ref="D29:I29" si="4">IF(ISERROR(F23/D21),0,(F23/D21))</f>
        <v>2.9951328069679522E-2</v>
      </c>
      <c r="E29" s="14">
        <f t="shared" si="4"/>
        <v>0</v>
      </c>
      <c r="F29" s="14">
        <f t="shared" si="4"/>
        <v>2.1122095468597772E-2</v>
      </c>
      <c r="G29" s="14">
        <f t="shared" si="4"/>
        <v>5.705367699275132E-3</v>
      </c>
      <c r="H29" s="14">
        <f t="shared" si="4"/>
        <v>0</v>
      </c>
      <c r="I29" s="14">
        <f t="shared" si="4"/>
        <v>0.13001794451234472</v>
      </c>
      <c r="J29" s="14">
        <f>IF(ISERROR(L23/J21),0,(L23/J21))</f>
        <v>0.25153015021475739</v>
      </c>
      <c r="K29" s="14">
        <f t="shared" ref="K29:L29" si="5">IF(ISERROR(M23/K21),0,(M23/K21))</f>
        <v>0.12638391936622451</v>
      </c>
      <c r="L29" s="14">
        <f t="shared" si="5"/>
        <v>0.19127320619171714</v>
      </c>
      <c r="M29" s="79"/>
      <c r="N29" s="153"/>
    </row>
    <row r="30" spans="1:14" ht="14.25" thickBot="1" x14ac:dyDescent="0.35">
      <c r="B30" s="15" t="s">
        <v>106</v>
      </c>
      <c r="C30" s="16">
        <f>IF(ISERROR(D23/C22),0,D23/C22)</f>
        <v>0.5478944088011235</v>
      </c>
      <c r="D30" s="16">
        <f t="shared" ref="D30:J30" si="6">IF(ISERROR(E23/D22),0,E23/D22)</f>
        <v>9.7114053885742929E-2</v>
      </c>
      <c r="E30" s="16">
        <f t="shared" si="6"/>
        <v>7.8102292477685839E-2</v>
      </c>
      <c r="F30" s="16">
        <f t="shared" si="6"/>
        <v>0</v>
      </c>
      <c r="G30" s="16">
        <f t="shared" si="6"/>
        <v>5.4392385366974681E-2</v>
      </c>
      <c r="H30" s="16">
        <f t="shared" si="6"/>
        <v>1.7432593329298675E-2</v>
      </c>
      <c r="I30" s="16">
        <f t="shared" si="6"/>
        <v>0</v>
      </c>
      <c r="J30" s="16">
        <f t="shared" si="6"/>
        <v>1.0559681875996254</v>
      </c>
      <c r="K30" s="16">
        <f>IF(ISERROR(L23/K22),0,L23/K22)</f>
        <v>0.98208734909729944</v>
      </c>
      <c r="L30" s="16">
        <f t="shared" ref="L30:M30" si="7">IF(ISERROR(M23/L22),0,M23/L22)</f>
        <v>0.72646675550042172</v>
      </c>
      <c r="M30" s="16">
        <f t="shared" si="7"/>
        <v>0.92714103361053013</v>
      </c>
      <c r="N30" s="154"/>
    </row>
    <row r="31" spans="1:14" x14ac:dyDescent="0.3">
      <c r="B31" s="108"/>
      <c r="C31" s="108"/>
      <c r="D31" s="108"/>
      <c r="E31" s="108"/>
      <c r="F31" s="108"/>
      <c r="G31" s="108"/>
      <c r="H31" s="108"/>
      <c r="I31" s="108"/>
      <c r="J31" s="108"/>
      <c r="K31" s="108"/>
    </row>
    <row r="32" spans="1:14" x14ac:dyDescent="0.3">
      <c r="B32" s="111" t="s">
        <v>40</v>
      </c>
      <c r="C32" s="108"/>
      <c r="D32" s="108"/>
      <c r="E32" s="108"/>
      <c r="F32" s="108"/>
      <c r="G32" s="108"/>
      <c r="H32" s="108"/>
      <c r="I32" s="108"/>
      <c r="J32" s="108"/>
      <c r="K32" s="108"/>
    </row>
    <row r="33" spans="2:11" x14ac:dyDescent="0.3">
      <c r="B33" s="2" t="s">
        <v>42</v>
      </c>
      <c r="C33" s="108"/>
      <c r="D33" s="108"/>
      <c r="E33" s="108"/>
      <c r="F33" s="108"/>
      <c r="G33" s="108"/>
      <c r="H33" s="108"/>
      <c r="I33" s="108"/>
      <c r="J33" s="108"/>
      <c r="K33" s="108"/>
    </row>
    <row r="34" spans="2:11" ht="14.25" thickBot="1" x14ac:dyDescent="0.35">
      <c r="B34" s="108"/>
      <c r="C34" s="108"/>
      <c r="D34" s="108"/>
      <c r="E34" s="108"/>
      <c r="F34" s="108"/>
      <c r="G34" s="108"/>
      <c r="H34" s="108"/>
      <c r="I34" s="108"/>
      <c r="J34" s="108"/>
      <c r="K34" s="108"/>
    </row>
    <row r="35" spans="2:11" ht="54" x14ac:dyDescent="0.3">
      <c r="B35" s="170" t="s">
        <v>0</v>
      </c>
      <c r="C35" s="68" t="s">
        <v>94</v>
      </c>
      <c r="D35" s="69" t="s">
        <v>44</v>
      </c>
      <c r="E35" s="70" t="s">
        <v>45</v>
      </c>
      <c r="F35" s="71" t="s">
        <v>46</v>
      </c>
      <c r="G35" s="72" t="s">
        <v>47</v>
      </c>
      <c r="I35" s="108"/>
      <c r="J35" s="108"/>
      <c r="K35" s="108"/>
    </row>
    <row r="36" spans="2:11" ht="14.25" thickBot="1" x14ac:dyDescent="0.35">
      <c r="B36" s="171"/>
      <c r="C36" s="17" t="s">
        <v>246</v>
      </c>
      <c r="D36" s="18" t="s">
        <v>246</v>
      </c>
      <c r="E36" s="19" t="s">
        <v>246</v>
      </c>
      <c r="F36" s="62" t="s">
        <v>246</v>
      </c>
      <c r="G36" s="56" t="s">
        <v>246</v>
      </c>
      <c r="I36" s="108"/>
      <c r="J36" s="108"/>
      <c r="K36" s="108"/>
    </row>
    <row r="37" spans="2:11" x14ac:dyDescent="0.3">
      <c r="B37" s="20" t="s">
        <v>26</v>
      </c>
      <c r="C37" s="21">
        <f>N18</f>
        <v>7755105530</v>
      </c>
      <c r="D37" s="50">
        <f>C53</f>
        <v>0</v>
      </c>
      <c r="E37" s="51">
        <f>C37-D37</f>
        <v>7755105530</v>
      </c>
      <c r="F37" s="63">
        <f>AVERAGE(C26:N26)</f>
        <v>3.0507907324500423E-3</v>
      </c>
      <c r="G37" s="57">
        <f>ROUND(E37*F37,)</f>
        <v>23659204</v>
      </c>
      <c r="I37" s="108"/>
      <c r="J37" s="108"/>
      <c r="K37" s="108"/>
    </row>
    <row r="38" spans="2:11" x14ac:dyDescent="0.3">
      <c r="B38" s="22" t="s">
        <v>38</v>
      </c>
      <c r="C38" s="23">
        <f>N19</f>
        <v>1103368306</v>
      </c>
      <c r="D38" s="52">
        <f t="shared" ref="D38:D43" si="8">C54</f>
        <v>0</v>
      </c>
      <c r="E38" s="24">
        <f t="shared" ref="E38:E43" si="9">C38-D38</f>
        <v>1103368306</v>
      </c>
      <c r="F38" s="64">
        <f>AVERAGE(C27:N27)</f>
        <v>1.0492309490125164E-2</v>
      </c>
      <c r="G38" s="58">
        <f t="shared" ref="G38:G43" si="10">ROUND(E38*F38,)</f>
        <v>11576882</v>
      </c>
      <c r="I38" s="108"/>
      <c r="J38" s="108"/>
      <c r="K38" s="108"/>
    </row>
    <row r="39" spans="2:11" x14ac:dyDescent="0.3">
      <c r="B39" s="22" t="s">
        <v>28</v>
      </c>
      <c r="C39" s="23">
        <f t="shared" ref="C39:C41" si="11">N20</f>
        <v>313840579</v>
      </c>
      <c r="D39" s="52">
        <f t="shared" si="8"/>
        <v>0</v>
      </c>
      <c r="E39" s="24">
        <f t="shared" si="9"/>
        <v>313840579</v>
      </c>
      <c r="F39" s="64">
        <f>AVERAGE(C28:N28)</f>
        <v>2.7089112634729511E-2</v>
      </c>
      <c r="G39" s="58">
        <f t="shared" si="10"/>
        <v>8501663</v>
      </c>
      <c r="I39" s="108"/>
      <c r="J39" s="108"/>
      <c r="K39" s="108"/>
    </row>
    <row r="40" spans="2:11" x14ac:dyDescent="0.3">
      <c r="B40" s="22" t="s">
        <v>29</v>
      </c>
      <c r="C40" s="23">
        <f t="shared" si="11"/>
        <v>134444998</v>
      </c>
      <c r="D40" s="52">
        <f t="shared" si="8"/>
        <v>0</v>
      </c>
      <c r="E40" s="24">
        <f t="shared" si="9"/>
        <v>134444998</v>
      </c>
      <c r="F40" s="64">
        <f>IF(AVERAGE(C29:N29)&gt;100%,100%,AVERAGE(C29:N29))</f>
        <v>8.4451466118960899E-2</v>
      </c>
      <c r="G40" s="58">
        <f t="shared" si="10"/>
        <v>11354077</v>
      </c>
      <c r="I40" s="108"/>
      <c r="J40" s="108"/>
      <c r="K40" s="108"/>
    </row>
    <row r="41" spans="2:11" ht="14.25" thickBot="1" x14ac:dyDescent="0.35">
      <c r="B41" s="25" t="s">
        <v>31</v>
      </c>
      <c r="C41" s="23">
        <f t="shared" si="11"/>
        <v>120149886</v>
      </c>
      <c r="D41" s="53">
        <f t="shared" si="8"/>
        <v>0</v>
      </c>
      <c r="E41" s="26">
        <f t="shared" si="9"/>
        <v>120149886</v>
      </c>
      <c r="F41" s="65">
        <f>IF(AVERAGE(C30:N30)&gt;100%,100%,AVERAGE(C30:N30))</f>
        <v>0.40787264178806382</v>
      </c>
      <c r="G41" s="59">
        <f t="shared" si="10"/>
        <v>49005851</v>
      </c>
      <c r="I41" s="108"/>
      <c r="J41" s="108"/>
      <c r="K41" s="108"/>
    </row>
    <row r="42" spans="2:11" x14ac:dyDescent="0.3">
      <c r="B42" s="27" t="s">
        <v>33</v>
      </c>
      <c r="C42" s="28">
        <f>N23</f>
        <v>52313956</v>
      </c>
      <c r="D42" s="54">
        <f t="shared" si="8"/>
        <v>0</v>
      </c>
      <c r="E42" s="29">
        <f t="shared" si="9"/>
        <v>52313956</v>
      </c>
      <c r="F42" s="66">
        <v>1</v>
      </c>
      <c r="G42" s="60">
        <f t="shared" si="10"/>
        <v>52313956</v>
      </c>
      <c r="I42" s="108"/>
      <c r="J42" s="108"/>
      <c r="K42" s="108"/>
    </row>
    <row r="43" spans="2:11" ht="14.25" thickBot="1" x14ac:dyDescent="0.35">
      <c r="B43" s="30" t="s">
        <v>35</v>
      </c>
      <c r="C43" s="31">
        <f>N24</f>
        <v>582881008</v>
      </c>
      <c r="D43" s="55">
        <f t="shared" si="8"/>
        <v>119192371</v>
      </c>
      <c r="E43" s="32">
        <f t="shared" si="9"/>
        <v>463688637</v>
      </c>
      <c r="F43" s="67">
        <v>1</v>
      </c>
      <c r="G43" s="61">
        <f t="shared" si="10"/>
        <v>463688637</v>
      </c>
      <c r="I43" s="108"/>
      <c r="J43" s="108"/>
      <c r="K43" s="108"/>
    </row>
    <row r="44" spans="2:11" ht="14.25" thickBot="1" x14ac:dyDescent="0.35">
      <c r="B44" s="30" t="s">
        <v>41</v>
      </c>
      <c r="C44" s="31">
        <f>SUM(C37:C43)</f>
        <v>10062104263</v>
      </c>
      <c r="D44" s="55">
        <f>SUM(D37:D43)</f>
        <v>119192371</v>
      </c>
      <c r="E44" s="32">
        <f>SUM(E37:E43)</f>
        <v>9942911892</v>
      </c>
      <c r="F44" s="67"/>
      <c r="G44" s="61">
        <f>SUM(G37:G43)</f>
        <v>620100270</v>
      </c>
      <c r="H44" s="108"/>
      <c r="I44" s="108"/>
      <c r="J44" s="108"/>
      <c r="K44" s="108"/>
    </row>
    <row r="45" spans="2:11" ht="14.25" thickBot="1" x14ac:dyDescent="0.35">
      <c r="B45" s="108"/>
      <c r="E45" s="109"/>
      <c r="F45" s="110"/>
      <c r="G45" s="115"/>
      <c r="H45" s="108"/>
      <c r="I45" s="108"/>
      <c r="J45" s="108"/>
      <c r="K45" s="108"/>
    </row>
    <row r="46" spans="2:11" ht="14.25" thickBot="1" x14ac:dyDescent="0.35">
      <c r="G46" s="112">
        <f>G44</f>
        <v>620100270</v>
      </c>
      <c r="H46" s="2" t="s">
        <v>37</v>
      </c>
    </row>
    <row r="47" spans="2:11" x14ac:dyDescent="0.3">
      <c r="D47" s="109"/>
    </row>
    <row r="48" spans="2:11" x14ac:dyDescent="0.3">
      <c r="B48" s="111" t="s">
        <v>48</v>
      </c>
    </row>
    <row r="49" spans="2:9" x14ac:dyDescent="0.3">
      <c r="B49" s="2" t="s">
        <v>49</v>
      </c>
    </row>
    <row r="50" spans="2:9" ht="14.25" thickBot="1" x14ac:dyDescent="0.35"/>
    <row r="51" spans="2:9" ht="67.5" x14ac:dyDescent="0.3">
      <c r="B51" s="170" t="s">
        <v>0</v>
      </c>
      <c r="C51" s="68" t="s">
        <v>95</v>
      </c>
      <c r="D51" s="70" t="s">
        <v>50</v>
      </c>
    </row>
    <row r="52" spans="2:9" ht="14.25" thickBot="1" x14ac:dyDescent="0.35">
      <c r="B52" s="171"/>
      <c r="C52" s="17" t="s">
        <v>246</v>
      </c>
      <c r="D52" s="19" t="s">
        <v>246</v>
      </c>
    </row>
    <row r="53" spans="2:9" x14ac:dyDescent="0.3">
      <c r="B53" s="20" t="s">
        <v>26</v>
      </c>
      <c r="C53" s="34">
        <v>0</v>
      </c>
      <c r="D53" s="35">
        <v>0</v>
      </c>
      <c r="F53" s="173" t="s">
        <v>85</v>
      </c>
      <c r="G53" s="173"/>
      <c r="H53" s="173"/>
      <c r="I53" s="173"/>
    </row>
    <row r="54" spans="2:9" x14ac:dyDescent="0.3">
      <c r="B54" s="22" t="s">
        <v>38</v>
      </c>
      <c r="C54" s="36">
        <v>0</v>
      </c>
      <c r="D54" s="37">
        <v>0</v>
      </c>
      <c r="F54" s="104" t="s">
        <v>86</v>
      </c>
      <c r="G54" s="105">
        <v>27256788</v>
      </c>
      <c r="H54" s="104" t="s">
        <v>87</v>
      </c>
      <c r="I54" s="105">
        <v>49060000</v>
      </c>
    </row>
    <row r="55" spans="2:9" x14ac:dyDescent="0.3">
      <c r="B55" s="22" t="s">
        <v>28</v>
      </c>
      <c r="C55" s="36">
        <v>0</v>
      </c>
      <c r="D55" s="37">
        <v>0</v>
      </c>
      <c r="F55" s="104" t="s">
        <v>88</v>
      </c>
      <c r="G55" s="105">
        <v>3228130</v>
      </c>
      <c r="H55" s="104" t="s">
        <v>89</v>
      </c>
      <c r="I55" s="105">
        <v>12000000</v>
      </c>
    </row>
    <row r="56" spans="2:9" x14ac:dyDescent="0.3">
      <c r="B56" s="22" t="s">
        <v>29</v>
      </c>
      <c r="C56" s="36">
        <v>0</v>
      </c>
      <c r="D56" s="37">
        <v>0</v>
      </c>
      <c r="F56" s="104" t="s">
        <v>90</v>
      </c>
      <c r="G56" s="105">
        <v>27647453</v>
      </c>
      <c r="H56" s="106"/>
      <c r="I56" s="106"/>
    </row>
    <row r="57" spans="2:9" x14ac:dyDescent="0.3">
      <c r="B57" s="25" t="s">
        <v>31</v>
      </c>
      <c r="C57" s="38">
        <v>0</v>
      </c>
      <c r="D57" s="39">
        <v>0</v>
      </c>
    </row>
    <row r="58" spans="2:9" x14ac:dyDescent="0.3">
      <c r="B58" s="25" t="s">
        <v>33</v>
      </c>
      <c r="C58" s="38"/>
      <c r="D58" s="39"/>
    </row>
    <row r="59" spans="2:9" ht="14.25" thickBot="1" x14ac:dyDescent="0.35">
      <c r="B59" s="49" t="s">
        <v>35</v>
      </c>
      <c r="C59" s="40">
        <f>SUM(G54:G56,I54:I56)</f>
        <v>119192371</v>
      </c>
      <c r="D59" s="41">
        <f>C59</f>
        <v>119192371</v>
      </c>
    </row>
    <row r="60" spans="2:9" ht="14.25" thickBot="1" x14ac:dyDescent="0.35">
      <c r="B60" s="46" t="s">
        <v>11</v>
      </c>
      <c r="C60" s="47">
        <f>SUM(C53:C59)</f>
        <v>119192371</v>
      </c>
      <c r="D60" s="48">
        <f>SUM(D53:D59)</f>
        <v>119192371</v>
      </c>
    </row>
    <row r="61" spans="2:9" ht="14.25" thickBot="1" x14ac:dyDescent="0.35"/>
    <row r="62" spans="2:9" ht="14.25" thickBot="1" x14ac:dyDescent="0.35">
      <c r="E62" s="112">
        <f>D60</f>
        <v>119192371</v>
      </c>
      <c r="F62" s="2" t="s">
        <v>51</v>
      </c>
    </row>
    <row r="64" spans="2:9" x14ac:dyDescent="0.3">
      <c r="B64" s="111" t="s">
        <v>12</v>
      </c>
    </row>
    <row r="65" spans="1:6" x14ac:dyDescent="0.3">
      <c r="B65" s="2" t="s">
        <v>20</v>
      </c>
    </row>
    <row r="66" spans="1:6" x14ac:dyDescent="0.3">
      <c r="B66" s="42" t="s">
        <v>14</v>
      </c>
      <c r="C66" s="42" t="s">
        <v>15</v>
      </c>
      <c r="D66" s="42" t="s">
        <v>98</v>
      </c>
      <c r="E66" s="42" t="s">
        <v>52</v>
      </c>
    </row>
    <row r="67" spans="1:6" x14ac:dyDescent="0.3">
      <c r="A67" s="2" t="s">
        <v>18</v>
      </c>
      <c r="B67" s="103" t="s">
        <v>100</v>
      </c>
      <c r="C67" s="43" t="s">
        <v>4</v>
      </c>
      <c r="D67" s="44">
        <v>10062104263</v>
      </c>
      <c r="E67" s="43"/>
    </row>
    <row r="68" spans="1:6" x14ac:dyDescent="0.3">
      <c r="A68" s="2" t="s">
        <v>19</v>
      </c>
      <c r="B68" s="43">
        <v>1110321</v>
      </c>
      <c r="C68" s="43" t="s">
        <v>13</v>
      </c>
      <c r="D68" s="44">
        <v>739292641</v>
      </c>
      <c r="E68" s="45">
        <f>D68-G46-E62</f>
        <v>0</v>
      </c>
      <c r="F68" s="2" t="s">
        <v>16</v>
      </c>
    </row>
    <row r="69" spans="1:6" x14ac:dyDescent="0.3">
      <c r="B69" s="43"/>
      <c r="C69" s="43" t="s">
        <v>101</v>
      </c>
      <c r="D69" s="45">
        <f>D67-D68</f>
        <v>9322811622</v>
      </c>
      <c r="E69" s="45">
        <f>D69-E44-C60+G46+E62</f>
        <v>0</v>
      </c>
      <c r="F69" s="2" t="s">
        <v>16</v>
      </c>
    </row>
  </sheetData>
  <mergeCells count="3">
    <mergeCell ref="B35:B36"/>
    <mergeCell ref="B51:B52"/>
    <mergeCell ref="F53:I53"/>
  </mergeCells>
  <phoneticPr fontId="3" type="noConversion"/>
  <pageMargins left="0.70866141732283472" right="0.70866141732283472" top="0.74803149606299213" bottom="0.74803149606299213" header="0.31496062992125984" footer="0.31496062992125984"/>
  <pageSetup paperSize="9" scale="44"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2060"/>
  </sheetPr>
  <dimension ref="A2:O67"/>
  <sheetViews>
    <sheetView topLeftCell="A41" zoomScaleNormal="100" workbookViewId="0">
      <selection activeCell="G37" sqref="G33:G37"/>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251</v>
      </c>
    </row>
    <row r="3" spans="2:14" ht="14.25" thickBot="1" x14ac:dyDescent="0.35"/>
    <row r="4" spans="2:14" ht="14.25" thickBot="1" x14ac:dyDescent="0.35">
      <c r="C4" s="1"/>
      <c r="D4" s="2" t="s">
        <v>332</v>
      </c>
      <c r="E4" s="116"/>
      <c r="F4" s="2" t="s">
        <v>23</v>
      </c>
    </row>
    <row r="6" spans="2:14" x14ac:dyDescent="0.3">
      <c r="B6" s="111" t="s">
        <v>24</v>
      </c>
    </row>
    <row r="7" spans="2:14" x14ac:dyDescent="0.3">
      <c r="B7" s="111"/>
    </row>
    <row r="8" spans="2:14" x14ac:dyDescent="0.3">
      <c r="B8" s="111" t="s">
        <v>66</v>
      </c>
    </row>
    <row r="9" spans="2:14" x14ac:dyDescent="0.3">
      <c r="B9" s="2" t="s">
        <v>333</v>
      </c>
    </row>
    <row r="10" spans="2:14" ht="14.25" thickBot="1" x14ac:dyDescent="0.35"/>
    <row r="11" spans="2:14" x14ac:dyDescent="0.3">
      <c r="B11" s="3" t="s">
        <v>0</v>
      </c>
      <c r="C11" s="4" t="s">
        <v>2</v>
      </c>
      <c r="D11" s="4" t="s">
        <v>36</v>
      </c>
      <c r="E11" s="4" t="s">
        <v>3</v>
      </c>
      <c r="F11" s="4" t="s">
        <v>70</v>
      </c>
      <c r="G11" s="4" t="s">
        <v>71</v>
      </c>
      <c r="H11" s="4" t="s">
        <v>72</v>
      </c>
      <c r="I11" s="4" t="s">
        <v>75</v>
      </c>
      <c r="J11" s="4" t="s">
        <v>76</v>
      </c>
      <c r="K11" s="4" t="s">
        <v>73</v>
      </c>
      <c r="L11" s="73" t="s">
        <v>74</v>
      </c>
      <c r="M11" s="4" t="s">
        <v>246</v>
      </c>
      <c r="N11" s="80" t="s">
        <v>313</v>
      </c>
    </row>
    <row r="12" spans="2:14" x14ac:dyDescent="0.3">
      <c r="B12" s="5" t="s">
        <v>334</v>
      </c>
      <c r="C12" s="6">
        <v>8088933456</v>
      </c>
      <c r="D12" s="6">
        <v>8285594445</v>
      </c>
      <c r="E12" s="6">
        <v>8444037996</v>
      </c>
      <c r="F12" s="6">
        <v>8408662571</v>
      </c>
      <c r="G12" s="6">
        <v>7930471712</v>
      </c>
      <c r="H12" s="6">
        <v>8422864390</v>
      </c>
      <c r="I12" s="6">
        <v>7484645852</v>
      </c>
      <c r="J12" s="6">
        <v>7599457573</v>
      </c>
      <c r="K12" s="6">
        <v>7351579284</v>
      </c>
      <c r="L12" s="74">
        <v>7878825915</v>
      </c>
      <c r="M12" s="6">
        <v>7429311505</v>
      </c>
      <c r="N12" s="81">
        <v>7755105530</v>
      </c>
    </row>
    <row r="13" spans="2:14" x14ac:dyDescent="0.3">
      <c r="B13" s="7" t="s">
        <v>39</v>
      </c>
      <c r="C13" s="6">
        <v>1109590670</v>
      </c>
      <c r="D13" s="6">
        <v>1368971919</v>
      </c>
      <c r="E13" s="6">
        <v>1283151195</v>
      </c>
      <c r="F13" s="6">
        <v>1295326842</v>
      </c>
      <c r="G13" s="6">
        <v>1918321221</v>
      </c>
      <c r="H13" s="6">
        <v>2109557133</v>
      </c>
      <c r="I13" s="6">
        <v>2258274420</v>
      </c>
      <c r="J13" s="6">
        <v>1943018127</v>
      </c>
      <c r="K13" s="6">
        <v>2096960755</v>
      </c>
      <c r="L13" s="74">
        <v>1695855768</v>
      </c>
      <c r="M13" s="6">
        <v>1329525137</v>
      </c>
      <c r="N13" s="81">
        <v>1103368306</v>
      </c>
    </row>
    <row r="14" spans="2:14" x14ac:dyDescent="0.3">
      <c r="B14" s="7" t="s">
        <v>92</v>
      </c>
      <c r="C14" s="6">
        <v>700538386</v>
      </c>
      <c r="D14" s="6">
        <v>282972718</v>
      </c>
      <c r="E14" s="6">
        <v>438893540</v>
      </c>
      <c r="F14" s="6">
        <v>400074558</v>
      </c>
      <c r="G14" s="6">
        <v>646626532</v>
      </c>
      <c r="H14" s="6">
        <v>419338042</v>
      </c>
      <c r="I14" s="6">
        <v>904477364</v>
      </c>
      <c r="J14" s="6">
        <v>753893940</v>
      </c>
      <c r="K14" s="6">
        <v>979650983</v>
      </c>
      <c r="L14" s="74">
        <v>633708016</v>
      </c>
      <c r="M14" s="6">
        <v>239763111</v>
      </c>
      <c r="N14" s="81">
        <v>313840579</v>
      </c>
    </row>
    <row r="15" spans="2:14" x14ac:dyDescent="0.3">
      <c r="B15" s="7" t="s">
        <v>30</v>
      </c>
      <c r="C15" s="6">
        <v>564542316</v>
      </c>
      <c r="D15" s="6">
        <v>291281441</v>
      </c>
      <c r="E15" s="6">
        <v>240517439</v>
      </c>
      <c r="F15" s="6">
        <v>232760997</v>
      </c>
      <c r="G15" s="6">
        <v>170550445</v>
      </c>
      <c r="H15" s="6">
        <v>440669315</v>
      </c>
      <c r="I15" s="6">
        <v>164002785</v>
      </c>
      <c r="J15" s="6">
        <v>139069026</v>
      </c>
      <c r="K15" s="6">
        <v>446127690</v>
      </c>
      <c r="L15" s="74">
        <v>273503838</v>
      </c>
      <c r="M15" s="6">
        <v>347750247</v>
      </c>
      <c r="N15" s="81">
        <v>134444998</v>
      </c>
    </row>
    <row r="16" spans="2:14" x14ac:dyDescent="0.3">
      <c r="B16" s="7" t="s">
        <v>32</v>
      </c>
      <c r="C16" s="6">
        <v>469950910</v>
      </c>
      <c r="D16" s="6">
        <v>514645368</v>
      </c>
      <c r="E16" s="6">
        <v>111703072</v>
      </c>
      <c r="F16" s="6">
        <v>13356968</v>
      </c>
      <c r="G16" s="6">
        <v>90387652</v>
      </c>
      <c r="H16" s="6">
        <v>55818029</v>
      </c>
      <c r="I16" s="6">
        <v>52492007</v>
      </c>
      <c r="J16" s="6">
        <v>20193132</v>
      </c>
      <c r="K16" s="6">
        <v>35618067</v>
      </c>
      <c r="L16" s="74">
        <v>77613140</v>
      </c>
      <c r="M16" s="6">
        <v>56425025</v>
      </c>
      <c r="N16" s="81">
        <v>120149886</v>
      </c>
    </row>
    <row r="17" spans="2:15" x14ac:dyDescent="0.3">
      <c r="B17" s="7" t="s">
        <v>34</v>
      </c>
      <c r="C17" s="6">
        <v>22776400</v>
      </c>
      <c r="D17" s="6">
        <v>257483476</v>
      </c>
      <c r="E17" s="6">
        <v>49979298</v>
      </c>
      <c r="F17" s="6">
        <v>8724266</v>
      </c>
      <c r="G17" s="6"/>
      <c r="H17" s="6">
        <v>4916400</v>
      </c>
      <c r="I17" s="6">
        <v>973053</v>
      </c>
      <c r="J17" s="6"/>
      <c r="K17" s="6">
        <v>21323305</v>
      </c>
      <c r="L17" s="74">
        <v>34980053</v>
      </c>
      <c r="M17" s="6">
        <v>56383366</v>
      </c>
      <c r="N17" s="81">
        <v>52313956</v>
      </c>
    </row>
    <row r="18" spans="2:15" ht="14.25" thickBot="1" x14ac:dyDescent="0.35">
      <c r="B18" s="8" t="s">
        <v>93</v>
      </c>
      <c r="C18" s="9">
        <v>1030681756</v>
      </c>
      <c r="D18" s="9">
        <v>1053458156</v>
      </c>
      <c r="E18" s="9">
        <v>1068250623</v>
      </c>
      <c r="F18" s="9">
        <v>1100991875</v>
      </c>
      <c r="G18" s="9">
        <v>1069297917</v>
      </c>
      <c r="H18" s="9">
        <v>1065272465</v>
      </c>
      <c r="I18" s="9">
        <v>1038447205</v>
      </c>
      <c r="J18" s="9">
        <v>1013020848</v>
      </c>
      <c r="K18" s="9">
        <v>541485676</v>
      </c>
      <c r="L18" s="75">
        <v>562427025</v>
      </c>
      <c r="M18" s="9">
        <v>541485676</v>
      </c>
      <c r="N18" s="82">
        <v>582881008</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0.16924010148514196</v>
      </c>
      <c r="D21" s="11">
        <f>IF(IFERROR(E13/D12,0)&gt;1,1,IFERROR(E13/D12,0))</f>
        <v>0.15486531515844668</v>
      </c>
      <c r="E21" s="11">
        <f t="shared" ref="E21:M21" si="0">IF(IFERROR(F13/E12,0)&gt;1,1,IFERROR(F13/E12,0))</f>
        <v>0.15340135165351049</v>
      </c>
      <c r="F21" s="11">
        <f t="shared" si="0"/>
        <v>0.22813630643426613</v>
      </c>
      <c r="G21" s="11">
        <f t="shared" si="0"/>
        <v>0.2660065138127814</v>
      </c>
      <c r="H21" s="11">
        <f t="shared" si="0"/>
        <v>0.26811240397994818</v>
      </c>
      <c r="I21" s="11">
        <f t="shared" si="0"/>
        <v>0.25960054295432011</v>
      </c>
      <c r="J21" s="11">
        <f t="shared" si="0"/>
        <v>0.27593558288294956</v>
      </c>
      <c r="K21" s="11">
        <f t="shared" si="0"/>
        <v>0.23067911022749435</v>
      </c>
      <c r="L21" s="11">
        <f t="shared" si="0"/>
        <v>0.16874660658116597</v>
      </c>
      <c r="M21" s="83">
        <f t="shared" si="0"/>
        <v>0.14851555292269308</v>
      </c>
      <c r="N21" s="84">
        <f>AVERAGE(C21:M21)</f>
        <v>0.21120358073570164</v>
      </c>
      <c r="O21" s="174" t="s">
        <v>58</v>
      </c>
    </row>
    <row r="22" spans="2:15" x14ac:dyDescent="0.3">
      <c r="B22" s="13" t="s">
        <v>61</v>
      </c>
      <c r="C22" s="14">
        <f>IF(IFERROR(D14/C13,0)&gt;1,1,IFERROR(D14/C13,0))</f>
        <v>0.25502442085242116</v>
      </c>
      <c r="D22" s="14">
        <f t="shared" ref="D22:M22" si="1">IF(IFERROR(E14/D13,0)&gt;1,1,IFERROR(E14/D13,0))</f>
        <v>0.32060083476409129</v>
      </c>
      <c r="E22" s="14">
        <f t="shared" si="1"/>
        <v>0.31179066002428496</v>
      </c>
      <c r="F22" s="14">
        <f t="shared" si="1"/>
        <v>0.49919951554589959</v>
      </c>
      <c r="G22" s="14">
        <f t="shared" si="1"/>
        <v>0.21859636301234453</v>
      </c>
      <c r="H22" s="14">
        <f t="shared" si="1"/>
        <v>0.42875224844645154</v>
      </c>
      <c r="I22" s="14">
        <f t="shared" si="1"/>
        <v>0.33383628372321555</v>
      </c>
      <c r="J22" s="14">
        <f t="shared" si="1"/>
        <v>0.50419034665032747</v>
      </c>
      <c r="K22" s="14">
        <f t="shared" si="1"/>
        <v>0.30220308820228731</v>
      </c>
      <c r="L22" s="14">
        <f t="shared" si="1"/>
        <v>0.14138178229789175</v>
      </c>
      <c r="M22" s="85">
        <f t="shared" si="1"/>
        <v>0.23605464106392446</v>
      </c>
      <c r="N22" s="86">
        <f t="shared" ref="N22:N25" si="2">AVERAGE(C22:M22)</f>
        <v>0.32287547132573996</v>
      </c>
      <c r="O22" s="174"/>
    </row>
    <row r="23" spans="2:15" x14ac:dyDescent="0.3">
      <c r="B23" s="13" t="s">
        <v>62</v>
      </c>
      <c r="C23" s="14">
        <f t="shared" ref="C23:M25" si="3">IF(IFERROR(D15/C14,0)&gt;1,1,IFERROR(D15/C14,0))</f>
        <v>0.41579654565852725</v>
      </c>
      <c r="D23" s="14">
        <f t="shared" si="3"/>
        <v>0.84996688267312048</v>
      </c>
      <c r="E23" s="14">
        <f t="shared" si="3"/>
        <v>0.53033589193406672</v>
      </c>
      <c r="F23" s="14">
        <f t="shared" si="3"/>
        <v>0.42629665293537611</v>
      </c>
      <c r="G23" s="14">
        <f t="shared" si="3"/>
        <v>0.6814896902498272</v>
      </c>
      <c r="H23" s="14">
        <f t="shared" si="3"/>
        <v>0.39109922919895734</v>
      </c>
      <c r="I23" s="14">
        <f t="shared" si="3"/>
        <v>0.15375622600987501</v>
      </c>
      <c r="J23" s="14">
        <f t="shared" si="3"/>
        <v>0.59176452592257212</v>
      </c>
      <c r="K23" s="14">
        <f t="shared" si="3"/>
        <v>0.27918497786063062</v>
      </c>
      <c r="L23" s="14">
        <f t="shared" si="3"/>
        <v>0.54875469178221659</v>
      </c>
      <c r="M23" s="85">
        <f t="shared" si="3"/>
        <v>0.56074096402594642</v>
      </c>
      <c r="N23" s="86">
        <f t="shared" si="2"/>
        <v>0.49356238893191945</v>
      </c>
      <c r="O23" s="174"/>
    </row>
    <row r="24" spans="2:15" x14ac:dyDescent="0.3">
      <c r="B24" s="13" t="s">
        <v>63</v>
      </c>
      <c r="C24" s="14">
        <f t="shared" si="3"/>
        <v>0.91161522070915935</v>
      </c>
      <c r="D24" s="14">
        <f t="shared" si="3"/>
        <v>0.38348846262402281</v>
      </c>
      <c r="E24" s="14">
        <f t="shared" si="3"/>
        <v>5.5534301610454119E-2</v>
      </c>
      <c r="F24" s="14">
        <f t="shared" si="3"/>
        <v>0.38832816994678881</v>
      </c>
      <c r="G24" s="14">
        <f t="shared" si="3"/>
        <v>0.32728163799279447</v>
      </c>
      <c r="H24" s="14">
        <f t="shared" si="3"/>
        <v>0.11911881588578502</v>
      </c>
      <c r="I24" s="14">
        <f t="shared" si="3"/>
        <v>0.12312676275588856</v>
      </c>
      <c r="J24" s="14">
        <f t="shared" si="3"/>
        <v>0.25611790076102209</v>
      </c>
      <c r="K24" s="14">
        <f t="shared" si="3"/>
        <v>0.17397068538830218</v>
      </c>
      <c r="L24" s="14">
        <f t="shared" si="3"/>
        <v>0.20630432615720734</v>
      </c>
      <c r="M24" s="87">
        <f t="shared" si="3"/>
        <v>0.34550625639095522</v>
      </c>
      <c r="N24" s="86">
        <f t="shared" si="2"/>
        <v>0.29912659456567092</v>
      </c>
      <c r="O24" s="174"/>
    </row>
    <row r="25" spans="2:15" ht="14.25" thickBot="1" x14ac:dyDescent="0.35">
      <c r="B25" s="15" t="s">
        <v>335</v>
      </c>
      <c r="C25" s="16">
        <f t="shared" si="3"/>
        <v>0.5478944088011235</v>
      </c>
      <c r="D25" s="16">
        <f t="shared" si="3"/>
        <v>9.7114053885742929E-2</v>
      </c>
      <c r="E25" s="16">
        <f t="shared" si="3"/>
        <v>7.8102292477685839E-2</v>
      </c>
      <c r="F25" s="16">
        <f t="shared" si="3"/>
        <v>0</v>
      </c>
      <c r="G25" s="16">
        <f t="shared" si="3"/>
        <v>5.4392385366974681E-2</v>
      </c>
      <c r="H25" s="16">
        <f t="shared" si="3"/>
        <v>1.7432593329298675E-2</v>
      </c>
      <c r="I25" s="16">
        <f t="shared" si="3"/>
        <v>0</v>
      </c>
      <c r="J25" s="16">
        <f t="shared" si="3"/>
        <v>1</v>
      </c>
      <c r="K25" s="16">
        <f t="shared" si="3"/>
        <v>0.98208734909729944</v>
      </c>
      <c r="L25" s="16">
        <f t="shared" si="3"/>
        <v>0.72646675550042172</v>
      </c>
      <c r="M25" s="88">
        <f t="shared" si="3"/>
        <v>0.92714103361053013</v>
      </c>
      <c r="N25" s="89">
        <f t="shared" si="2"/>
        <v>0.40278462473355248</v>
      </c>
      <c r="O25" s="174"/>
    </row>
    <row r="26" spans="2:15" x14ac:dyDescent="0.3">
      <c r="B26" s="108"/>
      <c r="C26" s="108"/>
      <c r="D26" s="108"/>
      <c r="E26" s="108"/>
      <c r="F26" s="108"/>
      <c r="G26" s="108"/>
      <c r="H26" s="108"/>
      <c r="I26" s="108"/>
      <c r="J26" s="108"/>
      <c r="K26" s="108"/>
    </row>
    <row r="27" spans="2:15" x14ac:dyDescent="0.3">
      <c r="B27" s="111" t="s">
        <v>336</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337</v>
      </c>
      <c r="D31" s="69" t="s">
        <v>278</v>
      </c>
      <c r="E31" s="70" t="s">
        <v>45</v>
      </c>
      <c r="F31" s="71" t="s">
        <v>59</v>
      </c>
      <c r="G31" s="72" t="s">
        <v>47</v>
      </c>
      <c r="I31" s="108"/>
      <c r="J31" s="108"/>
      <c r="K31" s="108"/>
    </row>
    <row r="32" spans="2:15" ht="14.25" thickBot="1" x14ac:dyDescent="0.35">
      <c r="B32" s="171"/>
      <c r="C32" s="90" t="s">
        <v>246</v>
      </c>
      <c r="D32" s="91" t="s">
        <v>246</v>
      </c>
      <c r="E32" s="92" t="s">
        <v>246</v>
      </c>
      <c r="F32" s="93" t="s">
        <v>246</v>
      </c>
      <c r="G32" s="56" t="s">
        <v>246</v>
      </c>
      <c r="I32" s="108"/>
      <c r="J32" s="108"/>
      <c r="K32" s="108"/>
    </row>
    <row r="33" spans="2:11" x14ac:dyDescent="0.3">
      <c r="B33" s="20" t="s">
        <v>26</v>
      </c>
      <c r="C33" s="94">
        <f t="shared" ref="C33:C39" si="4">N12</f>
        <v>7755105530</v>
      </c>
      <c r="D33" s="50">
        <f>C48</f>
        <v>0</v>
      </c>
      <c r="E33" s="95">
        <f>C33-D33</f>
        <v>7755105530</v>
      </c>
      <c r="F33" s="63">
        <f>PRODUCT(N21:$N$25)</f>
        <v>4.0551441658347271E-3</v>
      </c>
      <c r="G33" s="57">
        <f>ROUND(E33*F33,)</f>
        <v>31448071</v>
      </c>
      <c r="I33" s="108"/>
      <c r="J33" s="108"/>
      <c r="K33" s="108"/>
    </row>
    <row r="34" spans="2:11" x14ac:dyDescent="0.3">
      <c r="B34" s="22" t="s">
        <v>38</v>
      </c>
      <c r="C34" s="96">
        <f t="shared" si="4"/>
        <v>1103368306</v>
      </c>
      <c r="D34" s="52">
        <f t="shared" ref="D34:D39" si="5">C49</f>
        <v>0</v>
      </c>
      <c r="E34" s="97">
        <f t="shared" ref="E34:E39" si="6">C34-D34</f>
        <v>1103368306</v>
      </c>
      <c r="F34" s="64">
        <f>PRODUCT(N22:$N$25)</f>
        <v>1.9200167685174335E-2</v>
      </c>
      <c r="G34" s="58">
        <f t="shared" ref="G34:G39" si="7">ROUND(E34*F34,)</f>
        <v>21184856</v>
      </c>
      <c r="I34" s="108"/>
      <c r="J34" s="108"/>
      <c r="K34" s="108"/>
    </row>
    <row r="35" spans="2:11" x14ac:dyDescent="0.3">
      <c r="B35" s="22" t="s">
        <v>28</v>
      </c>
      <c r="C35" s="96">
        <f t="shared" si="4"/>
        <v>313840579</v>
      </c>
      <c r="D35" s="52">
        <f t="shared" si="5"/>
        <v>0</v>
      </c>
      <c r="E35" s="97">
        <f t="shared" si="6"/>
        <v>313840579</v>
      </c>
      <c r="F35" s="64">
        <f>PRODUCT(N23:$N$25)</f>
        <v>5.9466170057259717E-2</v>
      </c>
      <c r="G35" s="58">
        <f t="shared" si="7"/>
        <v>18662897</v>
      </c>
      <c r="I35" s="108"/>
      <c r="J35" s="108"/>
      <c r="K35" s="108"/>
    </row>
    <row r="36" spans="2:11" x14ac:dyDescent="0.3">
      <c r="B36" s="22" t="s">
        <v>29</v>
      </c>
      <c r="C36" s="96">
        <f t="shared" si="4"/>
        <v>134444998</v>
      </c>
      <c r="D36" s="52">
        <f t="shared" si="5"/>
        <v>0</v>
      </c>
      <c r="E36" s="97">
        <f t="shared" si="6"/>
        <v>134444998</v>
      </c>
      <c r="F36" s="64">
        <f>PRODUCT(N24:$N$25)</f>
        <v>0.12048359313995927</v>
      </c>
      <c r="G36" s="58">
        <f t="shared" si="7"/>
        <v>16198416</v>
      </c>
      <c r="I36" s="108"/>
      <c r="J36" s="108"/>
      <c r="K36" s="108"/>
    </row>
    <row r="37" spans="2:11" ht="14.25" thickBot="1" x14ac:dyDescent="0.35">
      <c r="B37" s="25" t="s">
        <v>31</v>
      </c>
      <c r="C37" s="98">
        <f t="shared" si="4"/>
        <v>120149886</v>
      </c>
      <c r="D37" s="55">
        <f t="shared" si="5"/>
        <v>0</v>
      </c>
      <c r="E37" s="99">
        <f t="shared" si="6"/>
        <v>120149886</v>
      </c>
      <c r="F37" s="67">
        <f>PRODUCT(N25:$N$25)</f>
        <v>0.40278462473355248</v>
      </c>
      <c r="G37" s="59">
        <f t="shared" si="7"/>
        <v>48394527</v>
      </c>
      <c r="I37" s="108"/>
      <c r="J37" s="108"/>
      <c r="K37" s="108"/>
    </row>
    <row r="38" spans="2:11" x14ac:dyDescent="0.3">
      <c r="B38" s="27" t="s">
        <v>33</v>
      </c>
      <c r="C38" s="94">
        <f t="shared" si="4"/>
        <v>52313956</v>
      </c>
      <c r="D38" s="50">
        <f t="shared" si="5"/>
        <v>0</v>
      </c>
      <c r="E38" s="29">
        <f t="shared" si="6"/>
        <v>52313956</v>
      </c>
      <c r="F38" s="100">
        <v>1</v>
      </c>
      <c r="G38" s="60">
        <f t="shared" si="7"/>
        <v>52313956</v>
      </c>
      <c r="I38" s="108"/>
      <c r="J38" s="108"/>
      <c r="K38" s="108"/>
    </row>
    <row r="39" spans="2:11" ht="14.25" thickBot="1" x14ac:dyDescent="0.35">
      <c r="B39" s="30" t="s">
        <v>35</v>
      </c>
      <c r="C39" s="98">
        <f t="shared" si="4"/>
        <v>582881008</v>
      </c>
      <c r="D39" s="55">
        <f t="shared" si="5"/>
        <v>119192371</v>
      </c>
      <c r="E39" s="32">
        <f t="shared" si="6"/>
        <v>463688637</v>
      </c>
      <c r="F39" s="67">
        <v>1</v>
      </c>
      <c r="G39" s="61">
        <f t="shared" si="7"/>
        <v>463688637</v>
      </c>
      <c r="I39" s="108"/>
      <c r="J39" s="108"/>
      <c r="K39" s="108"/>
    </row>
    <row r="40" spans="2:11" ht="14.25" thickBot="1" x14ac:dyDescent="0.35">
      <c r="B40" s="30" t="s">
        <v>338</v>
      </c>
      <c r="C40" s="101">
        <f>SUM(C33:C39)</f>
        <v>10062104263</v>
      </c>
      <c r="D40" s="101">
        <f>SUM(D33:D39)</f>
        <v>119192371</v>
      </c>
      <c r="E40" s="102">
        <f>SUM(E33:E39)</f>
        <v>9942911892</v>
      </c>
      <c r="F40" s="67"/>
      <c r="G40" s="61">
        <f>SUM(G33:G39)</f>
        <v>651891360</v>
      </c>
      <c r="H40" s="108"/>
      <c r="I40" s="108"/>
      <c r="J40" s="108"/>
      <c r="K40" s="108"/>
    </row>
    <row r="41" spans="2:11" ht="14.25" thickBot="1" x14ac:dyDescent="0.35">
      <c r="B41" s="108"/>
      <c r="E41" s="109"/>
      <c r="F41" s="110"/>
      <c r="G41" s="115"/>
      <c r="H41" s="108"/>
      <c r="I41" s="108"/>
      <c r="J41" s="108"/>
      <c r="K41" s="108"/>
    </row>
    <row r="42" spans="2:11" ht="14.25" thickBot="1" x14ac:dyDescent="0.35">
      <c r="G42" s="33">
        <f>G40</f>
        <v>651891360</v>
      </c>
      <c r="H42" s="2" t="s">
        <v>339</v>
      </c>
    </row>
    <row r="43" spans="2:11" x14ac:dyDescent="0.3">
      <c r="B43" s="111" t="s">
        <v>340</v>
      </c>
    </row>
    <row r="44" spans="2:11" x14ac:dyDescent="0.3">
      <c r="B44" s="2" t="s">
        <v>49</v>
      </c>
    </row>
    <row r="45" spans="2:11" ht="14.25" thickBot="1" x14ac:dyDescent="0.35"/>
    <row r="46" spans="2:11" ht="67.5" x14ac:dyDescent="0.3">
      <c r="B46" s="170" t="s">
        <v>0</v>
      </c>
      <c r="C46" s="68" t="s">
        <v>341</v>
      </c>
      <c r="D46" s="70" t="s">
        <v>50</v>
      </c>
    </row>
    <row r="47" spans="2:11" ht="14.25" thickBot="1" x14ac:dyDescent="0.35">
      <c r="B47" s="171"/>
      <c r="C47" s="17" t="s">
        <v>246</v>
      </c>
      <c r="D47" s="19" t="s">
        <v>246</v>
      </c>
    </row>
    <row r="48" spans="2:11" x14ac:dyDescent="0.3">
      <c r="B48" s="20" t="s">
        <v>26</v>
      </c>
      <c r="C48" s="34">
        <v>0</v>
      </c>
      <c r="D48" s="35">
        <v>0</v>
      </c>
      <c r="F48" s="173" t="s">
        <v>85</v>
      </c>
      <c r="G48" s="173"/>
      <c r="H48" s="173"/>
      <c r="I48" s="173"/>
    </row>
    <row r="49" spans="1:10" x14ac:dyDescent="0.3">
      <c r="B49" s="22" t="s">
        <v>38</v>
      </c>
      <c r="C49" s="36">
        <v>0</v>
      </c>
      <c r="D49" s="37">
        <v>0</v>
      </c>
      <c r="F49" s="104" t="s">
        <v>86</v>
      </c>
      <c r="G49" s="105">
        <v>27256788</v>
      </c>
      <c r="H49" s="104" t="s">
        <v>87</v>
      </c>
      <c r="I49" s="105">
        <v>49060000</v>
      </c>
    </row>
    <row r="50" spans="1:10" x14ac:dyDescent="0.3">
      <c r="B50" s="22" t="s">
        <v>28</v>
      </c>
      <c r="C50" s="36">
        <v>0</v>
      </c>
      <c r="D50" s="37">
        <v>0</v>
      </c>
      <c r="F50" s="104" t="s">
        <v>88</v>
      </c>
      <c r="G50" s="105">
        <v>3228130</v>
      </c>
      <c r="H50" s="104" t="s">
        <v>89</v>
      </c>
      <c r="I50" s="105">
        <v>12000000</v>
      </c>
    </row>
    <row r="51" spans="1:10" x14ac:dyDescent="0.3">
      <c r="B51" s="22" t="s">
        <v>29</v>
      </c>
      <c r="C51" s="36">
        <v>0</v>
      </c>
      <c r="D51" s="37">
        <v>0</v>
      </c>
      <c r="F51" s="104" t="s">
        <v>90</v>
      </c>
      <c r="G51" s="105">
        <v>27647453</v>
      </c>
      <c r="H51" s="106"/>
      <c r="I51" s="106"/>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119192371</v>
      </c>
      <c r="D54" s="41">
        <f>C54</f>
        <v>119192371</v>
      </c>
    </row>
    <row r="55" spans="1:10" ht="14.25" thickBot="1" x14ac:dyDescent="0.35">
      <c r="B55" s="46" t="s">
        <v>342</v>
      </c>
      <c r="C55" s="47">
        <f>SUM(C48:C54)</f>
        <v>119192371</v>
      </c>
      <c r="D55" s="48">
        <f>SUM(D48:D54)</f>
        <v>119192371</v>
      </c>
    </row>
    <row r="56" spans="1:10" ht="14.25" thickBot="1" x14ac:dyDescent="0.35"/>
    <row r="57" spans="1:10" ht="14.25" thickBot="1" x14ac:dyDescent="0.35">
      <c r="E57" s="33">
        <f>D55</f>
        <v>119192371</v>
      </c>
      <c r="F57" s="2" t="s">
        <v>343</v>
      </c>
    </row>
    <row r="59" spans="1:10" x14ac:dyDescent="0.3">
      <c r="B59" s="111" t="s">
        <v>344</v>
      </c>
    </row>
    <row r="60" spans="1:10" x14ac:dyDescent="0.3">
      <c r="B60" s="2" t="s">
        <v>345</v>
      </c>
      <c r="H60" s="118" t="s">
        <v>346</v>
      </c>
      <c r="I60" s="118" t="s">
        <v>347</v>
      </c>
      <c r="J60" s="118" t="s">
        <v>348</v>
      </c>
    </row>
    <row r="61" spans="1:10" x14ac:dyDescent="0.3">
      <c r="B61" s="42" t="s">
        <v>349</v>
      </c>
      <c r="C61" s="42" t="s">
        <v>350</v>
      </c>
      <c r="D61" s="42" t="s">
        <v>351</v>
      </c>
      <c r="E61" s="42" t="s">
        <v>352</v>
      </c>
      <c r="H61" s="43" t="s">
        <v>353</v>
      </c>
      <c r="I61" s="119">
        <f>D63</f>
        <v>771083731</v>
      </c>
      <c r="J61" s="119">
        <v>1168728889</v>
      </c>
    </row>
    <row r="62" spans="1:10" x14ac:dyDescent="0.3">
      <c r="A62" s="2" t="s">
        <v>18</v>
      </c>
      <c r="B62" s="103" t="s">
        <v>100</v>
      </c>
      <c r="C62" s="43" t="s">
        <v>4</v>
      </c>
      <c r="D62" s="44">
        <v>10062104263</v>
      </c>
      <c r="E62" s="43"/>
      <c r="H62" s="43" t="s">
        <v>79</v>
      </c>
      <c r="I62" s="119">
        <v>739946819</v>
      </c>
      <c r="J62" s="119">
        <v>1170932564.2797999</v>
      </c>
    </row>
    <row r="63" spans="1:10" x14ac:dyDescent="0.3">
      <c r="A63" s="2" t="s">
        <v>19</v>
      </c>
      <c r="B63" s="43">
        <v>1110321</v>
      </c>
      <c r="C63" s="43" t="s">
        <v>13</v>
      </c>
      <c r="D63" s="44">
        <v>771083731</v>
      </c>
      <c r="E63" s="45">
        <f>D63-G42-E57</f>
        <v>0</v>
      </c>
      <c r="F63" s="2" t="s">
        <v>16</v>
      </c>
      <c r="H63" s="43" t="s">
        <v>81</v>
      </c>
      <c r="I63" s="119"/>
      <c r="J63" s="119"/>
    </row>
    <row r="64" spans="1:10" x14ac:dyDescent="0.3">
      <c r="B64" s="43"/>
      <c r="C64" s="43" t="s">
        <v>101</v>
      </c>
      <c r="D64" s="45">
        <f>D62-D63</f>
        <v>9291020532</v>
      </c>
      <c r="E64" s="45">
        <f>D64-E40-C55+G42+E57</f>
        <v>0</v>
      </c>
      <c r="F64" s="2" t="s">
        <v>16</v>
      </c>
      <c r="H64" s="106" t="s">
        <v>82</v>
      </c>
      <c r="I64" s="120">
        <f>I61-I62+I63</f>
        <v>31136912</v>
      </c>
      <c r="J64" s="107">
        <v>-2203675.2797999382</v>
      </c>
    </row>
    <row r="66" spans="4:4" x14ac:dyDescent="0.3">
      <c r="D66" s="168">
        <f>+'전이율 적용(2020.4Q)-국내'!D63+'전이율 적용(2020.4Q)-수출'!D63</f>
        <v>739822740</v>
      </c>
    </row>
    <row r="67" spans="4:4" x14ac:dyDescent="0.3">
      <c r="D67" s="168">
        <f>D63-D66</f>
        <v>31260991</v>
      </c>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2060"/>
  </sheetPr>
  <dimension ref="A2:O64"/>
  <sheetViews>
    <sheetView topLeftCell="A40" zoomScaleNormal="100" workbookViewId="0">
      <selection activeCell="B74" sqref="B74"/>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2</v>
      </c>
      <c r="D11" s="4" t="s">
        <v>36</v>
      </c>
      <c r="E11" s="4" t="s">
        <v>3</v>
      </c>
      <c r="F11" s="4" t="s">
        <v>70</v>
      </c>
      <c r="G11" s="4" t="s">
        <v>71</v>
      </c>
      <c r="H11" s="4" t="s">
        <v>72</v>
      </c>
      <c r="I11" s="4" t="s">
        <v>75</v>
      </c>
      <c r="J11" s="4" t="s">
        <v>76</v>
      </c>
      <c r="K11" s="4" t="s">
        <v>73</v>
      </c>
      <c r="L11" s="73" t="s">
        <v>74</v>
      </c>
      <c r="M11" s="4" t="s">
        <v>246</v>
      </c>
      <c r="N11" s="80" t="s">
        <v>313</v>
      </c>
    </row>
    <row r="12" spans="2:14" x14ac:dyDescent="0.3">
      <c r="B12" s="5" t="s">
        <v>27</v>
      </c>
      <c r="C12" s="6">
        <v>2648522721</v>
      </c>
      <c r="D12" s="6">
        <v>2355498536</v>
      </c>
      <c r="E12" s="6">
        <v>2374636960</v>
      </c>
      <c r="F12" s="6">
        <v>2410631543</v>
      </c>
      <c r="G12" s="6">
        <v>2356271451</v>
      </c>
      <c r="H12" s="6">
        <v>2400410640</v>
      </c>
      <c r="I12" s="6">
        <v>2092236726</v>
      </c>
      <c r="J12" s="6">
        <v>2125383029</v>
      </c>
      <c r="K12" s="6">
        <v>1838003129</v>
      </c>
      <c r="L12" s="74">
        <v>2474596079</v>
      </c>
      <c r="M12" s="6">
        <v>2202685666</v>
      </c>
      <c r="N12" s="81">
        <v>2448094402</v>
      </c>
    </row>
    <row r="13" spans="2:14" x14ac:dyDescent="0.3">
      <c r="B13" s="7" t="s">
        <v>39</v>
      </c>
      <c r="C13" s="6">
        <v>122740344</v>
      </c>
      <c r="D13" s="6">
        <v>133395164</v>
      </c>
      <c r="E13" s="6">
        <v>149024338</v>
      </c>
      <c r="F13" s="6">
        <v>116141529</v>
      </c>
      <c r="G13" s="6">
        <v>136900316</v>
      </c>
      <c r="H13" s="6">
        <v>177719656</v>
      </c>
      <c r="I13" s="6">
        <v>100426870</v>
      </c>
      <c r="J13" s="6">
        <v>274267577</v>
      </c>
      <c r="K13" s="6">
        <v>238208478</v>
      </c>
      <c r="L13" s="74">
        <v>167868169</v>
      </c>
      <c r="M13" s="6">
        <v>112476407</v>
      </c>
      <c r="N13" s="81">
        <v>46121428</v>
      </c>
    </row>
    <row r="14" spans="2:14" x14ac:dyDescent="0.3">
      <c r="B14" s="7" t="s">
        <v>92</v>
      </c>
      <c r="C14" s="6">
        <v>83807775</v>
      </c>
      <c r="D14" s="6">
        <v>36834824</v>
      </c>
      <c r="E14" s="6">
        <v>25216781</v>
      </c>
      <c r="F14" s="6">
        <v>20903166</v>
      </c>
      <c r="G14" s="6">
        <v>70568872</v>
      </c>
      <c r="H14" s="6">
        <v>24276453</v>
      </c>
      <c r="I14" s="6">
        <v>15932348</v>
      </c>
      <c r="J14" s="6">
        <v>5500521</v>
      </c>
      <c r="K14" s="6"/>
      <c r="L14" s="74">
        <v>73921998</v>
      </c>
      <c r="M14" s="6"/>
      <c r="N14" s="81">
        <v>1992302</v>
      </c>
    </row>
    <row r="15" spans="2:14" x14ac:dyDescent="0.3">
      <c r="B15" s="7" t="s">
        <v>30</v>
      </c>
      <c r="C15" s="6">
        <v>122337757</v>
      </c>
      <c r="D15" s="6">
        <v>83558024</v>
      </c>
      <c r="E15" s="6">
        <v>36625824</v>
      </c>
      <c r="F15" s="6">
        <v>25216781</v>
      </c>
      <c r="G15" s="6">
        <v>10901915</v>
      </c>
      <c r="H15" s="6">
        <v>59932773</v>
      </c>
      <c r="I15" s="6"/>
      <c r="J15" s="6">
        <v>3905000</v>
      </c>
      <c r="K15" s="6"/>
      <c r="L15" s="74"/>
      <c r="M15" s="6">
        <v>63921998</v>
      </c>
      <c r="N15" s="81"/>
    </row>
    <row r="16" spans="2:14" x14ac:dyDescent="0.3">
      <c r="B16" s="7" t="s">
        <v>32</v>
      </c>
      <c r="C16" s="6"/>
      <c r="D16" s="6">
        <v>60009591</v>
      </c>
      <c r="E16" s="6">
        <v>31007597</v>
      </c>
      <c r="F16" s="6">
        <v>13356968</v>
      </c>
      <c r="G16" s="6"/>
      <c r="H16" s="6"/>
      <c r="I16" s="6">
        <v>45408000</v>
      </c>
      <c r="J16" s="6"/>
      <c r="K16" s="6"/>
      <c r="L16" s="74"/>
      <c r="M16" s="6"/>
      <c r="N16" s="81">
        <v>61921998</v>
      </c>
    </row>
    <row r="17" spans="2:15" x14ac:dyDescent="0.3">
      <c r="B17" s="7" t="s">
        <v>34</v>
      </c>
      <c r="C17" s="6">
        <v>22776400</v>
      </c>
      <c r="D17" s="6"/>
      <c r="E17" s="6">
        <v>18937160</v>
      </c>
      <c r="F17" s="6"/>
      <c r="G17" s="6"/>
      <c r="H17" s="6"/>
      <c r="I17" s="6"/>
      <c r="J17" s="6"/>
      <c r="K17" s="6"/>
      <c r="L17" s="74"/>
      <c r="M17" s="6"/>
      <c r="N17" s="81"/>
    </row>
    <row r="18" spans="2:15" ht="14.25" thickBot="1" x14ac:dyDescent="0.35">
      <c r="B18" s="8" t="s">
        <v>93</v>
      </c>
      <c r="C18" s="9">
        <v>903517398</v>
      </c>
      <c r="D18" s="9">
        <v>926293798</v>
      </c>
      <c r="E18" s="9">
        <v>926293798</v>
      </c>
      <c r="F18" s="9">
        <v>945230958</v>
      </c>
      <c r="G18" s="9">
        <v>904155172</v>
      </c>
      <c r="H18" s="9">
        <v>899495522</v>
      </c>
      <c r="I18" s="9">
        <v>880558362</v>
      </c>
      <c r="J18" s="9">
        <v>880558362</v>
      </c>
      <c r="K18" s="9">
        <v>414321318</v>
      </c>
      <c r="L18" s="75">
        <v>414321318</v>
      </c>
      <c r="M18" s="9">
        <v>414321318</v>
      </c>
      <c r="N18" s="82">
        <v>414321318</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5.03658748865232E-2</v>
      </c>
      <c r="D21" s="11">
        <f>IF(IFERROR(E13/D12,0)&gt;1,1,IFERROR(E13/D12,0))</f>
        <v>6.3266580608055192E-2</v>
      </c>
      <c r="E21" s="11">
        <f t="shared" ref="E21:M21" si="0">IF(IFERROR(F13/E12,0)&gt;1,1,IFERROR(F13/E12,0))</f>
        <v>4.8909172625696856E-2</v>
      </c>
      <c r="F21" s="11">
        <f t="shared" si="0"/>
        <v>5.6790228435171522E-2</v>
      </c>
      <c r="G21" s="11">
        <f t="shared" si="0"/>
        <v>7.5424101040894878E-2</v>
      </c>
      <c r="H21" s="11">
        <f t="shared" si="0"/>
        <v>4.1837370792524066E-2</v>
      </c>
      <c r="I21" s="11">
        <f t="shared" si="0"/>
        <v>0.13108821463255396</v>
      </c>
      <c r="J21" s="11">
        <f t="shared" si="0"/>
        <v>0.11207790537034537</v>
      </c>
      <c r="K21" s="11">
        <f t="shared" si="0"/>
        <v>9.1331818945994847E-2</v>
      </c>
      <c r="L21" s="11">
        <f t="shared" si="0"/>
        <v>4.5452430784361557E-2</v>
      </c>
      <c r="M21" s="83">
        <f t="shared" si="0"/>
        <v>2.0938724354508057E-2</v>
      </c>
      <c r="N21" s="84">
        <f>AVERAGE(C21:M21)</f>
        <v>6.7043856588784506E-2</v>
      </c>
      <c r="O21" s="174" t="s">
        <v>58</v>
      </c>
    </row>
    <row r="22" spans="2:15" x14ac:dyDescent="0.3">
      <c r="B22" s="13" t="s">
        <v>61</v>
      </c>
      <c r="C22" s="14">
        <f>IF(IFERROR(D14/C13,0)&gt;1,1,IFERROR(D14/C13,0))</f>
        <v>0.30010363992462008</v>
      </c>
      <c r="D22" s="14">
        <f t="shared" ref="D22:M22" si="1">IF(IFERROR(E14/D13,0)&gt;1,1,IFERROR(E14/D13,0))</f>
        <v>0.18903819481791709</v>
      </c>
      <c r="E22" s="14">
        <f t="shared" si="1"/>
        <v>0.14026679319991342</v>
      </c>
      <c r="F22" s="14">
        <f t="shared" si="1"/>
        <v>0.60761101225040703</v>
      </c>
      <c r="G22" s="14">
        <f t="shared" si="1"/>
        <v>0.17732941536818658</v>
      </c>
      <c r="H22" s="14">
        <f t="shared" si="1"/>
        <v>8.9648766819580158E-2</v>
      </c>
      <c r="I22" s="14">
        <f t="shared" si="1"/>
        <v>5.4771407293685445E-2</v>
      </c>
      <c r="J22" s="14">
        <f t="shared" si="1"/>
        <v>0</v>
      </c>
      <c r="K22" s="14">
        <f t="shared" si="1"/>
        <v>0.31032479876723784</v>
      </c>
      <c r="L22" s="14">
        <f t="shared" si="1"/>
        <v>0</v>
      </c>
      <c r="M22" s="85">
        <f t="shared" si="1"/>
        <v>1.7713065816549422E-2</v>
      </c>
      <c r="N22" s="86">
        <f t="shared" ref="N22:N25" si="2">AVERAGE(C22:M22)</f>
        <v>0.17152791765982697</v>
      </c>
      <c r="O22" s="174"/>
    </row>
    <row r="23" spans="2:15" x14ac:dyDescent="0.3">
      <c r="B23" s="13" t="s">
        <v>62</v>
      </c>
      <c r="C23" s="14">
        <f t="shared" ref="C23:M25" si="3">IF(IFERROR(D15/C14,0)&gt;1,1,IFERROR(D15/C14,0))</f>
        <v>0.99701995429421675</v>
      </c>
      <c r="D23" s="14">
        <f t="shared" si="3"/>
        <v>0.99432602148445182</v>
      </c>
      <c r="E23" s="14">
        <f t="shared" si="3"/>
        <v>1</v>
      </c>
      <c r="F23" s="14">
        <f t="shared" si="3"/>
        <v>0.52154372213280997</v>
      </c>
      <c r="G23" s="14">
        <f t="shared" si="3"/>
        <v>0.84928058648861493</v>
      </c>
      <c r="H23" s="14">
        <f t="shared" si="3"/>
        <v>0</v>
      </c>
      <c r="I23" s="14">
        <f t="shared" si="3"/>
        <v>0.24509883916670663</v>
      </c>
      <c r="J23" s="14">
        <f t="shared" si="3"/>
        <v>0</v>
      </c>
      <c r="K23" s="14">
        <f t="shared" si="3"/>
        <v>0</v>
      </c>
      <c r="L23" s="14">
        <f t="shared" si="3"/>
        <v>0.86472227117021372</v>
      </c>
      <c r="M23" s="85">
        <f t="shared" si="3"/>
        <v>0</v>
      </c>
      <c r="N23" s="86">
        <f t="shared" si="2"/>
        <v>0.49745376315791034</v>
      </c>
      <c r="O23" s="174"/>
    </row>
    <row r="24" spans="2:15" x14ac:dyDescent="0.3">
      <c r="B24" s="13" t="s">
        <v>63</v>
      </c>
      <c r="C24" s="14">
        <f t="shared" si="3"/>
        <v>0.49052387808614145</v>
      </c>
      <c r="D24" s="14">
        <f t="shared" si="3"/>
        <v>0.37109059687672846</v>
      </c>
      <c r="E24" s="14">
        <f t="shared" si="3"/>
        <v>0.36468716717472349</v>
      </c>
      <c r="F24" s="14">
        <f t="shared" si="3"/>
        <v>0</v>
      </c>
      <c r="G24" s="14">
        <f t="shared" si="3"/>
        <v>0</v>
      </c>
      <c r="H24" s="14">
        <f t="shared" si="3"/>
        <v>0.75764890771865334</v>
      </c>
      <c r="I24" s="14">
        <f t="shared" si="3"/>
        <v>0</v>
      </c>
      <c r="J24" s="14">
        <f t="shared" si="3"/>
        <v>0</v>
      </c>
      <c r="K24" s="14">
        <f t="shared" si="3"/>
        <v>0</v>
      </c>
      <c r="L24" s="14">
        <f t="shared" si="3"/>
        <v>0</v>
      </c>
      <c r="M24" s="87">
        <f t="shared" si="3"/>
        <v>0.96871186660967634</v>
      </c>
      <c r="N24" s="86">
        <f t="shared" si="2"/>
        <v>0.26842385604235663</v>
      </c>
      <c r="O24" s="174"/>
    </row>
    <row r="25" spans="2:15" ht="14.25" thickBot="1" x14ac:dyDescent="0.35">
      <c r="B25" s="15" t="s">
        <v>64</v>
      </c>
      <c r="C25" s="16">
        <f t="shared" si="3"/>
        <v>0</v>
      </c>
      <c r="D25" s="16">
        <f t="shared" si="3"/>
        <v>0.31556888964632335</v>
      </c>
      <c r="E25" s="16">
        <f t="shared" si="3"/>
        <v>0</v>
      </c>
      <c r="F25" s="16">
        <f t="shared" si="3"/>
        <v>0</v>
      </c>
      <c r="G25" s="16">
        <f t="shared" si="3"/>
        <v>0</v>
      </c>
      <c r="H25" s="16">
        <f t="shared" si="3"/>
        <v>0</v>
      </c>
      <c r="I25" s="16">
        <f t="shared" si="3"/>
        <v>0</v>
      </c>
      <c r="J25" s="16">
        <f t="shared" si="3"/>
        <v>0</v>
      </c>
      <c r="K25" s="16">
        <f t="shared" si="3"/>
        <v>0</v>
      </c>
      <c r="L25" s="16">
        <f t="shared" si="3"/>
        <v>0</v>
      </c>
      <c r="M25" s="88">
        <f t="shared" si="3"/>
        <v>0</v>
      </c>
      <c r="N25" s="89">
        <f t="shared" si="2"/>
        <v>2.8688080876938485E-2</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246</v>
      </c>
      <c r="D32" s="91" t="s">
        <v>246</v>
      </c>
      <c r="E32" s="92" t="s">
        <v>246</v>
      </c>
      <c r="F32" s="93" t="s">
        <v>246</v>
      </c>
      <c r="G32" s="56" t="s">
        <v>246</v>
      </c>
      <c r="I32" s="108"/>
      <c r="J32" s="108"/>
      <c r="K32" s="108"/>
    </row>
    <row r="33" spans="2:11" x14ac:dyDescent="0.3">
      <c r="B33" s="20" t="s">
        <v>26</v>
      </c>
      <c r="C33" s="94">
        <f t="shared" ref="C33:C39" si="4">N12</f>
        <v>2448094402</v>
      </c>
      <c r="D33" s="50">
        <f>C48</f>
        <v>0</v>
      </c>
      <c r="E33" s="95">
        <f>C33-D33</f>
        <v>2448094402</v>
      </c>
      <c r="F33" s="63">
        <f>PRODUCT(N21:$N$25)</f>
        <v>4.4052355149650998E-5</v>
      </c>
      <c r="G33" s="57">
        <f>ROUND(E33*F33,)</f>
        <v>107844</v>
      </c>
      <c r="I33" s="108"/>
      <c r="J33" s="108"/>
      <c r="K33" s="108"/>
    </row>
    <row r="34" spans="2:11" x14ac:dyDescent="0.3">
      <c r="B34" s="22" t="s">
        <v>38</v>
      </c>
      <c r="C34" s="96">
        <f t="shared" si="4"/>
        <v>46121428</v>
      </c>
      <c r="D34" s="52">
        <f t="shared" ref="D34:D39" si="5">C49</f>
        <v>0</v>
      </c>
      <c r="E34" s="97">
        <f t="shared" ref="E34:E39" si="6">C34-D34</f>
        <v>46121428</v>
      </c>
      <c r="F34" s="64">
        <f>PRODUCT(N22:$N$25)</f>
        <v>6.5706773731480622E-4</v>
      </c>
      <c r="G34" s="58">
        <f t="shared" ref="G34:G39" si="7">ROUND(E34*F34,)</f>
        <v>30305</v>
      </c>
      <c r="I34" s="108"/>
      <c r="J34" s="108"/>
      <c r="K34" s="108"/>
    </row>
    <row r="35" spans="2:11" x14ac:dyDescent="0.3">
      <c r="B35" s="22" t="s">
        <v>28</v>
      </c>
      <c r="C35" s="96">
        <f t="shared" si="4"/>
        <v>1992302</v>
      </c>
      <c r="D35" s="52">
        <f t="shared" si="5"/>
        <v>0</v>
      </c>
      <c r="E35" s="97">
        <f t="shared" si="6"/>
        <v>1992302</v>
      </c>
      <c r="F35" s="64">
        <f>PRODUCT(N23:$N$25)</f>
        <v>3.8306751826714218E-3</v>
      </c>
      <c r="G35" s="58">
        <f t="shared" si="7"/>
        <v>7632</v>
      </c>
      <c r="I35" s="108"/>
      <c r="J35" s="108"/>
      <c r="K35" s="108"/>
    </row>
    <row r="36" spans="2:11" x14ac:dyDescent="0.3">
      <c r="B36" s="22" t="s">
        <v>29</v>
      </c>
      <c r="C36" s="96">
        <f t="shared" si="4"/>
        <v>0</v>
      </c>
      <c r="D36" s="52">
        <f t="shared" si="5"/>
        <v>0</v>
      </c>
      <c r="E36" s="97">
        <f t="shared" si="6"/>
        <v>0</v>
      </c>
      <c r="F36" s="64">
        <f>PRODUCT(N24:$N$25)</f>
        <v>7.7005652914428199E-3</v>
      </c>
      <c r="G36" s="58">
        <f t="shared" si="7"/>
        <v>0</v>
      </c>
      <c r="I36" s="108"/>
      <c r="J36" s="108"/>
      <c r="K36" s="108"/>
    </row>
    <row r="37" spans="2:11" ht="14.25" thickBot="1" x14ac:dyDescent="0.35">
      <c r="B37" s="25" t="s">
        <v>31</v>
      </c>
      <c r="C37" s="98">
        <f t="shared" si="4"/>
        <v>61921998</v>
      </c>
      <c r="D37" s="55">
        <f t="shared" si="5"/>
        <v>0</v>
      </c>
      <c r="E37" s="99">
        <f t="shared" si="6"/>
        <v>61921998</v>
      </c>
      <c r="F37" s="67">
        <f>PRODUCT(N25:$N$25)</f>
        <v>2.8688080876938485E-2</v>
      </c>
      <c r="G37" s="59">
        <f t="shared" si="7"/>
        <v>1776423</v>
      </c>
      <c r="I37" s="108"/>
      <c r="J37" s="108"/>
      <c r="K37" s="108"/>
    </row>
    <row r="38" spans="2:11" x14ac:dyDescent="0.3">
      <c r="B38" s="27" t="s">
        <v>33</v>
      </c>
      <c r="C38" s="94">
        <f t="shared" si="4"/>
        <v>0</v>
      </c>
      <c r="D38" s="50">
        <f t="shared" si="5"/>
        <v>0</v>
      </c>
      <c r="E38" s="29">
        <f t="shared" si="6"/>
        <v>0</v>
      </c>
      <c r="F38" s="100">
        <v>1</v>
      </c>
      <c r="G38" s="60">
        <f t="shared" si="7"/>
        <v>0</v>
      </c>
      <c r="I38" s="108"/>
      <c r="J38" s="108"/>
      <c r="K38" s="108"/>
    </row>
    <row r="39" spans="2:11" ht="14.25" thickBot="1" x14ac:dyDescent="0.35">
      <c r="B39" s="30" t="s">
        <v>35</v>
      </c>
      <c r="C39" s="98">
        <f t="shared" si="4"/>
        <v>414321318</v>
      </c>
      <c r="D39" s="55">
        <f t="shared" si="5"/>
        <v>114321318</v>
      </c>
      <c r="E39" s="32">
        <f t="shared" si="6"/>
        <v>300000000</v>
      </c>
      <c r="F39" s="67">
        <v>1</v>
      </c>
      <c r="G39" s="61">
        <f t="shared" si="7"/>
        <v>300000000</v>
      </c>
      <c r="I39" s="108"/>
      <c r="J39" s="108"/>
      <c r="K39" s="108"/>
    </row>
    <row r="40" spans="2:11" ht="14.25" thickBot="1" x14ac:dyDescent="0.35">
      <c r="B40" s="30" t="s">
        <v>41</v>
      </c>
      <c r="C40" s="101">
        <f>SUM(C33:C39)</f>
        <v>2972451448</v>
      </c>
      <c r="D40" s="101">
        <f>SUM(D33:D39)</f>
        <v>114321318</v>
      </c>
      <c r="E40" s="102">
        <f>SUM(E33:E39)</f>
        <v>2858130130</v>
      </c>
      <c r="F40" s="67"/>
      <c r="G40" s="61">
        <f>SUM(G33:G39)</f>
        <v>301922204</v>
      </c>
      <c r="H40" s="108"/>
      <c r="I40" s="108"/>
      <c r="J40" s="108"/>
      <c r="K40" s="108"/>
    </row>
    <row r="41" spans="2:11" ht="14.25" thickBot="1" x14ac:dyDescent="0.35">
      <c r="B41" s="108"/>
      <c r="E41" s="109"/>
      <c r="F41" s="110"/>
      <c r="G41" s="115"/>
      <c r="H41" s="108"/>
      <c r="I41" s="108"/>
      <c r="J41" s="108"/>
      <c r="K41" s="108"/>
    </row>
    <row r="42" spans="2:11" ht="14.25" thickBot="1" x14ac:dyDescent="0.35">
      <c r="G42" s="33">
        <f>G40</f>
        <v>301922204</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17" t="s">
        <v>246</v>
      </c>
      <c r="D47" s="19" t="s">
        <v>246</v>
      </c>
    </row>
    <row r="48" spans="2:11" x14ac:dyDescent="0.3">
      <c r="B48" s="20" t="s">
        <v>26</v>
      </c>
      <c r="C48" s="34">
        <v>0</v>
      </c>
      <c r="D48" s="35">
        <v>0</v>
      </c>
      <c r="F48" s="173" t="s">
        <v>85</v>
      </c>
      <c r="G48" s="173"/>
      <c r="H48" s="173"/>
      <c r="I48" s="173"/>
    </row>
    <row r="49" spans="1:10" x14ac:dyDescent="0.3">
      <c r="B49" s="22" t="s">
        <v>38</v>
      </c>
      <c r="C49" s="36">
        <v>0</v>
      </c>
      <c r="D49" s="37">
        <v>0</v>
      </c>
      <c r="F49" s="104" t="s">
        <v>86</v>
      </c>
      <c r="G49" s="105">
        <v>27256788</v>
      </c>
      <c r="H49" s="104" t="s">
        <v>87</v>
      </c>
      <c r="I49" s="105">
        <v>49060000</v>
      </c>
    </row>
    <row r="50" spans="1:10" x14ac:dyDescent="0.3">
      <c r="B50" s="22" t="s">
        <v>28</v>
      </c>
      <c r="C50" s="36">
        <v>0</v>
      </c>
      <c r="D50" s="37">
        <v>0</v>
      </c>
      <c r="F50" s="104" t="s">
        <v>88</v>
      </c>
      <c r="G50" s="105">
        <v>3228130</v>
      </c>
      <c r="H50" s="104" t="s">
        <v>89</v>
      </c>
      <c r="I50" s="105">
        <v>12000000</v>
      </c>
    </row>
    <row r="51" spans="1:10" x14ac:dyDescent="0.3">
      <c r="B51" s="22" t="s">
        <v>29</v>
      </c>
      <c r="C51" s="36">
        <v>0</v>
      </c>
      <c r="D51" s="37">
        <v>0</v>
      </c>
      <c r="F51" s="104" t="s">
        <v>354</v>
      </c>
      <c r="G51" s="105">
        <v>22776400</v>
      </c>
      <c r="H51" s="106"/>
      <c r="I51" s="106"/>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114321318</v>
      </c>
      <c r="D54" s="41">
        <f>C54</f>
        <v>114321318</v>
      </c>
    </row>
    <row r="55" spans="1:10" ht="14.25" thickBot="1" x14ac:dyDescent="0.35">
      <c r="B55" s="46" t="s">
        <v>11</v>
      </c>
      <c r="C55" s="47">
        <f>SUM(C48:C54)</f>
        <v>114321318</v>
      </c>
      <c r="D55" s="48">
        <f>SUM(D48:D54)</f>
        <v>114321318</v>
      </c>
    </row>
    <row r="56" spans="1:10" ht="14.25" thickBot="1" x14ac:dyDescent="0.35"/>
    <row r="57" spans="1:10" ht="14.25" thickBot="1" x14ac:dyDescent="0.35">
      <c r="E57" s="33">
        <f>D55</f>
        <v>114321318</v>
      </c>
      <c r="F57" s="2" t="s">
        <v>51</v>
      </c>
    </row>
    <row r="59" spans="1:10" x14ac:dyDescent="0.3">
      <c r="B59" s="111" t="s">
        <v>12</v>
      </c>
    </row>
    <row r="60" spans="1:10" x14ac:dyDescent="0.3">
      <c r="B60" s="2" t="s">
        <v>20</v>
      </c>
      <c r="H60" s="118"/>
      <c r="I60" s="118"/>
      <c r="J60" s="118"/>
    </row>
    <row r="61" spans="1:10" x14ac:dyDescent="0.3">
      <c r="B61" s="42" t="s">
        <v>14</v>
      </c>
      <c r="C61" s="42" t="s">
        <v>15</v>
      </c>
      <c r="D61" s="42" t="s">
        <v>98</v>
      </c>
      <c r="E61" s="42" t="s">
        <v>52</v>
      </c>
      <c r="H61" s="43"/>
      <c r="I61" s="119"/>
      <c r="J61" s="119"/>
    </row>
    <row r="62" spans="1:10" x14ac:dyDescent="0.3">
      <c r="A62" s="2" t="s">
        <v>18</v>
      </c>
      <c r="B62" s="103" t="s">
        <v>100</v>
      </c>
      <c r="C62" s="43" t="s">
        <v>4</v>
      </c>
      <c r="D62" s="44">
        <v>10062104263</v>
      </c>
      <c r="E62" s="43"/>
      <c r="H62" s="43"/>
      <c r="I62" s="119"/>
      <c r="J62" s="119"/>
    </row>
    <row r="63" spans="1:10" x14ac:dyDescent="0.3">
      <c r="A63" s="2" t="s">
        <v>19</v>
      </c>
      <c r="B63" s="43">
        <v>1110321</v>
      </c>
      <c r="C63" s="43" t="s">
        <v>13</v>
      </c>
      <c r="D63" s="44">
        <v>416243522</v>
      </c>
      <c r="E63" s="45">
        <f>D63-G42-E57</f>
        <v>0</v>
      </c>
      <c r="F63" s="2" t="s">
        <v>16</v>
      </c>
      <c r="H63" s="43"/>
      <c r="I63" s="119"/>
      <c r="J63" s="119"/>
    </row>
    <row r="64" spans="1:10" x14ac:dyDescent="0.3">
      <c r="B64" s="43"/>
      <c r="C64" s="43" t="s">
        <v>101</v>
      </c>
      <c r="D64" s="45">
        <f>D62-D63</f>
        <v>9645860741</v>
      </c>
      <c r="E64" s="45">
        <f>D64-E40-C55+G42+E57</f>
        <v>7089652815</v>
      </c>
      <c r="F64" s="2" t="s">
        <v>16</v>
      </c>
      <c r="H64" s="106"/>
      <c r="I64" s="120"/>
      <c r="J64" s="107"/>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2060"/>
  </sheetPr>
  <dimension ref="A2:O64"/>
  <sheetViews>
    <sheetView topLeftCell="A47" zoomScaleNormal="100" workbookViewId="0">
      <selection activeCell="D54" activeCellId="1" sqref="G38:G39 D54"/>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2</v>
      </c>
      <c r="D11" s="4" t="s">
        <v>36</v>
      </c>
      <c r="E11" s="4" t="s">
        <v>3</v>
      </c>
      <c r="F11" s="4" t="s">
        <v>70</v>
      </c>
      <c r="G11" s="4" t="s">
        <v>71</v>
      </c>
      <c r="H11" s="4" t="s">
        <v>72</v>
      </c>
      <c r="I11" s="4" t="s">
        <v>75</v>
      </c>
      <c r="J11" s="4" t="s">
        <v>76</v>
      </c>
      <c r="K11" s="4" t="s">
        <v>73</v>
      </c>
      <c r="L11" s="73" t="s">
        <v>74</v>
      </c>
      <c r="M11" s="4" t="s">
        <v>246</v>
      </c>
      <c r="N11" s="80" t="s">
        <v>313</v>
      </c>
    </row>
    <row r="12" spans="2:14" x14ac:dyDescent="0.3">
      <c r="B12" s="5" t="s">
        <v>27</v>
      </c>
      <c r="C12" s="6">
        <v>5440410735</v>
      </c>
      <c r="D12" s="6">
        <v>5930095909</v>
      </c>
      <c r="E12" s="6">
        <v>6069401036</v>
      </c>
      <c r="F12" s="6">
        <v>5998031028</v>
      </c>
      <c r="G12" s="6">
        <v>5574200261</v>
      </c>
      <c r="H12" s="6">
        <v>6022453750</v>
      </c>
      <c r="I12" s="6">
        <v>5392409126</v>
      </c>
      <c r="J12" s="6">
        <v>5474074544</v>
      </c>
      <c r="K12" s="6">
        <v>5476373785</v>
      </c>
      <c r="L12" s="74">
        <v>5197654177</v>
      </c>
      <c r="M12" s="6">
        <v>5226625839</v>
      </c>
      <c r="N12" s="81">
        <v>5177507228</v>
      </c>
    </row>
    <row r="13" spans="2:14" x14ac:dyDescent="0.3">
      <c r="B13" s="7" t="s">
        <v>39</v>
      </c>
      <c r="C13" s="6">
        <v>986850326</v>
      </c>
      <c r="D13" s="6">
        <v>1235576755</v>
      </c>
      <c r="E13" s="6">
        <v>1134126857</v>
      </c>
      <c r="F13" s="6">
        <v>1179185313</v>
      </c>
      <c r="G13" s="6">
        <v>1781420905</v>
      </c>
      <c r="H13" s="6">
        <v>1931837477</v>
      </c>
      <c r="I13" s="6">
        <v>2157847550</v>
      </c>
      <c r="J13" s="6">
        <v>1668750550</v>
      </c>
      <c r="K13" s="6">
        <v>1895954647</v>
      </c>
      <c r="L13" s="74">
        <v>1734563258</v>
      </c>
      <c r="M13" s="6">
        <v>1217048730</v>
      </c>
      <c r="N13" s="81">
        <v>1057246878</v>
      </c>
    </row>
    <row r="14" spans="2:14" x14ac:dyDescent="0.3">
      <c r="B14" s="7" t="s">
        <v>92</v>
      </c>
      <c r="C14" s="6">
        <v>616730611</v>
      </c>
      <c r="D14" s="6">
        <v>246137894</v>
      </c>
      <c r="E14" s="6">
        <v>413676759</v>
      </c>
      <c r="F14" s="6">
        <v>379171392</v>
      </c>
      <c r="G14" s="6">
        <v>576057660</v>
      </c>
      <c r="H14" s="6">
        <v>395061589</v>
      </c>
      <c r="I14" s="6">
        <v>888545016</v>
      </c>
      <c r="J14" s="6">
        <v>748393419</v>
      </c>
      <c r="K14" s="6">
        <v>979650983</v>
      </c>
      <c r="L14" s="74">
        <v>559786018</v>
      </c>
      <c r="M14" s="6">
        <v>239763111</v>
      </c>
      <c r="N14" s="81">
        <v>311848277</v>
      </c>
    </row>
    <row r="15" spans="2:14" x14ac:dyDescent="0.3">
      <c r="B15" s="7" t="s">
        <v>30</v>
      </c>
      <c r="C15" s="6">
        <v>442204559</v>
      </c>
      <c r="D15" s="6">
        <v>207723417</v>
      </c>
      <c r="E15" s="6">
        <v>203891615</v>
      </c>
      <c r="F15" s="6">
        <v>207544216</v>
      </c>
      <c r="G15" s="6">
        <v>159648530</v>
      </c>
      <c r="H15" s="6">
        <v>380736542</v>
      </c>
      <c r="I15" s="6">
        <v>164002785</v>
      </c>
      <c r="J15" s="6">
        <v>135164026</v>
      </c>
      <c r="K15" s="6">
        <v>446127690</v>
      </c>
      <c r="L15" s="74">
        <v>273503838</v>
      </c>
      <c r="M15" s="6">
        <v>283828249</v>
      </c>
      <c r="N15" s="81">
        <v>134444998</v>
      </c>
    </row>
    <row r="16" spans="2:14" x14ac:dyDescent="0.3">
      <c r="B16" s="7" t="s">
        <v>32</v>
      </c>
      <c r="C16" s="6">
        <v>469950910</v>
      </c>
      <c r="D16" s="6">
        <v>454635777</v>
      </c>
      <c r="E16" s="6">
        <v>80695475</v>
      </c>
      <c r="F16" s="6"/>
      <c r="G16" s="6">
        <v>90387652</v>
      </c>
      <c r="H16" s="6">
        <v>55818029</v>
      </c>
      <c r="I16" s="6">
        <v>7084007</v>
      </c>
      <c r="J16" s="6">
        <v>20193132</v>
      </c>
      <c r="K16" s="6">
        <v>35618067</v>
      </c>
      <c r="L16" s="74">
        <v>77613140</v>
      </c>
      <c r="M16" s="6">
        <v>56425025</v>
      </c>
      <c r="N16" s="81">
        <v>58227888</v>
      </c>
    </row>
    <row r="17" spans="2:15" x14ac:dyDescent="0.3">
      <c r="B17" s="7" t="s">
        <v>34</v>
      </c>
      <c r="C17" s="6"/>
      <c r="D17" s="6">
        <v>257483476</v>
      </c>
      <c r="E17" s="6">
        <v>31042138</v>
      </c>
      <c r="F17" s="6">
        <v>8724266</v>
      </c>
      <c r="G17" s="6"/>
      <c r="H17" s="6">
        <v>4916400</v>
      </c>
      <c r="I17" s="6">
        <v>973053</v>
      </c>
      <c r="J17" s="6"/>
      <c r="K17" s="6">
        <v>21323305</v>
      </c>
      <c r="L17" s="74">
        <v>34980053</v>
      </c>
      <c r="M17" s="6">
        <v>56383366</v>
      </c>
      <c r="N17" s="81">
        <v>52313956</v>
      </c>
    </row>
    <row r="18" spans="2:15" ht="14.25" thickBot="1" x14ac:dyDescent="0.35">
      <c r="B18" s="8" t="s">
        <v>93</v>
      </c>
      <c r="C18" s="9">
        <v>127164358</v>
      </c>
      <c r="D18" s="9">
        <v>127164358</v>
      </c>
      <c r="E18" s="9">
        <v>141956825</v>
      </c>
      <c r="F18" s="9">
        <v>155760917</v>
      </c>
      <c r="G18" s="9">
        <v>165142745</v>
      </c>
      <c r="H18" s="9">
        <v>165776943</v>
      </c>
      <c r="I18" s="9">
        <v>157888843</v>
      </c>
      <c r="J18" s="9">
        <v>132462486</v>
      </c>
      <c r="K18" s="9">
        <v>127164358</v>
      </c>
      <c r="L18" s="75">
        <v>148105707</v>
      </c>
      <c r="M18" s="9">
        <v>127164358</v>
      </c>
      <c r="N18" s="82">
        <v>168559690</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0.22711093246160943</v>
      </c>
      <c r="D21" s="11">
        <f>IF(IFERROR(E13/D12,0)&gt;1,1,IFERROR(E13/D12,0))</f>
        <v>0.19124932790357674</v>
      </c>
      <c r="E21" s="11">
        <f t="shared" ref="E21:M21" si="0">IF(IFERROR(F13/E12,0)&gt;1,1,IFERROR(F13/E12,0))</f>
        <v>0.19428363787559744</v>
      </c>
      <c r="F21" s="11">
        <f t="shared" si="0"/>
        <v>0.29700094859195852</v>
      </c>
      <c r="G21" s="11">
        <f t="shared" si="0"/>
        <v>0.346567648549719</v>
      </c>
      <c r="H21" s="11">
        <f t="shared" si="0"/>
        <v>0.35830039375561828</v>
      </c>
      <c r="I21" s="11">
        <f t="shared" si="0"/>
        <v>0.30946289701090457</v>
      </c>
      <c r="J21" s="11">
        <f t="shared" si="0"/>
        <v>0.3463516310858627</v>
      </c>
      <c r="K21" s="11">
        <f t="shared" si="0"/>
        <v>0.31673573172653702</v>
      </c>
      <c r="L21" s="11">
        <f t="shared" si="0"/>
        <v>0.23415346395793887</v>
      </c>
      <c r="M21" s="83">
        <f t="shared" si="0"/>
        <v>0.2022809572690363</v>
      </c>
      <c r="N21" s="84">
        <f>AVERAGE(C21:M21)</f>
        <v>0.27486341547166898</v>
      </c>
      <c r="O21" s="174" t="s">
        <v>58</v>
      </c>
    </row>
    <row r="22" spans="2:15" x14ac:dyDescent="0.3">
      <c r="B22" s="13" t="s">
        <v>61</v>
      </c>
      <c r="C22" s="14">
        <f>IF(IFERROR(D14/C13,0)&gt;1,1,IFERROR(D14/C13,0))</f>
        <v>0.24941765485113698</v>
      </c>
      <c r="D22" s="14">
        <f t="shared" ref="D22:M22" si="1">IF(IFERROR(E14/D13,0)&gt;1,1,IFERROR(E14/D13,0))</f>
        <v>0.33480458201077118</v>
      </c>
      <c r="E22" s="14">
        <f t="shared" si="1"/>
        <v>0.33432890655899528</v>
      </c>
      <c r="F22" s="14">
        <f t="shared" si="1"/>
        <v>0.48852173924591613</v>
      </c>
      <c r="G22" s="14">
        <f t="shared" si="1"/>
        <v>0.22176768437552383</v>
      </c>
      <c r="H22" s="14">
        <f t="shared" si="1"/>
        <v>0.45994812015959247</v>
      </c>
      <c r="I22" s="14">
        <f t="shared" si="1"/>
        <v>0.34682404649021659</v>
      </c>
      <c r="J22" s="14">
        <f t="shared" si="1"/>
        <v>0.58705657535213995</v>
      </c>
      <c r="K22" s="14">
        <f t="shared" si="1"/>
        <v>0.29525285263851569</v>
      </c>
      <c r="L22" s="14">
        <f t="shared" si="1"/>
        <v>0.13822678988165216</v>
      </c>
      <c r="M22" s="85">
        <f t="shared" si="1"/>
        <v>0.25623318878940859</v>
      </c>
      <c r="N22" s="86">
        <f t="shared" ref="N22:N25" si="2">AVERAGE(C22:M22)</f>
        <v>0.33748928548671531</v>
      </c>
      <c r="O22" s="174"/>
    </row>
    <row r="23" spans="2:15" x14ac:dyDescent="0.3">
      <c r="B23" s="13" t="s">
        <v>62</v>
      </c>
      <c r="C23" s="14">
        <f t="shared" ref="C23:M25" si="3">IF(IFERROR(D15/C14,0)&gt;1,1,IFERROR(D15/C14,0))</f>
        <v>0.33681385891189369</v>
      </c>
      <c r="D23" s="14">
        <f t="shared" si="3"/>
        <v>0.8283633685433256</v>
      </c>
      <c r="E23" s="14">
        <f t="shared" si="3"/>
        <v>0.50170625128108781</v>
      </c>
      <c r="F23" s="14">
        <f t="shared" si="3"/>
        <v>0.42104582088302694</v>
      </c>
      <c r="G23" s="14">
        <f t="shared" si="3"/>
        <v>0.6609347786469848</v>
      </c>
      <c r="H23" s="14">
        <f t="shared" si="3"/>
        <v>0.41513219600805079</v>
      </c>
      <c r="I23" s="14">
        <f t="shared" si="3"/>
        <v>0.15211837730909067</v>
      </c>
      <c r="J23" s="14">
        <f t="shared" si="3"/>
        <v>0.59611386026899305</v>
      </c>
      <c r="K23" s="14">
        <f t="shared" si="3"/>
        <v>0.27918497786063062</v>
      </c>
      <c r="L23" s="14">
        <f t="shared" si="3"/>
        <v>0.50702990048601038</v>
      </c>
      <c r="M23" s="85">
        <f t="shared" si="3"/>
        <v>0.56074096402594642</v>
      </c>
      <c r="N23" s="86">
        <f t="shared" si="2"/>
        <v>0.4781076685659128</v>
      </c>
      <c r="O23" s="174"/>
    </row>
    <row r="24" spans="2:15" x14ac:dyDescent="0.3">
      <c r="B24" s="13" t="s">
        <v>63</v>
      </c>
      <c r="C24" s="14">
        <f t="shared" si="3"/>
        <v>1</v>
      </c>
      <c r="D24" s="14">
        <f t="shared" si="3"/>
        <v>0.38847558048787539</v>
      </c>
      <c r="E24" s="14">
        <f t="shared" si="3"/>
        <v>0</v>
      </c>
      <c r="F24" s="14">
        <f t="shared" si="3"/>
        <v>0.4355103396376992</v>
      </c>
      <c r="G24" s="14">
        <f t="shared" si="3"/>
        <v>0.34963071066172674</v>
      </c>
      <c r="H24" s="14">
        <f t="shared" si="3"/>
        <v>1.8606060145390509E-2</v>
      </c>
      <c r="I24" s="14">
        <f t="shared" si="3"/>
        <v>0.12312676275588856</v>
      </c>
      <c r="J24" s="14">
        <f t="shared" si="3"/>
        <v>0.26351735779163604</v>
      </c>
      <c r="K24" s="14">
        <f t="shared" si="3"/>
        <v>0.17397068538830218</v>
      </c>
      <c r="L24" s="14">
        <f t="shared" si="3"/>
        <v>0.20630432615720734</v>
      </c>
      <c r="M24" s="87">
        <f t="shared" si="3"/>
        <v>0.20515184166886785</v>
      </c>
      <c r="N24" s="86">
        <f t="shared" si="2"/>
        <v>0.2876630604267813</v>
      </c>
      <c r="O24" s="174"/>
    </row>
    <row r="25" spans="2:15" ht="14.25" thickBot="1" x14ac:dyDescent="0.35">
      <c r="B25" s="15" t="s">
        <v>64</v>
      </c>
      <c r="C25" s="16">
        <f t="shared" si="3"/>
        <v>0.5478944088011235</v>
      </c>
      <c r="D25" s="16">
        <f t="shared" si="3"/>
        <v>6.8279135893874007E-2</v>
      </c>
      <c r="E25" s="16">
        <f t="shared" si="3"/>
        <v>0.10811344750123845</v>
      </c>
      <c r="F25" s="16">
        <f t="shared" si="3"/>
        <v>0</v>
      </c>
      <c r="G25" s="16">
        <f t="shared" si="3"/>
        <v>5.4392385366974681E-2</v>
      </c>
      <c r="H25" s="16">
        <f t="shared" si="3"/>
        <v>1.7432593329298675E-2</v>
      </c>
      <c r="I25" s="16">
        <f t="shared" si="3"/>
        <v>0</v>
      </c>
      <c r="J25" s="16">
        <f t="shared" si="3"/>
        <v>1</v>
      </c>
      <c r="K25" s="16">
        <f t="shared" si="3"/>
        <v>0.98208734909729944</v>
      </c>
      <c r="L25" s="16">
        <f t="shared" si="3"/>
        <v>0.72646675550042172</v>
      </c>
      <c r="M25" s="88">
        <f t="shared" si="3"/>
        <v>0.92714103361053013</v>
      </c>
      <c r="N25" s="89">
        <f t="shared" si="2"/>
        <v>0.40289155537279642</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246</v>
      </c>
      <c r="D32" s="91" t="s">
        <v>246</v>
      </c>
      <c r="E32" s="92" t="s">
        <v>246</v>
      </c>
      <c r="F32" s="93" t="s">
        <v>246</v>
      </c>
      <c r="G32" s="56" t="s">
        <v>246</v>
      </c>
      <c r="I32" s="108"/>
      <c r="J32" s="108"/>
      <c r="K32" s="108"/>
    </row>
    <row r="33" spans="2:11" x14ac:dyDescent="0.3">
      <c r="B33" s="20" t="s">
        <v>26</v>
      </c>
      <c r="C33" s="94">
        <f t="shared" ref="C33:C39" si="4">N12</f>
        <v>5177507228</v>
      </c>
      <c r="D33" s="50">
        <f>C48</f>
        <v>0</v>
      </c>
      <c r="E33" s="95">
        <f>C33-D33</f>
        <v>5177507228</v>
      </c>
      <c r="F33" s="63">
        <f>PRODUCT(N21:$N$25)</f>
        <v>5.1401394227468256E-3</v>
      </c>
      <c r="G33" s="57">
        <f>ROUND(E33*F33,)</f>
        <v>26613109</v>
      </c>
      <c r="I33" s="108"/>
      <c r="J33" s="108"/>
      <c r="K33" s="108"/>
    </row>
    <row r="34" spans="2:11" x14ac:dyDescent="0.3">
      <c r="B34" s="22" t="s">
        <v>38</v>
      </c>
      <c r="C34" s="96">
        <f t="shared" si="4"/>
        <v>1057246878</v>
      </c>
      <c r="D34" s="52">
        <f t="shared" ref="D34:D39" si="5">C49</f>
        <v>0</v>
      </c>
      <c r="E34" s="97">
        <f t="shared" ref="E34:E39" si="6">C34-D34</f>
        <v>1057246878</v>
      </c>
      <c r="F34" s="64">
        <f>PRODUCT(N22:$N$25)</f>
        <v>1.8700704180388224E-2</v>
      </c>
      <c r="G34" s="58">
        <f t="shared" ref="G34:G39" si="7">ROUND(E34*F34,)</f>
        <v>19771261</v>
      </c>
      <c r="I34" s="108"/>
      <c r="J34" s="108"/>
      <c r="K34" s="108"/>
    </row>
    <row r="35" spans="2:11" x14ac:dyDescent="0.3">
      <c r="B35" s="22" t="s">
        <v>28</v>
      </c>
      <c r="C35" s="96">
        <f t="shared" si="4"/>
        <v>311848277</v>
      </c>
      <c r="D35" s="52">
        <f t="shared" si="5"/>
        <v>0</v>
      </c>
      <c r="E35" s="97">
        <f t="shared" si="6"/>
        <v>311848277</v>
      </c>
      <c r="F35" s="64">
        <f>PRODUCT(N23:$N$25)</f>
        <v>5.541125299257639E-2</v>
      </c>
      <c r="G35" s="58">
        <f t="shared" si="7"/>
        <v>17279904</v>
      </c>
      <c r="I35" s="108"/>
      <c r="J35" s="108"/>
      <c r="K35" s="108"/>
    </row>
    <row r="36" spans="2:11" x14ac:dyDescent="0.3">
      <c r="B36" s="22" t="s">
        <v>29</v>
      </c>
      <c r="C36" s="96">
        <f t="shared" si="4"/>
        <v>134444998</v>
      </c>
      <c r="D36" s="52">
        <f t="shared" si="5"/>
        <v>0</v>
      </c>
      <c r="E36" s="97">
        <f t="shared" si="6"/>
        <v>134444998</v>
      </c>
      <c r="F36" s="64">
        <f>PRODUCT(N24:$N$25)</f>
        <v>0.11589701783864464</v>
      </c>
      <c r="G36" s="58">
        <f t="shared" si="7"/>
        <v>15581774</v>
      </c>
      <c r="I36" s="108"/>
      <c r="J36" s="108"/>
      <c r="K36" s="108"/>
    </row>
    <row r="37" spans="2:11" ht="14.25" thickBot="1" x14ac:dyDescent="0.35">
      <c r="B37" s="25" t="s">
        <v>31</v>
      </c>
      <c r="C37" s="98">
        <f t="shared" si="4"/>
        <v>58227888</v>
      </c>
      <c r="D37" s="55">
        <f t="shared" si="5"/>
        <v>0</v>
      </c>
      <c r="E37" s="99">
        <f t="shared" si="6"/>
        <v>58227888</v>
      </c>
      <c r="F37" s="67">
        <f>PRODUCT(N25:$N$25)</f>
        <v>0.40289155537279642</v>
      </c>
      <c r="G37" s="59">
        <f t="shared" si="7"/>
        <v>23459524</v>
      </c>
      <c r="I37" s="108"/>
      <c r="J37" s="108"/>
      <c r="K37" s="108"/>
    </row>
    <row r="38" spans="2:11" x14ac:dyDescent="0.3">
      <c r="B38" s="27" t="s">
        <v>33</v>
      </c>
      <c r="C38" s="94">
        <f t="shared" si="4"/>
        <v>52313956</v>
      </c>
      <c r="D38" s="50">
        <f t="shared" si="5"/>
        <v>0</v>
      </c>
      <c r="E38" s="29">
        <f t="shared" si="6"/>
        <v>52313956</v>
      </c>
      <c r="F38" s="100">
        <v>1</v>
      </c>
      <c r="G38" s="60">
        <f t="shared" si="7"/>
        <v>52313956</v>
      </c>
      <c r="I38" s="108"/>
      <c r="J38" s="108"/>
      <c r="K38" s="108"/>
    </row>
    <row r="39" spans="2:11" ht="14.25" thickBot="1" x14ac:dyDescent="0.35">
      <c r="B39" s="30" t="s">
        <v>35</v>
      </c>
      <c r="C39" s="98">
        <f t="shared" si="4"/>
        <v>168559690</v>
      </c>
      <c r="D39" s="55">
        <f t="shared" si="5"/>
        <v>27647453</v>
      </c>
      <c r="E39" s="32">
        <f t="shared" si="6"/>
        <v>140912237</v>
      </c>
      <c r="F39" s="67">
        <v>1</v>
      </c>
      <c r="G39" s="61">
        <f t="shared" si="7"/>
        <v>140912237</v>
      </c>
      <c r="I39" s="108"/>
      <c r="J39" s="108"/>
      <c r="K39" s="108"/>
    </row>
    <row r="40" spans="2:11" ht="14.25" thickBot="1" x14ac:dyDescent="0.35">
      <c r="B40" s="30" t="s">
        <v>41</v>
      </c>
      <c r="C40" s="101">
        <f>SUM(C33:C39)</f>
        <v>6960148915</v>
      </c>
      <c r="D40" s="101">
        <f>SUM(D33:D39)</f>
        <v>27647453</v>
      </c>
      <c r="E40" s="102">
        <f>SUM(E33:E39)</f>
        <v>6932501462</v>
      </c>
      <c r="F40" s="67"/>
      <c r="G40" s="61">
        <f>SUM(G33:G39)</f>
        <v>295931765</v>
      </c>
      <c r="H40" s="108"/>
      <c r="I40" s="108"/>
      <c r="J40" s="108"/>
      <c r="K40" s="108"/>
    </row>
    <row r="41" spans="2:11" ht="14.25" thickBot="1" x14ac:dyDescent="0.35">
      <c r="B41" s="108"/>
      <c r="E41" s="109"/>
      <c r="F41" s="110"/>
      <c r="G41" s="115"/>
      <c r="H41" s="108"/>
      <c r="I41" s="108"/>
      <c r="J41" s="108"/>
      <c r="K41" s="108"/>
    </row>
    <row r="42" spans="2:11" ht="14.25" thickBot="1" x14ac:dyDescent="0.35">
      <c r="G42" s="33">
        <f>G40</f>
        <v>295931765</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17" t="s">
        <v>246</v>
      </c>
      <c r="D47" s="19" t="s">
        <v>246</v>
      </c>
    </row>
    <row r="48" spans="2:11" x14ac:dyDescent="0.3">
      <c r="B48" s="20" t="s">
        <v>26</v>
      </c>
      <c r="C48" s="34">
        <v>0</v>
      </c>
      <c r="D48" s="35">
        <v>0</v>
      </c>
      <c r="F48" s="173" t="s">
        <v>85</v>
      </c>
      <c r="G48" s="173"/>
      <c r="H48" s="173"/>
      <c r="I48" s="173"/>
    </row>
    <row r="49" spans="1:10" x14ac:dyDescent="0.3">
      <c r="B49" s="22" t="s">
        <v>38</v>
      </c>
      <c r="C49" s="36">
        <v>0</v>
      </c>
      <c r="D49" s="37">
        <v>0</v>
      </c>
      <c r="F49" s="104" t="s">
        <v>90</v>
      </c>
      <c r="G49" s="105">
        <v>27647453</v>
      </c>
      <c r="H49" s="104"/>
      <c r="I49" s="105"/>
    </row>
    <row r="50" spans="1:10" x14ac:dyDescent="0.3">
      <c r="B50" s="22" t="s">
        <v>28</v>
      </c>
      <c r="C50" s="36">
        <v>0</v>
      </c>
      <c r="D50" s="37">
        <v>0</v>
      </c>
      <c r="F50" s="104"/>
      <c r="G50" s="105"/>
      <c r="H50" s="104"/>
      <c r="I50" s="105"/>
    </row>
    <row r="51" spans="1:10" x14ac:dyDescent="0.3">
      <c r="B51" s="22" t="s">
        <v>29</v>
      </c>
      <c r="C51" s="36">
        <v>0</v>
      </c>
      <c r="D51" s="37">
        <v>0</v>
      </c>
      <c r="F51" s="104"/>
      <c r="G51" s="105"/>
      <c r="H51" s="106"/>
      <c r="I51" s="106"/>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27647453</v>
      </c>
      <c r="D54" s="41">
        <f>C54</f>
        <v>27647453</v>
      </c>
    </row>
    <row r="55" spans="1:10" ht="14.25" thickBot="1" x14ac:dyDescent="0.35">
      <c r="B55" s="46" t="s">
        <v>11</v>
      </c>
      <c r="C55" s="47">
        <f>SUM(C48:C54)</f>
        <v>27647453</v>
      </c>
      <c r="D55" s="48">
        <f>SUM(D48:D54)</f>
        <v>27647453</v>
      </c>
    </row>
    <row r="56" spans="1:10" ht="14.25" thickBot="1" x14ac:dyDescent="0.35"/>
    <row r="57" spans="1:10" ht="14.25" thickBot="1" x14ac:dyDescent="0.35">
      <c r="E57" s="33">
        <f>D55</f>
        <v>27647453</v>
      </c>
      <c r="F57" s="2" t="s">
        <v>51</v>
      </c>
    </row>
    <row r="59" spans="1:10" x14ac:dyDescent="0.3">
      <c r="B59" s="111" t="s">
        <v>12</v>
      </c>
    </row>
    <row r="60" spans="1:10" x14ac:dyDescent="0.3">
      <c r="B60" s="2" t="s">
        <v>20</v>
      </c>
      <c r="H60" s="118"/>
      <c r="I60" s="118"/>
      <c r="J60" s="118"/>
    </row>
    <row r="61" spans="1:10" x14ac:dyDescent="0.3">
      <c r="B61" s="42" t="s">
        <v>14</v>
      </c>
      <c r="C61" s="42" t="s">
        <v>15</v>
      </c>
      <c r="D61" s="42" t="s">
        <v>98</v>
      </c>
      <c r="E61" s="42" t="s">
        <v>52</v>
      </c>
      <c r="H61" s="43"/>
      <c r="I61" s="119"/>
      <c r="J61" s="119"/>
    </row>
    <row r="62" spans="1:10" x14ac:dyDescent="0.3">
      <c r="A62" s="2" t="s">
        <v>18</v>
      </c>
      <c r="B62" s="103" t="s">
        <v>100</v>
      </c>
      <c r="C62" s="43" t="s">
        <v>4</v>
      </c>
      <c r="D62" s="44">
        <v>10062104263</v>
      </c>
      <c r="E62" s="43"/>
      <c r="H62" s="43"/>
      <c r="I62" s="119"/>
      <c r="J62" s="119"/>
    </row>
    <row r="63" spans="1:10" x14ac:dyDescent="0.3">
      <c r="A63" s="2" t="s">
        <v>19</v>
      </c>
      <c r="B63" s="43">
        <v>1110321</v>
      </c>
      <c r="C63" s="43" t="s">
        <v>13</v>
      </c>
      <c r="D63" s="44">
        <v>323579218</v>
      </c>
      <c r="E63" s="45">
        <f>D63-G42-E57</f>
        <v>0</v>
      </c>
      <c r="F63" s="2" t="s">
        <v>16</v>
      </c>
      <c r="H63" s="43"/>
      <c r="I63" s="119"/>
      <c r="J63" s="119"/>
    </row>
    <row r="64" spans="1:10" x14ac:dyDescent="0.3">
      <c r="B64" s="43"/>
      <c r="C64" s="43" t="s">
        <v>101</v>
      </c>
      <c r="D64" s="45">
        <f>D62-D63</f>
        <v>9738525045</v>
      </c>
      <c r="E64" s="45">
        <f>D64-E40-C55+G42+E57</f>
        <v>3101955348</v>
      </c>
      <c r="F64" s="2" t="s">
        <v>16</v>
      </c>
      <c r="H64" s="106"/>
      <c r="I64" s="120"/>
      <c r="J64" s="107"/>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2:O64"/>
  <sheetViews>
    <sheetView topLeftCell="C40" zoomScaleNormal="100" workbookViewId="0">
      <selection activeCell="I61" sqref="I61"/>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36</v>
      </c>
      <c r="D11" s="4" t="s">
        <v>3</v>
      </c>
      <c r="E11" s="4" t="s">
        <v>70</v>
      </c>
      <c r="F11" s="4" t="s">
        <v>71</v>
      </c>
      <c r="G11" s="4" t="s">
        <v>72</v>
      </c>
      <c r="H11" s="4" t="s">
        <v>75</v>
      </c>
      <c r="I11" s="4" t="s">
        <v>76</v>
      </c>
      <c r="J11" s="4" t="s">
        <v>73</v>
      </c>
      <c r="K11" s="4" t="s">
        <v>74</v>
      </c>
      <c r="L11" s="73" t="s">
        <v>246</v>
      </c>
      <c r="M11" s="4" t="s">
        <v>355</v>
      </c>
      <c r="N11" s="80" t="s">
        <v>356</v>
      </c>
    </row>
    <row r="12" spans="2:14" x14ac:dyDescent="0.3">
      <c r="B12" s="5" t="s">
        <v>27</v>
      </c>
      <c r="C12" s="6">
        <v>2355498536</v>
      </c>
      <c r="D12" s="6">
        <v>2374636960</v>
      </c>
      <c r="E12" s="6">
        <v>2410631543</v>
      </c>
      <c r="F12" s="6">
        <v>2356271451</v>
      </c>
      <c r="G12" s="6">
        <v>2400410640</v>
      </c>
      <c r="H12" s="6">
        <v>2092236726</v>
      </c>
      <c r="I12" s="6">
        <v>2125383029</v>
      </c>
      <c r="J12" s="6">
        <v>1838003129</v>
      </c>
      <c r="K12" s="6">
        <v>2474596079</v>
      </c>
      <c r="L12" s="74">
        <v>2202685666</v>
      </c>
      <c r="M12" s="6">
        <v>2448094402</v>
      </c>
      <c r="N12" s="81">
        <v>2436043383</v>
      </c>
    </row>
    <row r="13" spans="2:14" x14ac:dyDescent="0.3">
      <c r="B13" s="7" t="s">
        <v>39</v>
      </c>
      <c r="C13" s="6">
        <v>133395164</v>
      </c>
      <c r="D13" s="6">
        <v>149024338</v>
      </c>
      <c r="E13" s="6">
        <v>116141529</v>
      </c>
      <c r="F13" s="6">
        <v>136900316</v>
      </c>
      <c r="G13" s="6">
        <v>177719656</v>
      </c>
      <c r="H13" s="6">
        <v>100426870</v>
      </c>
      <c r="I13" s="6">
        <v>274267577</v>
      </c>
      <c r="J13" s="6">
        <v>238208478</v>
      </c>
      <c r="K13" s="6">
        <v>167868169</v>
      </c>
      <c r="L13" s="74">
        <v>112476407</v>
      </c>
      <c r="M13" s="6">
        <v>46121428</v>
      </c>
      <c r="N13" s="81">
        <v>45386643</v>
      </c>
    </row>
    <row r="14" spans="2:14" x14ac:dyDescent="0.3">
      <c r="B14" s="7" t="s">
        <v>92</v>
      </c>
      <c r="C14" s="6">
        <v>36834824</v>
      </c>
      <c r="D14" s="6">
        <v>25216781</v>
      </c>
      <c r="E14" s="6">
        <v>20903166</v>
      </c>
      <c r="F14" s="6">
        <v>70568872</v>
      </c>
      <c r="G14" s="6">
        <v>24276453</v>
      </c>
      <c r="H14" s="6">
        <v>15932348</v>
      </c>
      <c r="I14" s="6">
        <v>5500521</v>
      </c>
      <c r="J14" s="6"/>
      <c r="K14" s="6">
        <v>73921998</v>
      </c>
      <c r="L14" s="74"/>
      <c r="M14" s="6">
        <v>1992302</v>
      </c>
      <c r="N14" s="81"/>
    </row>
    <row r="15" spans="2:14" x14ac:dyDescent="0.3">
      <c r="B15" s="7" t="s">
        <v>30</v>
      </c>
      <c r="C15" s="6">
        <v>83558024</v>
      </c>
      <c r="D15" s="6">
        <v>36625824</v>
      </c>
      <c r="E15" s="6">
        <v>25216781</v>
      </c>
      <c r="F15" s="6">
        <v>10901915</v>
      </c>
      <c r="G15" s="6">
        <v>59932773</v>
      </c>
      <c r="H15" s="6"/>
      <c r="I15" s="6">
        <v>3905000</v>
      </c>
      <c r="J15" s="6"/>
      <c r="K15" s="6"/>
      <c r="L15" s="74">
        <v>63921998</v>
      </c>
      <c r="M15" s="6"/>
      <c r="N15" s="81">
        <v>1992302</v>
      </c>
    </row>
    <row r="16" spans="2:14" x14ac:dyDescent="0.3">
      <c r="B16" s="7" t="s">
        <v>32</v>
      </c>
      <c r="C16" s="6">
        <v>60009591</v>
      </c>
      <c r="D16" s="6">
        <v>31007597</v>
      </c>
      <c r="E16" s="6">
        <v>13356968</v>
      </c>
      <c r="F16" s="6"/>
      <c r="G16" s="6"/>
      <c r="H16" s="6">
        <v>45408000</v>
      </c>
      <c r="I16" s="6"/>
      <c r="J16" s="6"/>
      <c r="K16" s="6"/>
      <c r="L16" s="74"/>
      <c r="M16" s="6">
        <v>61921998</v>
      </c>
      <c r="N16" s="81"/>
    </row>
    <row r="17" spans="2:15" x14ac:dyDescent="0.3">
      <c r="B17" s="7" t="s">
        <v>34</v>
      </c>
      <c r="C17" s="6"/>
      <c r="D17" s="6">
        <v>18937160</v>
      </c>
      <c r="E17" s="6"/>
      <c r="F17" s="6"/>
      <c r="G17" s="6"/>
      <c r="H17" s="6"/>
      <c r="I17" s="6"/>
      <c r="J17" s="6"/>
      <c r="K17" s="6"/>
      <c r="L17" s="74"/>
      <c r="M17" s="6"/>
      <c r="N17" s="81">
        <v>53327600</v>
      </c>
    </row>
    <row r="18" spans="2:15" ht="14.25" thickBot="1" x14ac:dyDescent="0.35">
      <c r="B18" s="8" t="s">
        <v>93</v>
      </c>
      <c r="C18" s="9">
        <v>926293798</v>
      </c>
      <c r="D18" s="9">
        <v>926293798</v>
      </c>
      <c r="E18" s="9">
        <v>945230958</v>
      </c>
      <c r="F18" s="9">
        <v>904155172</v>
      </c>
      <c r="G18" s="9">
        <v>899495522</v>
      </c>
      <c r="H18" s="9">
        <v>880558362</v>
      </c>
      <c r="I18" s="9">
        <v>880558362</v>
      </c>
      <c r="J18" s="9">
        <v>414321318</v>
      </c>
      <c r="K18" s="9">
        <v>414321318</v>
      </c>
      <c r="L18" s="75">
        <v>414321318</v>
      </c>
      <c r="M18" s="9">
        <v>414321318</v>
      </c>
      <c r="N18" s="82">
        <v>414321318</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6.3266580608055192E-2</v>
      </c>
      <c r="D21" s="11">
        <f>IF(IFERROR(E13/D12,0)&gt;1,1,IFERROR(E13/D12,0))</f>
        <v>4.8909172625696856E-2</v>
      </c>
      <c r="E21" s="11">
        <f t="shared" ref="E21:M21" si="0">IF(IFERROR(F13/E12,0)&gt;1,1,IFERROR(F13/E12,0))</f>
        <v>5.6790228435171522E-2</v>
      </c>
      <c r="F21" s="11">
        <f t="shared" si="0"/>
        <v>7.5424101040894878E-2</v>
      </c>
      <c r="G21" s="11">
        <f t="shared" si="0"/>
        <v>4.1837370792524066E-2</v>
      </c>
      <c r="H21" s="11">
        <f t="shared" si="0"/>
        <v>0.13108821463255396</v>
      </c>
      <c r="I21" s="11">
        <f t="shared" si="0"/>
        <v>0.11207790537034537</v>
      </c>
      <c r="J21" s="11">
        <f t="shared" si="0"/>
        <v>9.1331818945994847E-2</v>
      </c>
      <c r="K21" s="11">
        <f t="shared" si="0"/>
        <v>4.5452430784361557E-2</v>
      </c>
      <c r="L21" s="11">
        <f t="shared" si="0"/>
        <v>2.0938724354508057E-2</v>
      </c>
      <c r="M21" s="83">
        <f t="shared" si="0"/>
        <v>1.8539580402994606E-2</v>
      </c>
      <c r="N21" s="84">
        <f>AVERAGE(C21:M21)</f>
        <v>6.4150557090281904E-2</v>
      </c>
      <c r="O21" s="174" t="s">
        <v>58</v>
      </c>
    </row>
    <row r="22" spans="2:15" x14ac:dyDescent="0.3">
      <c r="B22" s="13" t="s">
        <v>61</v>
      </c>
      <c r="C22" s="14">
        <f>IF(IFERROR(D14/C13,0)&gt;1,1,IFERROR(D14/C13,0))</f>
        <v>0.18903819481791709</v>
      </c>
      <c r="D22" s="14">
        <f t="shared" ref="D22:M22" si="1">IF(IFERROR(E14/D13,0)&gt;1,1,IFERROR(E14/D13,0))</f>
        <v>0.14026679319991342</v>
      </c>
      <c r="E22" s="14">
        <f t="shared" si="1"/>
        <v>0.60761101225040703</v>
      </c>
      <c r="F22" s="14">
        <f t="shared" si="1"/>
        <v>0.17732941536818658</v>
      </c>
      <c r="G22" s="14">
        <f t="shared" si="1"/>
        <v>8.9648766819580158E-2</v>
      </c>
      <c r="H22" s="14">
        <f t="shared" si="1"/>
        <v>5.4771407293685445E-2</v>
      </c>
      <c r="I22" s="14">
        <f t="shared" si="1"/>
        <v>0</v>
      </c>
      <c r="J22" s="14">
        <f t="shared" si="1"/>
        <v>0.31032479876723784</v>
      </c>
      <c r="K22" s="14">
        <f t="shared" si="1"/>
        <v>0</v>
      </c>
      <c r="L22" s="14">
        <f t="shared" si="1"/>
        <v>1.7713065816549422E-2</v>
      </c>
      <c r="M22" s="85">
        <f t="shared" si="1"/>
        <v>0</v>
      </c>
      <c r="N22" s="86">
        <f t="shared" ref="N22:N25" si="2">AVERAGE(C22:M22)</f>
        <v>0.14424576857577062</v>
      </c>
      <c r="O22" s="174"/>
    </row>
    <row r="23" spans="2:15" x14ac:dyDescent="0.3">
      <c r="B23" s="13" t="s">
        <v>62</v>
      </c>
      <c r="C23" s="14">
        <f t="shared" ref="C23:M25" si="3">IF(IFERROR(D15/C14,0)&gt;1,1,IFERROR(D15/C14,0))</f>
        <v>0.99432602148445182</v>
      </c>
      <c r="D23" s="14">
        <f t="shared" si="3"/>
        <v>1</v>
      </c>
      <c r="E23" s="14">
        <f t="shared" si="3"/>
        <v>0.52154372213280997</v>
      </c>
      <c r="F23" s="14">
        <f t="shared" si="3"/>
        <v>0.84928058648861493</v>
      </c>
      <c r="G23" s="14">
        <f t="shared" si="3"/>
        <v>0</v>
      </c>
      <c r="H23" s="14">
        <f t="shared" si="3"/>
        <v>0.24509883916670663</v>
      </c>
      <c r="I23" s="14">
        <f t="shared" si="3"/>
        <v>0</v>
      </c>
      <c r="J23" s="14">
        <f t="shared" si="3"/>
        <v>0</v>
      </c>
      <c r="K23" s="14">
        <f t="shared" si="3"/>
        <v>0.86472227117021372</v>
      </c>
      <c r="L23" s="14">
        <f t="shared" si="3"/>
        <v>0</v>
      </c>
      <c r="M23" s="85">
        <f t="shared" si="3"/>
        <v>1</v>
      </c>
      <c r="N23" s="86">
        <f t="shared" si="2"/>
        <v>0.49772467640389062</v>
      </c>
      <c r="O23" s="174"/>
    </row>
    <row r="24" spans="2:15" x14ac:dyDescent="0.3">
      <c r="B24" s="13" t="s">
        <v>63</v>
      </c>
      <c r="C24" s="14">
        <f t="shared" si="3"/>
        <v>0.37109059687672846</v>
      </c>
      <c r="D24" s="14">
        <f t="shared" si="3"/>
        <v>0.36468716717472349</v>
      </c>
      <c r="E24" s="14">
        <f t="shared" si="3"/>
        <v>0</v>
      </c>
      <c r="F24" s="14">
        <f t="shared" si="3"/>
        <v>0</v>
      </c>
      <c r="G24" s="14">
        <f t="shared" si="3"/>
        <v>0.75764890771865334</v>
      </c>
      <c r="H24" s="14">
        <f t="shared" si="3"/>
        <v>0</v>
      </c>
      <c r="I24" s="14">
        <f t="shared" si="3"/>
        <v>0</v>
      </c>
      <c r="J24" s="14">
        <f t="shared" si="3"/>
        <v>0</v>
      </c>
      <c r="K24" s="14">
        <f t="shared" si="3"/>
        <v>0</v>
      </c>
      <c r="L24" s="14">
        <f t="shared" si="3"/>
        <v>0.96871186660967634</v>
      </c>
      <c r="M24" s="87">
        <f t="shared" si="3"/>
        <v>0</v>
      </c>
      <c r="N24" s="86">
        <f t="shared" si="2"/>
        <v>0.22383077621634379</v>
      </c>
      <c r="O24" s="174"/>
    </row>
    <row r="25" spans="2:15" ht="14.25" thickBot="1" x14ac:dyDescent="0.35">
      <c r="B25" s="15" t="s">
        <v>64</v>
      </c>
      <c r="C25" s="16">
        <f t="shared" si="3"/>
        <v>0.31556888964632335</v>
      </c>
      <c r="D25" s="16">
        <f t="shared" si="3"/>
        <v>0</v>
      </c>
      <c r="E25" s="16">
        <f t="shared" si="3"/>
        <v>0</v>
      </c>
      <c r="F25" s="16">
        <f t="shared" si="3"/>
        <v>0</v>
      </c>
      <c r="G25" s="16">
        <f t="shared" si="3"/>
        <v>0</v>
      </c>
      <c r="H25" s="16">
        <f t="shared" si="3"/>
        <v>0</v>
      </c>
      <c r="I25" s="16">
        <f t="shared" si="3"/>
        <v>0</v>
      </c>
      <c r="J25" s="16">
        <f t="shared" si="3"/>
        <v>0</v>
      </c>
      <c r="K25" s="16">
        <f t="shared" si="3"/>
        <v>0</v>
      </c>
      <c r="L25" s="16">
        <f t="shared" si="3"/>
        <v>0</v>
      </c>
      <c r="M25" s="88">
        <f t="shared" si="3"/>
        <v>0.86120606121268894</v>
      </c>
      <c r="N25" s="89">
        <f t="shared" si="2"/>
        <v>0.10697954098718294</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362</v>
      </c>
      <c r="D32" s="91" t="s">
        <v>362</v>
      </c>
      <c r="E32" s="92" t="s">
        <v>362</v>
      </c>
      <c r="F32" s="93" t="s">
        <v>362</v>
      </c>
      <c r="G32" s="56" t="s">
        <v>362</v>
      </c>
      <c r="I32" s="108"/>
      <c r="J32" s="108"/>
      <c r="K32" s="108"/>
    </row>
    <row r="33" spans="2:11" x14ac:dyDescent="0.3">
      <c r="B33" s="20" t="s">
        <v>26</v>
      </c>
      <c r="C33" s="94">
        <f t="shared" ref="C33:C39" si="4">N12</f>
        <v>2436043383</v>
      </c>
      <c r="D33" s="50">
        <f>C48</f>
        <v>0</v>
      </c>
      <c r="E33" s="95">
        <f>C33-D33</f>
        <v>2436043383</v>
      </c>
      <c r="F33" s="63">
        <f>PRODUCT(N21:$N$25)</f>
        <v>1.1028417992227275E-4</v>
      </c>
      <c r="G33" s="57">
        <f>ROUND(E33*F33,)</f>
        <v>268657</v>
      </c>
      <c r="I33" s="108"/>
      <c r="J33" s="108"/>
      <c r="K33" s="108"/>
    </row>
    <row r="34" spans="2:11" x14ac:dyDescent="0.3">
      <c r="B34" s="22" t="s">
        <v>38</v>
      </c>
      <c r="C34" s="96">
        <f t="shared" si="4"/>
        <v>45386643</v>
      </c>
      <c r="D34" s="52">
        <f t="shared" ref="D34:D39" si="5">C49</f>
        <v>0</v>
      </c>
      <c r="E34" s="97">
        <f t="shared" ref="E34:E39" si="6">C34-D34</f>
        <v>45386643</v>
      </c>
      <c r="F34" s="64">
        <f>PRODUCT(N22:$N$25)</f>
        <v>1.7191460982492318E-3</v>
      </c>
      <c r="G34" s="58">
        <f t="shared" ref="G34:G39" si="7">ROUND(E34*F34,)</f>
        <v>78026</v>
      </c>
      <c r="I34" s="108"/>
      <c r="J34" s="108"/>
      <c r="K34" s="108"/>
    </row>
    <row r="35" spans="2:11" x14ac:dyDescent="0.3">
      <c r="B35" s="22" t="s">
        <v>28</v>
      </c>
      <c r="C35" s="96">
        <f t="shared" si="4"/>
        <v>0</v>
      </c>
      <c r="D35" s="52">
        <f t="shared" si="5"/>
        <v>0</v>
      </c>
      <c r="E35" s="97">
        <f t="shared" si="6"/>
        <v>0</v>
      </c>
      <c r="F35" s="64">
        <f>PRODUCT(N23:$N$25)</f>
        <v>1.1918173511940385E-2</v>
      </c>
      <c r="G35" s="58">
        <f t="shared" si="7"/>
        <v>0</v>
      </c>
      <c r="I35" s="108"/>
      <c r="J35" s="108"/>
      <c r="K35" s="108"/>
    </row>
    <row r="36" spans="2:11" x14ac:dyDescent="0.3">
      <c r="B36" s="22" t="s">
        <v>29</v>
      </c>
      <c r="C36" s="96">
        <f t="shared" si="4"/>
        <v>1992302</v>
      </c>
      <c r="D36" s="52">
        <f t="shared" si="5"/>
        <v>0</v>
      </c>
      <c r="E36" s="97">
        <f t="shared" si="6"/>
        <v>1992302</v>
      </c>
      <c r="F36" s="64">
        <f>PRODUCT(N24:$N$25)</f>
        <v>2.3945313698429324E-2</v>
      </c>
      <c r="G36" s="58">
        <f t="shared" si="7"/>
        <v>47706</v>
      </c>
      <c r="I36" s="108"/>
      <c r="J36" s="108"/>
      <c r="K36" s="108"/>
    </row>
    <row r="37" spans="2:11" ht="14.25" thickBot="1" x14ac:dyDescent="0.35">
      <c r="B37" s="25" t="s">
        <v>31</v>
      </c>
      <c r="C37" s="98">
        <f t="shared" si="4"/>
        <v>0</v>
      </c>
      <c r="D37" s="55">
        <f t="shared" si="5"/>
        <v>0</v>
      </c>
      <c r="E37" s="99">
        <f t="shared" si="6"/>
        <v>0</v>
      </c>
      <c r="F37" s="67">
        <f>PRODUCT(N25:$N$25)</f>
        <v>0.10697954098718294</v>
      </c>
      <c r="G37" s="59">
        <f t="shared" si="7"/>
        <v>0</v>
      </c>
      <c r="I37" s="108"/>
      <c r="J37" s="108"/>
      <c r="K37" s="108"/>
    </row>
    <row r="38" spans="2:11" x14ac:dyDescent="0.3">
      <c r="B38" s="27" t="s">
        <v>33</v>
      </c>
      <c r="C38" s="94">
        <f t="shared" si="4"/>
        <v>53327600</v>
      </c>
      <c r="D38" s="50">
        <f t="shared" si="5"/>
        <v>0</v>
      </c>
      <c r="E38" s="29">
        <f t="shared" si="6"/>
        <v>53327600</v>
      </c>
      <c r="F38" s="100">
        <v>1</v>
      </c>
      <c r="G38" s="60">
        <f t="shared" si="7"/>
        <v>53327600</v>
      </c>
      <c r="I38" s="108"/>
      <c r="J38" s="108"/>
      <c r="K38" s="108"/>
    </row>
    <row r="39" spans="2:11" ht="14.25" thickBot="1" x14ac:dyDescent="0.35">
      <c r="B39" s="30" t="s">
        <v>35</v>
      </c>
      <c r="C39" s="98">
        <f t="shared" si="4"/>
        <v>414321318</v>
      </c>
      <c r="D39" s="55">
        <f t="shared" si="5"/>
        <v>114321318</v>
      </c>
      <c r="E39" s="32">
        <f t="shared" si="6"/>
        <v>300000000</v>
      </c>
      <c r="F39" s="67">
        <v>1</v>
      </c>
      <c r="G39" s="61">
        <f t="shared" si="7"/>
        <v>300000000</v>
      </c>
      <c r="I39" s="108"/>
      <c r="J39" s="108"/>
      <c r="K39" s="108"/>
    </row>
    <row r="40" spans="2:11" ht="14.25" thickBot="1" x14ac:dyDescent="0.35">
      <c r="B40" s="30" t="s">
        <v>41</v>
      </c>
      <c r="C40" s="101">
        <f>SUM(C33:C39)</f>
        <v>2951071246</v>
      </c>
      <c r="D40" s="101">
        <f>SUM(D33:D39)</f>
        <v>114321318</v>
      </c>
      <c r="E40" s="102">
        <f>SUM(E33:E39)</f>
        <v>2836749928</v>
      </c>
      <c r="F40" s="67"/>
      <c r="G40" s="61">
        <f>SUM(G33:G39)</f>
        <v>353721989</v>
      </c>
      <c r="H40" s="108"/>
      <c r="I40" s="108"/>
      <c r="J40" s="108"/>
      <c r="K40" s="108"/>
    </row>
    <row r="41" spans="2:11" ht="14.25" thickBot="1" x14ac:dyDescent="0.35">
      <c r="B41" s="108"/>
      <c r="E41" s="109"/>
      <c r="F41" s="110"/>
      <c r="G41" s="115"/>
      <c r="H41" s="108"/>
      <c r="I41" s="108"/>
      <c r="J41" s="108"/>
      <c r="K41" s="108"/>
    </row>
    <row r="42" spans="2:11" ht="14.25" thickBot="1" x14ac:dyDescent="0.35">
      <c r="G42" s="33">
        <f>G40</f>
        <v>353721989</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17" t="s">
        <v>362</v>
      </c>
      <c r="D47" s="19" t="s">
        <v>362</v>
      </c>
    </row>
    <row r="48" spans="2:11" x14ac:dyDescent="0.3">
      <c r="B48" s="20" t="s">
        <v>26</v>
      </c>
      <c r="C48" s="34">
        <v>0</v>
      </c>
      <c r="D48" s="35">
        <v>0</v>
      </c>
      <c r="F48" s="173" t="s">
        <v>85</v>
      </c>
      <c r="G48" s="173"/>
      <c r="H48" s="173"/>
      <c r="I48" s="173"/>
    </row>
    <row r="49" spans="1:10" x14ac:dyDescent="0.3">
      <c r="B49" s="22" t="s">
        <v>38</v>
      </c>
      <c r="C49" s="36">
        <v>0</v>
      </c>
      <c r="D49" s="37">
        <v>0</v>
      </c>
      <c r="F49" s="104" t="s">
        <v>86</v>
      </c>
      <c r="G49" s="105">
        <v>27256788</v>
      </c>
      <c r="H49" s="104" t="s">
        <v>87</v>
      </c>
      <c r="I49" s="105">
        <v>49060000</v>
      </c>
    </row>
    <row r="50" spans="1:10" x14ac:dyDescent="0.3">
      <c r="B50" s="22" t="s">
        <v>28</v>
      </c>
      <c r="C50" s="36">
        <v>0</v>
      </c>
      <c r="D50" s="37">
        <v>0</v>
      </c>
      <c r="F50" s="104" t="s">
        <v>88</v>
      </c>
      <c r="G50" s="105">
        <v>3228130</v>
      </c>
      <c r="H50" s="104" t="s">
        <v>89</v>
      </c>
      <c r="I50" s="105">
        <v>12000000</v>
      </c>
    </row>
    <row r="51" spans="1:10" x14ac:dyDescent="0.3">
      <c r="B51" s="22" t="s">
        <v>29</v>
      </c>
      <c r="C51" s="36">
        <v>0</v>
      </c>
      <c r="D51" s="37">
        <v>0</v>
      </c>
      <c r="F51" s="104" t="s">
        <v>354</v>
      </c>
      <c r="G51" s="105">
        <v>22776400</v>
      </c>
      <c r="H51" s="106"/>
      <c r="I51" s="106"/>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114321318</v>
      </c>
      <c r="D54" s="41">
        <f>C54</f>
        <v>114321318</v>
      </c>
    </row>
    <row r="55" spans="1:10" ht="14.25" thickBot="1" x14ac:dyDescent="0.35">
      <c r="B55" s="46" t="s">
        <v>11</v>
      </c>
      <c r="C55" s="47">
        <f>SUM(C48:C54)</f>
        <v>114321318</v>
      </c>
      <c r="D55" s="48">
        <f>SUM(D48:D54)</f>
        <v>114321318</v>
      </c>
    </row>
    <row r="56" spans="1:10" ht="14.25" thickBot="1" x14ac:dyDescent="0.35"/>
    <row r="57" spans="1:10" ht="14.25" thickBot="1" x14ac:dyDescent="0.35">
      <c r="E57" s="33">
        <f>D55</f>
        <v>114321318</v>
      </c>
      <c r="F57" s="2" t="s">
        <v>51</v>
      </c>
    </row>
    <row r="59" spans="1:10" x14ac:dyDescent="0.3">
      <c r="B59" s="111" t="s">
        <v>12</v>
      </c>
    </row>
    <row r="60" spans="1:10" x14ac:dyDescent="0.3">
      <c r="B60" s="2" t="s">
        <v>20</v>
      </c>
      <c r="H60" s="118" t="s">
        <v>83</v>
      </c>
      <c r="I60" s="118" t="s">
        <v>84</v>
      </c>
      <c r="J60" s="118" t="s">
        <v>78</v>
      </c>
    </row>
    <row r="61" spans="1:10" x14ac:dyDescent="0.3">
      <c r="B61" s="42" t="s">
        <v>14</v>
      </c>
      <c r="C61" s="42" t="s">
        <v>15</v>
      </c>
      <c r="D61" s="42" t="s">
        <v>98</v>
      </c>
      <c r="E61" s="42" t="s">
        <v>52</v>
      </c>
      <c r="H61" s="43" t="s">
        <v>80</v>
      </c>
      <c r="I61" s="119">
        <f>D63+'전이율 적용(2021.1Q)-수출'!D63</f>
        <v>734681124</v>
      </c>
      <c r="J61" s="119">
        <v>724707463</v>
      </c>
    </row>
    <row r="62" spans="1:10" x14ac:dyDescent="0.3">
      <c r="A62" s="2" t="s">
        <v>18</v>
      </c>
      <c r="B62" s="103" t="s">
        <v>100</v>
      </c>
      <c r="C62" s="43" t="s">
        <v>4</v>
      </c>
      <c r="D62" s="44">
        <v>2951071246</v>
      </c>
      <c r="E62" s="43"/>
      <c r="H62" s="43" t="s">
        <v>137</v>
      </c>
      <c r="I62" s="119">
        <v>734681124</v>
      </c>
      <c r="J62" s="119">
        <v>724707463</v>
      </c>
    </row>
    <row r="63" spans="1:10" x14ac:dyDescent="0.3">
      <c r="A63" s="2" t="s">
        <v>19</v>
      </c>
      <c r="B63" s="43">
        <v>1110321</v>
      </c>
      <c r="C63" s="43" t="s">
        <v>13</v>
      </c>
      <c r="D63" s="44">
        <v>468043307</v>
      </c>
      <c r="E63" s="45">
        <f>D63-G42-E57</f>
        <v>0</v>
      </c>
      <c r="F63" s="2" t="s">
        <v>16</v>
      </c>
      <c r="H63" s="43" t="s">
        <v>81</v>
      </c>
      <c r="I63" s="119"/>
      <c r="J63" s="119"/>
    </row>
    <row r="64" spans="1:10" x14ac:dyDescent="0.3">
      <c r="B64" s="43"/>
      <c r="C64" s="43" t="s">
        <v>101</v>
      </c>
      <c r="D64" s="45">
        <f>D62-D63</f>
        <v>2483027939</v>
      </c>
      <c r="E64" s="45">
        <f>D64-E40-C55+G42+E57</f>
        <v>0</v>
      </c>
      <c r="F64" s="2" t="s">
        <v>16</v>
      </c>
      <c r="H64" s="106" t="s">
        <v>82</v>
      </c>
      <c r="I64" s="120">
        <f>I61-I62+I63</f>
        <v>0</v>
      </c>
      <c r="J64" s="107">
        <f>J61-J62+J63</f>
        <v>0</v>
      </c>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2060"/>
  </sheetPr>
  <dimension ref="A2:O64"/>
  <sheetViews>
    <sheetView topLeftCell="A55" zoomScaleNormal="100" workbookViewId="0">
      <selection activeCell="F55" sqref="F55"/>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36</v>
      </c>
      <c r="D11" s="4" t="s">
        <v>3</v>
      </c>
      <c r="E11" s="4" t="s">
        <v>70</v>
      </c>
      <c r="F11" s="4" t="s">
        <v>71</v>
      </c>
      <c r="G11" s="4" t="s">
        <v>72</v>
      </c>
      <c r="H11" s="4" t="s">
        <v>75</v>
      </c>
      <c r="I11" s="4" t="s">
        <v>76</v>
      </c>
      <c r="J11" s="4" t="s">
        <v>73</v>
      </c>
      <c r="K11" s="4" t="s">
        <v>74</v>
      </c>
      <c r="L11" s="73" t="s">
        <v>246</v>
      </c>
      <c r="M11" s="4" t="s">
        <v>355</v>
      </c>
      <c r="N11" s="80" t="s">
        <v>357</v>
      </c>
    </row>
    <row r="12" spans="2:14" x14ac:dyDescent="0.3">
      <c r="B12" s="5" t="s">
        <v>27</v>
      </c>
      <c r="C12" s="6">
        <v>5930095909</v>
      </c>
      <c r="D12" s="6">
        <v>6069401036</v>
      </c>
      <c r="E12" s="6">
        <v>5998031028</v>
      </c>
      <c r="F12" s="6">
        <v>5574200261</v>
      </c>
      <c r="G12" s="6">
        <v>6022453750</v>
      </c>
      <c r="H12" s="6">
        <v>5392409126</v>
      </c>
      <c r="I12" s="6">
        <v>5474074544</v>
      </c>
      <c r="J12" s="6">
        <v>5476373785</v>
      </c>
      <c r="K12" s="6">
        <v>5197654177</v>
      </c>
      <c r="L12" s="74">
        <v>5226625839</v>
      </c>
      <c r="M12" s="6">
        <v>5177507228</v>
      </c>
      <c r="N12" s="81">
        <v>7686782434</v>
      </c>
    </row>
    <row r="13" spans="2:14" x14ac:dyDescent="0.3">
      <c r="B13" s="7" t="s">
        <v>39</v>
      </c>
      <c r="C13" s="6">
        <v>1235576755</v>
      </c>
      <c r="D13" s="6">
        <v>1134126857</v>
      </c>
      <c r="E13" s="6">
        <v>1179185313</v>
      </c>
      <c r="F13" s="6">
        <v>1781420905</v>
      </c>
      <c r="G13" s="6">
        <v>1931837477</v>
      </c>
      <c r="H13" s="6">
        <v>2157847550</v>
      </c>
      <c r="I13" s="6">
        <v>1668750550</v>
      </c>
      <c r="J13" s="6">
        <v>1895954647</v>
      </c>
      <c r="K13" s="6">
        <v>1734563258</v>
      </c>
      <c r="L13" s="74">
        <v>1217048730</v>
      </c>
      <c r="M13" s="6">
        <v>1057246878</v>
      </c>
      <c r="N13" s="81">
        <v>844001742</v>
      </c>
    </row>
    <row r="14" spans="2:14" x14ac:dyDescent="0.3">
      <c r="B14" s="7" t="s">
        <v>92</v>
      </c>
      <c r="C14" s="6">
        <v>246137894</v>
      </c>
      <c r="D14" s="6">
        <v>413676759</v>
      </c>
      <c r="E14" s="6">
        <v>379171392</v>
      </c>
      <c r="F14" s="6">
        <v>576057660</v>
      </c>
      <c r="G14" s="6">
        <v>395061589</v>
      </c>
      <c r="H14" s="6">
        <v>888545016</v>
      </c>
      <c r="I14" s="6">
        <v>748393419</v>
      </c>
      <c r="J14" s="6">
        <v>979650983</v>
      </c>
      <c r="K14" s="6">
        <v>559786018</v>
      </c>
      <c r="L14" s="74">
        <v>239763111</v>
      </c>
      <c r="M14" s="6">
        <v>311848277</v>
      </c>
      <c r="N14" s="81">
        <v>392955886</v>
      </c>
    </row>
    <row r="15" spans="2:14" x14ac:dyDescent="0.3">
      <c r="B15" s="7" t="s">
        <v>30</v>
      </c>
      <c r="C15" s="6">
        <v>207723417</v>
      </c>
      <c r="D15" s="6">
        <v>203891615</v>
      </c>
      <c r="E15" s="6">
        <v>207544216</v>
      </c>
      <c r="F15" s="6">
        <v>159648530</v>
      </c>
      <c r="G15" s="6">
        <v>380736542</v>
      </c>
      <c r="H15" s="6">
        <v>164002785</v>
      </c>
      <c r="I15" s="6">
        <v>135164026</v>
      </c>
      <c r="J15" s="6">
        <v>446127690</v>
      </c>
      <c r="K15" s="6">
        <v>273503838</v>
      </c>
      <c r="L15" s="74">
        <v>283828249</v>
      </c>
      <c r="M15" s="6">
        <v>134444998</v>
      </c>
      <c r="N15" s="81">
        <v>159098911</v>
      </c>
    </row>
    <row r="16" spans="2:14" x14ac:dyDescent="0.3">
      <c r="B16" s="7" t="s">
        <v>32</v>
      </c>
      <c r="C16" s="6">
        <v>454635777</v>
      </c>
      <c r="D16" s="6">
        <v>80695475</v>
      </c>
      <c r="E16" s="6"/>
      <c r="F16" s="6">
        <v>90387652</v>
      </c>
      <c r="G16" s="6">
        <v>55818029</v>
      </c>
      <c r="H16" s="6">
        <v>7084007</v>
      </c>
      <c r="I16" s="6">
        <v>20193132</v>
      </c>
      <c r="J16" s="6">
        <v>35618067</v>
      </c>
      <c r="K16" s="6">
        <v>77613140</v>
      </c>
      <c r="L16" s="74">
        <v>56425025</v>
      </c>
      <c r="M16" s="6">
        <v>58227888</v>
      </c>
      <c r="N16" s="81"/>
    </row>
    <row r="17" spans="2:15" x14ac:dyDescent="0.3">
      <c r="B17" s="7" t="s">
        <v>34</v>
      </c>
      <c r="C17" s="6">
        <v>257483476</v>
      </c>
      <c r="D17" s="6">
        <v>31042138</v>
      </c>
      <c r="E17" s="6">
        <v>8724266</v>
      </c>
      <c r="F17" s="6"/>
      <c r="G17" s="6">
        <v>4916400</v>
      </c>
      <c r="H17" s="6">
        <v>973053</v>
      </c>
      <c r="I17" s="6"/>
      <c r="J17" s="6">
        <v>21323305</v>
      </c>
      <c r="K17" s="6">
        <v>34980053</v>
      </c>
      <c r="L17" s="74">
        <v>56383366</v>
      </c>
      <c r="M17" s="6">
        <v>52313956</v>
      </c>
      <c r="N17" s="81">
        <v>4080600</v>
      </c>
    </row>
    <row r="18" spans="2:15" ht="14.25" thickBot="1" x14ac:dyDescent="0.35">
      <c r="B18" s="8" t="s">
        <v>93</v>
      </c>
      <c r="C18" s="9">
        <v>127164358</v>
      </c>
      <c r="D18" s="9">
        <v>141956825</v>
      </c>
      <c r="E18" s="9">
        <v>155760917</v>
      </c>
      <c r="F18" s="9">
        <v>165142745</v>
      </c>
      <c r="G18" s="9">
        <v>165776943</v>
      </c>
      <c r="H18" s="9">
        <v>157888843</v>
      </c>
      <c r="I18" s="9">
        <v>132462486</v>
      </c>
      <c r="J18" s="9">
        <v>127164358</v>
      </c>
      <c r="K18" s="9">
        <v>148105707</v>
      </c>
      <c r="L18" s="75">
        <v>127164358</v>
      </c>
      <c r="M18" s="9">
        <v>168559690</v>
      </c>
      <c r="N18" s="82">
        <v>202122554</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0.19124932790357674</v>
      </c>
      <c r="D21" s="11">
        <f>IF(IFERROR(E13/D12,0)&gt;1,1,IFERROR(E13/D12,0))</f>
        <v>0.19428363787559744</v>
      </c>
      <c r="E21" s="11">
        <f t="shared" ref="E21:M21" si="0">IF(IFERROR(F13/E12,0)&gt;1,1,IFERROR(F13/E12,0))</f>
        <v>0.29700094859195852</v>
      </c>
      <c r="F21" s="11">
        <f t="shared" si="0"/>
        <v>0.346567648549719</v>
      </c>
      <c r="G21" s="11">
        <f t="shared" si="0"/>
        <v>0.35830039375561828</v>
      </c>
      <c r="H21" s="11">
        <f t="shared" si="0"/>
        <v>0.30946289701090457</v>
      </c>
      <c r="I21" s="11">
        <f t="shared" si="0"/>
        <v>0.3463516310858627</v>
      </c>
      <c r="J21" s="11">
        <f t="shared" si="0"/>
        <v>0.31673573172653702</v>
      </c>
      <c r="K21" s="11">
        <f t="shared" si="0"/>
        <v>0.23415346395793887</v>
      </c>
      <c r="L21" s="11">
        <f t="shared" si="0"/>
        <v>0.2022809572690363</v>
      </c>
      <c r="M21" s="83">
        <f t="shared" si="0"/>
        <v>0.16301314606296094</v>
      </c>
      <c r="N21" s="84">
        <f>AVERAGE(C21:M21)</f>
        <v>0.26903634398088278</v>
      </c>
      <c r="O21" s="174" t="s">
        <v>58</v>
      </c>
    </row>
    <row r="22" spans="2:15" x14ac:dyDescent="0.3">
      <c r="B22" s="13" t="s">
        <v>61</v>
      </c>
      <c r="C22" s="14">
        <f>IF(IFERROR(D14/C13,0)&gt;1,1,IFERROR(D14/C13,0))</f>
        <v>0.33480458201077118</v>
      </c>
      <c r="D22" s="14">
        <f t="shared" ref="D22:M22" si="1">IF(IFERROR(E14/D13,0)&gt;1,1,IFERROR(E14/D13,0))</f>
        <v>0.33432890655899528</v>
      </c>
      <c r="E22" s="14">
        <f t="shared" si="1"/>
        <v>0.48852173924591613</v>
      </c>
      <c r="F22" s="14">
        <f t="shared" si="1"/>
        <v>0.22176768437552383</v>
      </c>
      <c r="G22" s="14">
        <f t="shared" si="1"/>
        <v>0.45994812015959247</v>
      </c>
      <c r="H22" s="14">
        <f t="shared" si="1"/>
        <v>0.34682404649021659</v>
      </c>
      <c r="I22" s="14">
        <f t="shared" si="1"/>
        <v>0.58705657535213995</v>
      </c>
      <c r="J22" s="14">
        <f t="shared" si="1"/>
        <v>0.29525285263851569</v>
      </c>
      <c r="K22" s="14">
        <f t="shared" si="1"/>
        <v>0.13822678988165216</v>
      </c>
      <c r="L22" s="14">
        <f t="shared" si="1"/>
        <v>0.25623318878940859</v>
      </c>
      <c r="M22" s="85">
        <f t="shared" si="1"/>
        <v>0.37167845484051643</v>
      </c>
      <c r="N22" s="86">
        <f t="shared" ref="N22:N25" si="2">AVERAGE(C22:M22)</f>
        <v>0.34860390366756799</v>
      </c>
      <c r="O22" s="174"/>
    </row>
    <row r="23" spans="2:15" x14ac:dyDescent="0.3">
      <c r="B23" s="13" t="s">
        <v>62</v>
      </c>
      <c r="C23" s="14">
        <f t="shared" ref="C23:M25" si="3">IF(IFERROR(D15/C14,0)&gt;1,1,IFERROR(D15/C14,0))</f>
        <v>0.8283633685433256</v>
      </c>
      <c r="D23" s="14">
        <f t="shared" si="3"/>
        <v>0.50170625128108781</v>
      </c>
      <c r="E23" s="14">
        <f t="shared" si="3"/>
        <v>0.42104582088302694</v>
      </c>
      <c r="F23" s="14">
        <f t="shared" si="3"/>
        <v>0.6609347786469848</v>
      </c>
      <c r="G23" s="14">
        <f t="shared" si="3"/>
        <v>0.41513219600805079</v>
      </c>
      <c r="H23" s="14">
        <f t="shared" si="3"/>
        <v>0.15211837730909067</v>
      </c>
      <c r="I23" s="14">
        <f t="shared" si="3"/>
        <v>0.59611386026899305</v>
      </c>
      <c r="J23" s="14">
        <f t="shared" si="3"/>
        <v>0.27918497786063062</v>
      </c>
      <c r="K23" s="14">
        <f t="shared" si="3"/>
        <v>0.50702990048601038</v>
      </c>
      <c r="L23" s="14">
        <f t="shared" si="3"/>
        <v>0.56074096402594642</v>
      </c>
      <c r="M23" s="85">
        <f t="shared" si="3"/>
        <v>0.51018050357866818</v>
      </c>
      <c r="N23" s="86">
        <f t="shared" si="2"/>
        <v>0.4938682726265286</v>
      </c>
      <c r="O23" s="174"/>
    </row>
    <row r="24" spans="2:15" x14ac:dyDescent="0.3">
      <c r="B24" s="13" t="s">
        <v>63</v>
      </c>
      <c r="C24" s="14">
        <f t="shared" si="3"/>
        <v>0.38847558048787539</v>
      </c>
      <c r="D24" s="14">
        <f t="shared" si="3"/>
        <v>0</v>
      </c>
      <c r="E24" s="14">
        <f t="shared" si="3"/>
        <v>0.4355103396376992</v>
      </c>
      <c r="F24" s="14">
        <f t="shared" si="3"/>
        <v>0.34963071066172674</v>
      </c>
      <c r="G24" s="14">
        <f t="shared" si="3"/>
        <v>1.8606060145390509E-2</v>
      </c>
      <c r="H24" s="14">
        <f t="shared" si="3"/>
        <v>0.12312676275588856</v>
      </c>
      <c r="I24" s="14">
        <f t="shared" si="3"/>
        <v>0.26351735779163604</v>
      </c>
      <c r="J24" s="14">
        <f t="shared" si="3"/>
        <v>0.17397068538830218</v>
      </c>
      <c r="K24" s="14">
        <f t="shared" si="3"/>
        <v>0.20630432615720734</v>
      </c>
      <c r="L24" s="14">
        <f t="shared" si="3"/>
        <v>0.20515184166886785</v>
      </c>
      <c r="M24" s="87">
        <f t="shared" si="3"/>
        <v>0</v>
      </c>
      <c r="N24" s="86">
        <f t="shared" si="2"/>
        <v>0.19675396951769034</v>
      </c>
      <c r="O24" s="174"/>
    </row>
    <row r="25" spans="2:15" ht="14.25" thickBot="1" x14ac:dyDescent="0.35">
      <c r="B25" s="15" t="s">
        <v>64</v>
      </c>
      <c r="C25" s="16">
        <f t="shared" si="3"/>
        <v>6.8279135893874007E-2</v>
      </c>
      <c r="D25" s="16">
        <f t="shared" si="3"/>
        <v>0.10811344750123845</v>
      </c>
      <c r="E25" s="16">
        <f t="shared" si="3"/>
        <v>0</v>
      </c>
      <c r="F25" s="16">
        <f t="shared" si="3"/>
        <v>5.4392385366974681E-2</v>
      </c>
      <c r="G25" s="16">
        <f t="shared" si="3"/>
        <v>1.7432593329298675E-2</v>
      </c>
      <c r="H25" s="16">
        <f t="shared" si="3"/>
        <v>0</v>
      </c>
      <c r="I25" s="16">
        <f t="shared" si="3"/>
        <v>1</v>
      </c>
      <c r="J25" s="16">
        <f t="shared" si="3"/>
        <v>0.98208734909729944</v>
      </c>
      <c r="K25" s="16">
        <f t="shared" si="3"/>
        <v>0.72646675550042172</v>
      </c>
      <c r="L25" s="16">
        <f t="shared" si="3"/>
        <v>0.92714103361053013</v>
      </c>
      <c r="M25" s="88">
        <f t="shared" si="3"/>
        <v>7.0079821545304885E-2</v>
      </c>
      <c r="N25" s="89">
        <f t="shared" si="2"/>
        <v>0.35945386562226744</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357</v>
      </c>
      <c r="D32" s="91" t="s">
        <v>357</v>
      </c>
      <c r="E32" s="92" t="s">
        <v>358</v>
      </c>
      <c r="F32" s="93" t="s">
        <v>357</v>
      </c>
      <c r="G32" s="56" t="s">
        <v>358</v>
      </c>
      <c r="I32" s="108"/>
      <c r="J32" s="108"/>
      <c r="K32" s="108"/>
    </row>
    <row r="33" spans="2:11" x14ac:dyDescent="0.3">
      <c r="B33" s="20" t="s">
        <v>26</v>
      </c>
      <c r="C33" s="94">
        <f t="shared" ref="C33:C39" si="4">N12</f>
        <v>7686782434</v>
      </c>
      <c r="D33" s="50">
        <f>C48</f>
        <v>0</v>
      </c>
      <c r="E33" s="95">
        <f>C33-D33</f>
        <v>7686782434</v>
      </c>
      <c r="F33" s="63">
        <f>PRODUCT(N21:$N$25)</f>
        <v>3.2758272173280985E-3</v>
      </c>
      <c r="G33" s="57">
        <f>ROUND(E33*F33,)</f>
        <v>25180571</v>
      </c>
      <c r="I33" s="108"/>
      <c r="J33" s="108"/>
      <c r="K33" s="108"/>
    </row>
    <row r="34" spans="2:11" x14ac:dyDescent="0.3">
      <c r="B34" s="22" t="s">
        <v>38</v>
      </c>
      <c r="C34" s="96">
        <f t="shared" si="4"/>
        <v>844001742</v>
      </c>
      <c r="D34" s="52">
        <f t="shared" ref="D34:D39" si="5">C49</f>
        <v>0</v>
      </c>
      <c r="E34" s="97">
        <f t="shared" ref="E34:E39" si="6">C34-D34</f>
        <v>844001742</v>
      </c>
      <c r="F34" s="64">
        <f>PRODUCT(N22:$N$25)</f>
        <v>1.2176151254719965E-2</v>
      </c>
      <c r="G34" s="58">
        <f t="shared" ref="G34:G39" si="7">ROUND(E34*F34,)</f>
        <v>10276693</v>
      </c>
      <c r="I34" s="108"/>
      <c r="J34" s="108"/>
      <c r="K34" s="108"/>
    </row>
    <row r="35" spans="2:11" x14ac:dyDescent="0.3">
      <c r="B35" s="22" t="s">
        <v>28</v>
      </c>
      <c r="C35" s="96">
        <f t="shared" si="4"/>
        <v>392955886</v>
      </c>
      <c r="D35" s="52">
        <f t="shared" si="5"/>
        <v>0</v>
      </c>
      <c r="E35" s="97">
        <f t="shared" si="6"/>
        <v>392955886</v>
      </c>
      <c r="F35" s="64">
        <f>PRODUCT(N23:$N$25)</f>
        <v>3.4928327326854199E-2</v>
      </c>
      <c r="G35" s="58">
        <f t="shared" si="7"/>
        <v>13725292</v>
      </c>
      <c r="I35" s="108"/>
      <c r="J35" s="108"/>
      <c r="K35" s="108"/>
    </row>
    <row r="36" spans="2:11" x14ac:dyDescent="0.3">
      <c r="B36" s="22" t="s">
        <v>29</v>
      </c>
      <c r="C36" s="96">
        <f t="shared" si="4"/>
        <v>159098911</v>
      </c>
      <c r="D36" s="52">
        <f t="shared" si="5"/>
        <v>0</v>
      </c>
      <c r="E36" s="97">
        <f t="shared" si="6"/>
        <v>159098911</v>
      </c>
      <c r="F36" s="64">
        <f>PRODUCT(N24:$N$25)</f>
        <v>7.0723974919659566E-2</v>
      </c>
      <c r="G36" s="58">
        <f t="shared" si="7"/>
        <v>11252107</v>
      </c>
      <c r="I36" s="108"/>
      <c r="J36" s="108"/>
      <c r="K36" s="108"/>
    </row>
    <row r="37" spans="2:11" ht="14.25" thickBot="1" x14ac:dyDescent="0.35">
      <c r="B37" s="25" t="s">
        <v>31</v>
      </c>
      <c r="C37" s="98">
        <f t="shared" si="4"/>
        <v>0</v>
      </c>
      <c r="D37" s="55">
        <f t="shared" si="5"/>
        <v>0</v>
      </c>
      <c r="E37" s="99">
        <f t="shared" si="6"/>
        <v>0</v>
      </c>
      <c r="F37" s="67">
        <f>PRODUCT(N25:$N$25)</f>
        <v>0.35945386562226744</v>
      </c>
      <c r="G37" s="59">
        <f t="shared" si="7"/>
        <v>0</v>
      </c>
      <c r="I37" s="108"/>
      <c r="J37" s="108"/>
      <c r="K37" s="108"/>
    </row>
    <row r="38" spans="2:11" x14ac:dyDescent="0.3">
      <c r="B38" s="27" t="s">
        <v>33</v>
      </c>
      <c r="C38" s="94">
        <f t="shared" si="4"/>
        <v>4080600</v>
      </c>
      <c r="D38" s="50">
        <f t="shared" si="5"/>
        <v>0</v>
      </c>
      <c r="E38" s="29">
        <f t="shared" si="6"/>
        <v>4080600</v>
      </c>
      <c r="F38" s="100">
        <v>1</v>
      </c>
      <c r="G38" s="60">
        <f t="shared" si="7"/>
        <v>4080600</v>
      </c>
      <c r="I38" s="108"/>
      <c r="J38" s="108"/>
      <c r="K38" s="108"/>
    </row>
    <row r="39" spans="2:11" ht="14.25" thickBot="1" x14ac:dyDescent="0.35">
      <c r="B39" s="30" t="s">
        <v>35</v>
      </c>
      <c r="C39" s="98">
        <f t="shared" si="4"/>
        <v>202122554</v>
      </c>
      <c r="D39" s="55">
        <f t="shared" si="5"/>
        <v>27647453</v>
      </c>
      <c r="E39" s="32">
        <f t="shared" si="6"/>
        <v>174475101</v>
      </c>
      <c r="F39" s="67">
        <v>1</v>
      </c>
      <c r="G39" s="61">
        <f t="shared" si="7"/>
        <v>174475101</v>
      </c>
      <c r="I39" s="108"/>
      <c r="J39" s="108"/>
      <c r="K39" s="108"/>
    </row>
    <row r="40" spans="2:11" ht="14.25" thickBot="1" x14ac:dyDescent="0.35">
      <c r="B40" s="30" t="s">
        <v>41</v>
      </c>
      <c r="C40" s="101">
        <f>SUM(C33:C39)</f>
        <v>9289042127</v>
      </c>
      <c r="D40" s="101">
        <f>SUM(D33:D39)</f>
        <v>27647453</v>
      </c>
      <c r="E40" s="102">
        <f>SUM(E33:E39)</f>
        <v>9261394674</v>
      </c>
      <c r="F40" s="67"/>
      <c r="G40" s="61">
        <f>SUM(G33:G39)</f>
        <v>238990364</v>
      </c>
      <c r="H40" s="108"/>
      <c r="I40" s="108"/>
      <c r="J40" s="108"/>
      <c r="K40" s="108"/>
    </row>
    <row r="41" spans="2:11" ht="14.25" thickBot="1" x14ac:dyDescent="0.35">
      <c r="B41" s="108"/>
      <c r="E41" s="109"/>
      <c r="F41" s="110"/>
      <c r="G41" s="115"/>
      <c r="H41" s="108"/>
      <c r="I41" s="108"/>
      <c r="J41" s="108"/>
      <c r="K41" s="108"/>
    </row>
    <row r="42" spans="2:11" ht="14.25" thickBot="1" x14ac:dyDescent="0.35">
      <c r="G42" s="33">
        <f>G40</f>
        <v>238990364</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17" t="s">
        <v>356</v>
      </c>
      <c r="D47" s="19" t="s">
        <v>359</v>
      </c>
    </row>
    <row r="48" spans="2:11" x14ac:dyDescent="0.3">
      <c r="B48" s="20" t="s">
        <v>26</v>
      </c>
      <c r="C48" s="34">
        <v>0</v>
      </c>
      <c r="D48" s="35">
        <v>0</v>
      </c>
      <c r="F48" s="173" t="s">
        <v>85</v>
      </c>
      <c r="G48" s="173"/>
      <c r="H48" s="173"/>
      <c r="I48" s="173"/>
    </row>
    <row r="49" spans="1:10" x14ac:dyDescent="0.3">
      <c r="B49" s="22" t="s">
        <v>38</v>
      </c>
      <c r="C49" s="36">
        <v>0</v>
      </c>
      <c r="D49" s="37">
        <v>0</v>
      </c>
      <c r="F49" s="104" t="s">
        <v>90</v>
      </c>
      <c r="G49" s="105">
        <v>27647453</v>
      </c>
      <c r="H49" s="104"/>
      <c r="I49" s="105"/>
    </row>
    <row r="50" spans="1:10" x14ac:dyDescent="0.3">
      <c r="B50" s="22" t="s">
        <v>28</v>
      </c>
      <c r="C50" s="36">
        <v>0</v>
      </c>
      <c r="D50" s="37">
        <v>0</v>
      </c>
      <c r="F50" s="104"/>
      <c r="G50" s="105"/>
      <c r="H50" s="104"/>
      <c r="I50" s="105"/>
    </row>
    <row r="51" spans="1:10" x14ac:dyDescent="0.3">
      <c r="B51" s="22" t="s">
        <v>29</v>
      </c>
      <c r="C51" s="36">
        <v>0</v>
      </c>
      <c r="D51" s="37">
        <v>0</v>
      </c>
      <c r="F51" s="104"/>
      <c r="G51" s="105"/>
      <c r="H51" s="106"/>
      <c r="I51" s="106"/>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27647453</v>
      </c>
      <c r="D54" s="41">
        <f>C54</f>
        <v>27647453</v>
      </c>
    </row>
    <row r="55" spans="1:10" ht="14.25" thickBot="1" x14ac:dyDescent="0.35">
      <c r="B55" s="46" t="s">
        <v>11</v>
      </c>
      <c r="C55" s="47">
        <f>SUM(C48:C54)</f>
        <v>27647453</v>
      </c>
      <c r="D55" s="48">
        <f>SUM(D48:D54)</f>
        <v>27647453</v>
      </c>
    </row>
    <row r="56" spans="1:10" ht="14.25" thickBot="1" x14ac:dyDescent="0.35"/>
    <row r="57" spans="1:10" ht="14.25" thickBot="1" x14ac:dyDescent="0.35">
      <c r="E57" s="33">
        <f>D55</f>
        <v>27647453</v>
      </c>
      <c r="F57" s="2" t="s">
        <v>51</v>
      </c>
    </row>
    <row r="59" spans="1:10" x14ac:dyDescent="0.3">
      <c r="B59" s="111" t="s">
        <v>12</v>
      </c>
    </row>
    <row r="60" spans="1:10" x14ac:dyDescent="0.3">
      <c r="B60" s="2" t="s">
        <v>20</v>
      </c>
      <c r="H60" s="118"/>
      <c r="I60" s="118"/>
      <c r="J60" s="118"/>
    </row>
    <row r="61" spans="1:10" x14ac:dyDescent="0.3">
      <c r="B61" s="42" t="s">
        <v>14</v>
      </c>
      <c r="C61" s="42" t="s">
        <v>15</v>
      </c>
      <c r="D61" s="42" t="s">
        <v>98</v>
      </c>
      <c r="E61" s="42" t="s">
        <v>52</v>
      </c>
      <c r="H61" s="43"/>
      <c r="I61" s="119"/>
      <c r="J61" s="119"/>
    </row>
    <row r="62" spans="1:10" x14ac:dyDescent="0.3">
      <c r="A62" s="2" t="s">
        <v>18</v>
      </c>
      <c r="B62" s="103" t="s">
        <v>100</v>
      </c>
      <c r="C62" s="43" t="s">
        <v>4</v>
      </c>
      <c r="D62" s="44">
        <v>9289042127</v>
      </c>
      <c r="E62" s="43"/>
      <c r="H62" s="43"/>
      <c r="I62" s="119"/>
      <c r="J62" s="119"/>
    </row>
    <row r="63" spans="1:10" x14ac:dyDescent="0.3">
      <c r="A63" s="2" t="s">
        <v>19</v>
      </c>
      <c r="B63" s="43">
        <v>1110321</v>
      </c>
      <c r="C63" s="43" t="s">
        <v>13</v>
      </c>
      <c r="D63" s="44">
        <v>266637817</v>
      </c>
      <c r="E63" s="45">
        <f>D63-G42-E57</f>
        <v>0</v>
      </c>
      <c r="F63" s="2" t="s">
        <v>16</v>
      </c>
      <c r="H63" s="43"/>
      <c r="I63" s="119"/>
      <c r="J63" s="119"/>
    </row>
    <row r="64" spans="1:10" x14ac:dyDescent="0.3">
      <c r="B64" s="43"/>
      <c r="C64" s="43" t="s">
        <v>101</v>
      </c>
      <c r="D64" s="45">
        <f>D62-D63</f>
        <v>9022404310</v>
      </c>
      <c r="E64" s="45">
        <f>D64-E40-C55+G42+E57</f>
        <v>0</v>
      </c>
      <c r="F64" s="2" t="s">
        <v>16</v>
      </c>
      <c r="H64" s="106"/>
      <c r="I64" s="120"/>
      <c r="J64" s="107"/>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2060"/>
  </sheetPr>
  <dimension ref="A2:O64"/>
  <sheetViews>
    <sheetView topLeftCell="B37" zoomScaleNormal="100" workbookViewId="0">
      <selection activeCell="I61" sqref="I61:I62"/>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3</v>
      </c>
      <c r="D11" s="4" t="s">
        <v>70</v>
      </c>
      <c r="E11" s="4" t="s">
        <v>71</v>
      </c>
      <c r="F11" s="4" t="s">
        <v>72</v>
      </c>
      <c r="G11" s="4" t="s">
        <v>75</v>
      </c>
      <c r="H11" s="4" t="s">
        <v>76</v>
      </c>
      <c r="I11" s="4" t="s">
        <v>73</v>
      </c>
      <c r="J11" s="4" t="s">
        <v>74</v>
      </c>
      <c r="K11" s="4" t="s">
        <v>246</v>
      </c>
      <c r="L11" s="73" t="s">
        <v>355</v>
      </c>
      <c r="M11" s="4" t="s">
        <v>362</v>
      </c>
      <c r="N11" s="80" t="s">
        <v>364</v>
      </c>
    </row>
    <row r="12" spans="2:14" x14ac:dyDescent="0.3">
      <c r="B12" s="5" t="s">
        <v>27</v>
      </c>
      <c r="C12" s="6">
        <v>2374636960</v>
      </c>
      <c r="D12" s="6">
        <v>2410631543</v>
      </c>
      <c r="E12" s="6">
        <v>2356271451</v>
      </c>
      <c r="F12" s="6">
        <v>2400410640</v>
      </c>
      <c r="G12" s="6">
        <v>2092236726</v>
      </c>
      <c r="H12" s="6">
        <v>2125383029</v>
      </c>
      <c r="I12" s="6">
        <v>1838003129</v>
      </c>
      <c r="J12" s="6">
        <v>2474596079</v>
      </c>
      <c r="K12" s="6">
        <v>2202685666</v>
      </c>
      <c r="L12" s="74">
        <v>2448094402</v>
      </c>
      <c r="M12" s="6">
        <v>2436043383</v>
      </c>
      <c r="N12" s="81">
        <v>2452539804</v>
      </c>
    </row>
    <row r="13" spans="2:14" x14ac:dyDescent="0.3">
      <c r="B13" s="7" t="s">
        <v>39</v>
      </c>
      <c r="C13" s="6">
        <v>149024338</v>
      </c>
      <c r="D13" s="6">
        <v>116141529</v>
      </c>
      <c r="E13" s="6">
        <v>136900316</v>
      </c>
      <c r="F13" s="6">
        <v>177719656</v>
      </c>
      <c r="G13" s="6">
        <v>100426870</v>
      </c>
      <c r="H13" s="6">
        <v>274267577</v>
      </c>
      <c r="I13" s="6">
        <v>238208478</v>
      </c>
      <c r="J13" s="6">
        <v>167868169</v>
      </c>
      <c r="K13" s="6">
        <v>112476407</v>
      </c>
      <c r="L13" s="74">
        <v>46121428</v>
      </c>
      <c r="M13" s="6">
        <v>45386643</v>
      </c>
      <c r="N13" s="81">
        <v>166622154</v>
      </c>
    </row>
    <row r="14" spans="2:14" x14ac:dyDescent="0.3">
      <c r="B14" s="7" t="s">
        <v>92</v>
      </c>
      <c r="C14" s="6">
        <v>25216781</v>
      </c>
      <c r="D14" s="6">
        <v>20903166</v>
      </c>
      <c r="E14" s="6">
        <v>70568872</v>
      </c>
      <c r="F14" s="6">
        <v>24276453</v>
      </c>
      <c r="G14" s="6">
        <v>15932348</v>
      </c>
      <c r="H14" s="6">
        <v>5500521</v>
      </c>
      <c r="I14" s="6"/>
      <c r="J14" s="6">
        <v>73921998</v>
      </c>
      <c r="K14" s="6"/>
      <c r="L14" s="74">
        <v>1992302</v>
      </c>
      <c r="M14" s="6"/>
      <c r="N14" s="81"/>
    </row>
    <row r="15" spans="2:14" x14ac:dyDescent="0.3">
      <c r="B15" s="7" t="s">
        <v>30</v>
      </c>
      <c r="C15" s="6">
        <v>36625824</v>
      </c>
      <c r="D15" s="6">
        <v>25216781</v>
      </c>
      <c r="E15" s="6">
        <v>10901915</v>
      </c>
      <c r="F15" s="6">
        <v>59932773</v>
      </c>
      <c r="G15" s="6"/>
      <c r="H15" s="6">
        <v>3905000</v>
      </c>
      <c r="I15" s="6"/>
      <c r="J15" s="6"/>
      <c r="K15" s="6">
        <v>63921998</v>
      </c>
      <c r="L15" s="74"/>
      <c r="M15" s="6">
        <v>1992302</v>
      </c>
      <c r="N15" s="81"/>
    </row>
    <row r="16" spans="2:14" x14ac:dyDescent="0.3">
      <c r="B16" s="7" t="s">
        <v>32</v>
      </c>
      <c r="C16" s="6">
        <v>31007597</v>
      </c>
      <c r="D16" s="6">
        <v>13356968</v>
      </c>
      <c r="E16" s="6"/>
      <c r="F16" s="6"/>
      <c r="G16" s="6">
        <v>45408000</v>
      </c>
      <c r="H16" s="6"/>
      <c r="I16" s="6"/>
      <c r="J16" s="6"/>
      <c r="K16" s="6"/>
      <c r="L16" s="74">
        <v>61921998</v>
      </c>
      <c r="M16" s="6"/>
      <c r="N16" s="81">
        <v>204802</v>
      </c>
    </row>
    <row r="17" spans="2:15" x14ac:dyDescent="0.3">
      <c r="B17" s="7" t="s">
        <v>34</v>
      </c>
      <c r="C17" s="6">
        <v>18937160</v>
      </c>
      <c r="D17" s="6"/>
      <c r="E17" s="6"/>
      <c r="F17" s="6"/>
      <c r="G17" s="6"/>
      <c r="H17" s="6"/>
      <c r="I17" s="6"/>
      <c r="J17" s="6"/>
      <c r="K17" s="6"/>
      <c r="L17" s="74"/>
      <c r="M17" s="6">
        <v>53327600</v>
      </c>
      <c r="N17" s="81"/>
    </row>
    <row r="18" spans="2:15" ht="14.25" thickBot="1" x14ac:dyDescent="0.35">
      <c r="B18" s="8" t="s">
        <v>93</v>
      </c>
      <c r="C18" s="9">
        <v>926293798</v>
      </c>
      <c r="D18" s="9">
        <v>945230958</v>
      </c>
      <c r="E18" s="9">
        <v>904155172</v>
      </c>
      <c r="F18" s="9">
        <v>899495522</v>
      </c>
      <c r="G18" s="9">
        <v>880558362</v>
      </c>
      <c r="H18" s="9">
        <v>880558362</v>
      </c>
      <c r="I18" s="9">
        <v>414321318</v>
      </c>
      <c r="J18" s="9">
        <v>414321318</v>
      </c>
      <c r="K18" s="9">
        <v>414321318</v>
      </c>
      <c r="L18" s="75">
        <v>414321318</v>
      </c>
      <c r="M18" s="9">
        <v>414321318</v>
      </c>
      <c r="N18" s="82">
        <v>467648918</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4.8909172625696856E-2</v>
      </c>
      <c r="D21" s="11">
        <f>IF(IFERROR(E13/D12,0)&gt;1,1,IFERROR(E13/D12,0))</f>
        <v>5.6790228435171522E-2</v>
      </c>
      <c r="E21" s="11">
        <f t="shared" ref="E21:M21" si="0">IF(IFERROR(F13/E12,0)&gt;1,1,IFERROR(F13/E12,0))</f>
        <v>7.5424101040894878E-2</v>
      </c>
      <c r="F21" s="11">
        <f t="shared" si="0"/>
        <v>4.1837370792524066E-2</v>
      </c>
      <c r="G21" s="11">
        <f t="shared" si="0"/>
        <v>0.13108821463255396</v>
      </c>
      <c r="H21" s="11">
        <f t="shared" si="0"/>
        <v>0.11207790537034537</v>
      </c>
      <c r="I21" s="11">
        <f t="shared" si="0"/>
        <v>9.1331818945994847E-2</v>
      </c>
      <c r="J21" s="11">
        <f t="shared" si="0"/>
        <v>4.5452430784361557E-2</v>
      </c>
      <c r="K21" s="11">
        <f t="shared" si="0"/>
        <v>2.0938724354508057E-2</v>
      </c>
      <c r="L21" s="11">
        <f t="shared" si="0"/>
        <v>1.8539580402994606E-2</v>
      </c>
      <c r="M21" s="83">
        <f t="shared" si="0"/>
        <v>6.8398680894920669E-2</v>
      </c>
      <c r="N21" s="84">
        <f>AVERAGE(C21:M21)</f>
        <v>6.4617111661815121E-2</v>
      </c>
      <c r="O21" s="174" t="s">
        <v>58</v>
      </c>
    </row>
    <row r="22" spans="2:15" x14ac:dyDescent="0.3">
      <c r="B22" s="13" t="s">
        <v>61</v>
      </c>
      <c r="C22" s="14">
        <f>IF(IFERROR(D14/C13,0)&gt;1,1,IFERROR(D14/C13,0))</f>
        <v>0.14026679319991342</v>
      </c>
      <c r="D22" s="14">
        <f t="shared" ref="D22:M22" si="1">IF(IFERROR(E14/D13,0)&gt;1,1,IFERROR(E14/D13,0))</f>
        <v>0.60761101225040703</v>
      </c>
      <c r="E22" s="14">
        <f t="shared" si="1"/>
        <v>0.17732941536818658</v>
      </c>
      <c r="F22" s="14">
        <f t="shared" si="1"/>
        <v>8.9648766819580158E-2</v>
      </c>
      <c r="G22" s="14">
        <f t="shared" si="1"/>
        <v>5.4771407293685445E-2</v>
      </c>
      <c r="H22" s="14">
        <f t="shared" si="1"/>
        <v>0</v>
      </c>
      <c r="I22" s="14">
        <f t="shared" si="1"/>
        <v>0.31032479876723784</v>
      </c>
      <c r="J22" s="14">
        <f t="shared" si="1"/>
        <v>0</v>
      </c>
      <c r="K22" s="14">
        <f t="shared" si="1"/>
        <v>1.7713065816549422E-2</v>
      </c>
      <c r="L22" s="14">
        <f t="shared" si="1"/>
        <v>0</v>
      </c>
      <c r="M22" s="85">
        <f t="shared" si="1"/>
        <v>0</v>
      </c>
      <c r="N22" s="86">
        <f t="shared" ref="N22:N25" si="2">AVERAGE(C22:M22)</f>
        <v>0.12706047813777818</v>
      </c>
      <c r="O22" s="174"/>
    </row>
    <row r="23" spans="2:15" x14ac:dyDescent="0.3">
      <c r="B23" s="13" t="s">
        <v>62</v>
      </c>
      <c r="C23" s="14">
        <f t="shared" ref="C23:M25" si="3">IF(IFERROR(D15/C14,0)&gt;1,1,IFERROR(D15/C14,0))</f>
        <v>1</v>
      </c>
      <c r="D23" s="14">
        <f t="shared" si="3"/>
        <v>0.52154372213280997</v>
      </c>
      <c r="E23" s="14">
        <f t="shared" si="3"/>
        <v>0.84928058648861493</v>
      </c>
      <c r="F23" s="14">
        <f t="shared" si="3"/>
        <v>0</v>
      </c>
      <c r="G23" s="14">
        <f t="shared" si="3"/>
        <v>0.24509883916670663</v>
      </c>
      <c r="H23" s="14">
        <f t="shared" si="3"/>
        <v>0</v>
      </c>
      <c r="I23" s="14">
        <f t="shared" si="3"/>
        <v>0</v>
      </c>
      <c r="J23" s="14">
        <f t="shared" si="3"/>
        <v>0.86472227117021372</v>
      </c>
      <c r="K23" s="14">
        <f t="shared" si="3"/>
        <v>0</v>
      </c>
      <c r="L23" s="14">
        <f t="shared" si="3"/>
        <v>1</v>
      </c>
      <c r="M23" s="85">
        <f t="shared" si="3"/>
        <v>0</v>
      </c>
      <c r="N23" s="86">
        <f t="shared" si="2"/>
        <v>0.40733140172348592</v>
      </c>
      <c r="O23" s="174"/>
    </row>
    <row r="24" spans="2:15" x14ac:dyDescent="0.3">
      <c r="B24" s="13" t="s">
        <v>63</v>
      </c>
      <c r="C24" s="14">
        <f t="shared" si="3"/>
        <v>0.36468716717472349</v>
      </c>
      <c r="D24" s="14">
        <f t="shared" si="3"/>
        <v>0</v>
      </c>
      <c r="E24" s="14">
        <f t="shared" si="3"/>
        <v>0</v>
      </c>
      <c r="F24" s="14">
        <f t="shared" si="3"/>
        <v>0.75764890771865334</v>
      </c>
      <c r="G24" s="14">
        <f t="shared" si="3"/>
        <v>0</v>
      </c>
      <c r="H24" s="14">
        <f t="shared" si="3"/>
        <v>0</v>
      </c>
      <c r="I24" s="14">
        <f t="shared" si="3"/>
        <v>0</v>
      </c>
      <c r="J24" s="14">
        <f t="shared" si="3"/>
        <v>0</v>
      </c>
      <c r="K24" s="14">
        <f t="shared" si="3"/>
        <v>0.96871186660967634</v>
      </c>
      <c r="L24" s="14">
        <f t="shared" si="3"/>
        <v>0</v>
      </c>
      <c r="M24" s="87">
        <f t="shared" si="3"/>
        <v>0.10279666436112597</v>
      </c>
      <c r="N24" s="86">
        <f t="shared" si="2"/>
        <v>0.19944041871492535</v>
      </c>
      <c r="O24" s="174"/>
    </row>
    <row r="25" spans="2:15" ht="14.25" thickBot="1" x14ac:dyDescent="0.35">
      <c r="B25" s="15" t="s">
        <v>64</v>
      </c>
      <c r="C25" s="16">
        <f t="shared" si="3"/>
        <v>0</v>
      </c>
      <c r="D25" s="16">
        <f t="shared" si="3"/>
        <v>0</v>
      </c>
      <c r="E25" s="16">
        <f t="shared" si="3"/>
        <v>0</v>
      </c>
      <c r="F25" s="16">
        <f t="shared" si="3"/>
        <v>0</v>
      </c>
      <c r="G25" s="16">
        <f t="shared" si="3"/>
        <v>0</v>
      </c>
      <c r="H25" s="16">
        <f t="shared" si="3"/>
        <v>0</v>
      </c>
      <c r="I25" s="16">
        <f t="shared" si="3"/>
        <v>0</v>
      </c>
      <c r="J25" s="16">
        <f t="shared" si="3"/>
        <v>0</v>
      </c>
      <c r="K25" s="16">
        <f t="shared" si="3"/>
        <v>0</v>
      </c>
      <c r="L25" s="16">
        <f t="shared" si="3"/>
        <v>0.86120606121268894</v>
      </c>
      <c r="M25" s="88">
        <f t="shared" si="3"/>
        <v>0</v>
      </c>
      <c r="N25" s="89">
        <f t="shared" si="2"/>
        <v>7.8291460110244446E-2</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360</v>
      </c>
      <c r="D32" s="91" t="s">
        <v>361</v>
      </c>
      <c r="E32" s="92" t="s">
        <v>360</v>
      </c>
      <c r="F32" s="93" t="s">
        <v>360</v>
      </c>
      <c r="G32" s="56" t="s">
        <v>361</v>
      </c>
      <c r="I32" s="108"/>
      <c r="J32" s="108"/>
      <c r="K32" s="108"/>
    </row>
    <row r="33" spans="2:11" x14ac:dyDescent="0.3">
      <c r="B33" s="20" t="s">
        <v>26</v>
      </c>
      <c r="C33" s="94">
        <f t="shared" ref="C33:C38" si="4">N12</f>
        <v>2452539804</v>
      </c>
      <c r="D33" s="50">
        <f>C48</f>
        <v>0</v>
      </c>
      <c r="E33" s="95">
        <f>C33-D33</f>
        <v>2452539804</v>
      </c>
      <c r="F33" s="63">
        <f>PRODUCT(N21:$N$25)</f>
        <v>5.2219593689188152E-5</v>
      </c>
      <c r="G33" s="57">
        <f>ROUND(E33*F33,)</f>
        <v>128071</v>
      </c>
      <c r="I33" s="108"/>
      <c r="J33" s="108"/>
      <c r="K33" s="108"/>
    </row>
    <row r="34" spans="2:11" x14ac:dyDescent="0.3">
      <c r="B34" s="22" t="s">
        <v>38</v>
      </c>
      <c r="C34" s="96">
        <f t="shared" si="4"/>
        <v>166622154</v>
      </c>
      <c r="D34" s="52">
        <f t="shared" ref="D34:D39" si="5">C49</f>
        <v>0</v>
      </c>
      <c r="E34" s="97">
        <f t="shared" ref="E34:E39" si="6">C34-D34</f>
        <v>166622154</v>
      </c>
      <c r="F34" s="64">
        <f>PRODUCT(N22:$N$25)</f>
        <v>8.0813877850945235E-4</v>
      </c>
      <c r="G34" s="58">
        <f t="shared" ref="G34:G37" si="7">ROUND(E34*F34,)</f>
        <v>134654</v>
      </c>
      <c r="I34" s="108"/>
      <c r="J34" s="108"/>
      <c r="K34" s="108"/>
    </row>
    <row r="35" spans="2:11" x14ac:dyDescent="0.3">
      <c r="B35" s="22" t="s">
        <v>28</v>
      </c>
      <c r="C35" s="96">
        <f t="shared" si="4"/>
        <v>0</v>
      </c>
      <c r="D35" s="52">
        <f t="shared" si="5"/>
        <v>0</v>
      </c>
      <c r="E35" s="97">
        <f t="shared" si="6"/>
        <v>0</v>
      </c>
      <c r="F35" s="64">
        <f>PRODUCT(N23:$N$25)</f>
        <v>6.3602686716883444E-3</v>
      </c>
      <c r="G35" s="58">
        <f t="shared" si="7"/>
        <v>0</v>
      </c>
      <c r="I35" s="108"/>
      <c r="J35" s="108"/>
      <c r="K35" s="108"/>
    </row>
    <row r="36" spans="2:11" x14ac:dyDescent="0.3">
      <c r="B36" s="22" t="s">
        <v>29</v>
      </c>
      <c r="C36" s="96">
        <f t="shared" si="4"/>
        <v>0</v>
      </c>
      <c r="D36" s="52">
        <f t="shared" si="5"/>
        <v>0</v>
      </c>
      <c r="E36" s="97">
        <f t="shared" si="6"/>
        <v>0</v>
      </c>
      <c r="F36" s="64">
        <f>PRODUCT(N24:$N$25)</f>
        <v>1.5614481586190028E-2</v>
      </c>
      <c r="G36" s="58">
        <f t="shared" si="7"/>
        <v>0</v>
      </c>
      <c r="I36" s="108"/>
      <c r="J36" s="108"/>
      <c r="K36" s="108"/>
    </row>
    <row r="37" spans="2:11" ht="14.25" thickBot="1" x14ac:dyDescent="0.35">
      <c r="B37" s="25" t="s">
        <v>31</v>
      </c>
      <c r="C37" s="98">
        <f t="shared" si="4"/>
        <v>204802</v>
      </c>
      <c r="D37" s="55">
        <f t="shared" si="5"/>
        <v>0</v>
      </c>
      <c r="E37" s="99">
        <f t="shared" si="6"/>
        <v>204802</v>
      </c>
      <c r="F37" s="67">
        <f>PRODUCT(N25:$N$25)</f>
        <v>7.8291460110244446E-2</v>
      </c>
      <c r="G37" s="59">
        <f t="shared" si="7"/>
        <v>16034</v>
      </c>
      <c r="I37" s="108"/>
      <c r="J37" s="108"/>
      <c r="K37" s="108"/>
    </row>
    <row r="38" spans="2:11" x14ac:dyDescent="0.3">
      <c r="B38" s="27" t="s">
        <v>33</v>
      </c>
      <c r="C38" s="94">
        <f t="shared" si="4"/>
        <v>0</v>
      </c>
      <c r="D38" s="50">
        <f t="shared" si="5"/>
        <v>0</v>
      </c>
      <c r="E38" s="29">
        <f t="shared" si="6"/>
        <v>0</v>
      </c>
      <c r="F38" s="100">
        <v>1</v>
      </c>
      <c r="G38" s="60">
        <f>ROUND(E38*F38,)</f>
        <v>0</v>
      </c>
      <c r="I38" s="108"/>
      <c r="J38" s="108"/>
      <c r="K38" s="108"/>
    </row>
    <row r="39" spans="2:11" ht="14.25" thickBot="1" x14ac:dyDescent="0.35">
      <c r="B39" s="30" t="s">
        <v>35</v>
      </c>
      <c r="C39" s="98">
        <f>N18</f>
        <v>467648918</v>
      </c>
      <c r="D39" s="55">
        <f t="shared" si="5"/>
        <v>414321318</v>
      </c>
      <c r="E39" s="32">
        <f t="shared" si="6"/>
        <v>53327600</v>
      </c>
      <c r="F39" s="67">
        <v>1</v>
      </c>
      <c r="G39" s="61">
        <f>ROUND(E39*F39,)</f>
        <v>53327600</v>
      </c>
      <c r="I39" s="108"/>
      <c r="J39" s="108"/>
      <c r="K39" s="108"/>
    </row>
    <row r="40" spans="2:11" ht="14.25" thickBot="1" x14ac:dyDescent="0.35">
      <c r="B40" s="30" t="s">
        <v>41</v>
      </c>
      <c r="C40" s="101">
        <f>SUM(C33:C39)</f>
        <v>3087015678</v>
      </c>
      <c r="D40" s="101">
        <f>SUM(D33:D39)</f>
        <v>414321318</v>
      </c>
      <c r="E40" s="102">
        <f>SUM(E33:E39)</f>
        <v>2672694360</v>
      </c>
      <c r="F40" s="67"/>
      <c r="G40" s="61">
        <f>SUM(G33:G39)</f>
        <v>53606359</v>
      </c>
      <c r="H40" s="108"/>
      <c r="I40" s="108"/>
      <c r="J40" s="108"/>
      <c r="K40" s="108"/>
    </row>
    <row r="41" spans="2:11" ht="14.25" thickBot="1" x14ac:dyDescent="0.35">
      <c r="B41" s="108"/>
      <c r="E41" s="109"/>
      <c r="F41" s="110"/>
      <c r="G41" s="115"/>
      <c r="H41" s="108"/>
      <c r="I41" s="108"/>
      <c r="J41" s="108"/>
      <c r="K41" s="108"/>
    </row>
    <row r="42" spans="2:11" ht="14.25" thickBot="1" x14ac:dyDescent="0.35">
      <c r="G42" s="33">
        <f>G40</f>
        <v>53606359</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17" t="s">
        <v>361</v>
      </c>
      <c r="D47" s="19" t="s">
        <v>361</v>
      </c>
    </row>
    <row r="48" spans="2:11" x14ac:dyDescent="0.3">
      <c r="B48" s="20" t="s">
        <v>26</v>
      </c>
      <c r="C48" s="34">
        <v>0</v>
      </c>
      <c r="D48" s="35">
        <v>0</v>
      </c>
      <c r="F48" s="173" t="s">
        <v>85</v>
      </c>
      <c r="G48" s="173"/>
      <c r="H48" s="173"/>
      <c r="I48" s="173"/>
    </row>
    <row r="49" spans="1:10" x14ac:dyDescent="0.3">
      <c r="B49" s="22" t="s">
        <v>38</v>
      </c>
      <c r="C49" s="36">
        <v>0</v>
      </c>
      <c r="D49" s="37">
        <v>0</v>
      </c>
      <c r="F49" s="104" t="s">
        <v>86</v>
      </c>
      <c r="G49" s="105">
        <v>27256788</v>
      </c>
      <c r="H49" s="104" t="s">
        <v>87</v>
      </c>
      <c r="I49" s="105">
        <v>49060000</v>
      </c>
    </row>
    <row r="50" spans="1:10" x14ac:dyDescent="0.3">
      <c r="B50" s="22" t="s">
        <v>28</v>
      </c>
      <c r="C50" s="36">
        <v>0</v>
      </c>
      <c r="D50" s="37">
        <v>0</v>
      </c>
      <c r="F50" s="104" t="s">
        <v>88</v>
      </c>
      <c r="G50" s="105">
        <v>3228130</v>
      </c>
      <c r="H50" s="104" t="s">
        <v>89</v>
      </c>
      <c r="I50" s="105">
        <v>12000000</v>
      </c>
    </row>
    <row r="51" spans="1:10" x14ac:dyDescent="0.3">
      <c r="B51" s="22" t="s">
        <v>29</v>
      </c>
      <c r="C51" s="36">
        <v>0</v>
      </c>
      <c r="D51" s="37">
        <v>0</v>
      </c>
      <c r="F51" s="104" t="s">
        <v>354</v>
      </c>
      <c r="G51" s="105">
        <v>22776400</v>
      </c>
      <c r="H51" s="106" t="s">
        <v>365</v>
      </c>
      <c r="I51" s="105">
        <v>300000000</v>
      </c>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414321318</v>
      </c>
      <c r="D54" s="41">
        <f>C54</f>
        <v>414321318</v>
      </c>
    </row>
    <row r="55" spans="1:10" ht="14.25" thickBot="1" x14ac:dyDescent="0.35">
      <c r="B55" s="46" t="s">
        <v>11</v>
      </c>
      <c r="C55" s="47">
        <f>SUM(C48:C54)</f>
        <v>414321318</v>
      </c>
      <c r="D55" s="48">
        <f>SUM(D48:D54)</f>
        <v>414321318</v>
      </c>
    </row>
    <row r="56" spans="1:10" ht="14.25" thickBot="1" x14ac:dyDescent="0.35"/>
    <row r="57" spans="1:10" ht="14.25" thickBot="1" x14ac:dyDescent="0.35">
      <c r="E57" s="33">
        <f>D55</f>
        <v>414321318</v>
      </c>
      <c r="F57" s="2" t="s">
        <v>51</v>
      </c>
    </row>
    <row r="59" spans="1:10" x14ac:dyDescent="0.3">
      <c r="B59" s="111" t="s">
        <v>12</v>
      </c>
    </row>
    <row r="60" spans="1:10" x14ac:dyDescent="0.3">
      <c r="B60" s="2" t="s">
        <v>20</v>
      </c>
      <c r="H60" s="118" t="s">
        <v>83</v>
      </c>
      <c r="I60" s="118" t="s">
        <v>84</v>
      </c>
      <c r="J60" s="118" t="s">
        <v>78</v>
      </c>
    </row>
    <row r="61" spans="1:10" x14ac:dyDescent="0.3">
      <c r="B61" s="42" t="s">
        <v>14</v>
      </c>
      <c r="C61" s="42" t="s">
        <v>15</v>
      </c>
      <c r="D61" s="42" t="s">
        <v>98</v>
      </c>
      <c r="E61" s="42" t="s">
        <v>52</v>
      </c>
      <c r="H61" s="43" t="s">
        <v>80</v>
      </c>
      <c r="I61" s="119">
        <f>D63+'전이율 적용(2021.2Q)-수출'!D63</f>
        <v>691984473</v>
      </c>
      <c r="J61" s="119">
        <v>806659219</v>
      </c>
    </row>
    <row r="62" spans="1:10" x14ac:dyDescent="0.3">
      <c r="A62" s="2" t="s">
        <v>18</v>
      </c>
      <c r="B62" s="103" t="s">
        <v>100</v>
      </c>
      <c r="C62" s="43" t="s">
        <v>4</v>
      </c>
      <c r="D62" s="44">
        <v>3087015678</v>
      </c>
      <c r="E62" s="43"/>
      <c r="H62" s="43" t="s">
        <v>137</v>
      </c>
      <c r="I62" s="119">
        <v>734681124</v>
      </c>
      <c r="J62" s="119">
        <v>724707463</v>
      </c>
    </row>
    <row r="63" spans="1:10" x14ac:dyDescent="0.3">
      <c r="A63" s="2" t="s">
        <v>19</v>
      </c>
      <c r="B63" s="43">
        <v>1110321</v>
      </c>
      <c r="C63" s="43" t="s">
        <v>13</v>
      </c>
      <c r="D63" s="44">
        <v>467927677</v>
      </c>
      <c r="E63" s="45">
        <f>D63-G42-E57</f>
        <v>0</v>
      </c>
      <c r="F63" s="2" t="s">
        <v>16</v>
      </c>
      <c r="H63" s="43" t="s">
        <v>81</v>
      </c>
      <c r="I63" s="119"/>
      <c r="J63" s="119"/>
    </row>
    <row r="64" spans="1:10" x14ac:dyDescent="0.3">
      <c r="B64" s="43"/>
      <c r="C64" s="43" t="s">
        <v>101</v>
      </c>
      <c r="D64" s="45">
        <f>D62-D63</f>
        <v>2619088001</v>
      </c>
      <c r="E64" s="45">
        <f>D64-E40-C55+G42+E57</f>
        <v>0</v>
      </c>
      <c r="F64" s="2" t="s">
        <v>16</v>
      </c>
      <c r="H64" s="106" t="s">
        <v>82</v>
      </c>
      <c r="I64" s="120">
        <f>I61-I62+I63</f>
        <v>-42696651</v>
      </c>
      <c r="J64" s="107">
        <f>J61-J62+J63</f>
        <v>81951756</v>
      </c>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2060"/>
  </sheetPr>
  <dimension ref="A2:O64"/>
  <sheetViews>
    <sheetView topLeftCell="A22" zoomScaleNormal="100" workbookViewId="0">
      <selection activeCell="G33" sqref="G33:G37"/>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3</v>
      </c>
      <c r="D11" s="4" t="s">
        <v>70</v>
      </c>
      <c r="E11" s="4" t="s">
        <v>71</v>
      </c>
      <c r="F11" s="4" t="s">
        <v>72</v>
      </c>
      <c r="G11" s="4" t="s">
        <v>75</v>
      </c>
      <c r="H11" s="4" t="s">
        <v>76</v>
      </c>
      <c r="I11" s="4" t="s">
        <v>73</v>
      </c>
      <c r="J11" s="4" t="s">
        <v>74</v>
      </c>
      <c r="K11" s="4" t="s">
        <v>246</v>
      </c>
      <c r="L11" s="73" t="s">
        <v>355</v>
      </c>
      <c r="M11" s="4" t="s">
        <v>362</v>
      </c>
      <c r="N11" s="80" t="s">
        <v>360</v>
      </c>
    </row>
    <row r="12" spans="2:14" x14ac:dyDescent="0.3">
      <c r="B12" s="5" t="s">
        <v>27</v>
      </c>
      <c r="C12" s="6">
        <v>6069401036</v>
      </c>
      <c r="D12" s="6">
        <v>5998031028</v>
      </c>
      <c r="E12" s="6">
        <v>5574200261</v>
      </c>
      <c r="F12" s="6">
        <v>6022453750</v>
      </c>
      <c r="G12" s="6">
        <v>5392409126</v>
      </c>
      <c r="H12" s="6">
        <v>5474074544</v>
      </c>
      <c r="I12" s="6">
        <v>5476373785</v>
      </c>
      <c r="J12" s="6">
        <v>5197654177</v>
      </c>
      <c r="K12" s="6">
        <v>5226625839</v>
      </c>
      <c r="L12" s="74">
        <v>5177507228</v>
      </c>
      <c r="M12" s="6">
        <v>7686782434</v>
      </c>
      <c r="N12" s="81">
        <v>6513914814</v>
      </c>
    </row>
    <row r="13" spans="2:14" x14ac:dyDescent="0.3">
      <c r="B13" s="7" t="s">
        <v>39</v>
      </c>
      <c r="C13" s="6">
        <v>1134126857</v>
      </c>
      <c r="D13" s="6">
        <v>1179185313</v>
      </c>
      <c r="E13" s="6">
        <v>1781420905</v>
      </c>
      <c r="F13" s="6">
        <v>1931837477</v>
      </c>
      <c r="G13" s="6">
        <v>2157847550</v>
      </c>
      <c r="H13" s="6">
        <v>1668750550</v>
      </c>
      <c r="I13" s="6">
        <v>1895954647</v>
      </c>
      <c r="J13" s="6">
        <v>1734563258</v>
      </c>
      <c r="K13" s="6">
        <v>1217048730</v>
      </c>
      <c r="L13" s="74">
        <v>1057246878</v>
      </c>
      <c r="M13" s="6">
        <v>844001742</v>
      </c>
      <c r="N13" s="81">
        <v>1826886285</v>
      </c>
    </row>
    <row r="14" spans="2:14" x14ac:dyDescent="0.3">
      <c r="B14" s="7" t="s">
        <v>92</v>
      </c>
      <c r="C14" s="6">
        <v>413676759</v>
      </c>
      <c r="D14" s="6">
        <v>379171392</v>
      </c>
      <c r="E14" s="6">
        <v>576057660</v>
      </c>
      <c r="F14" s="6">
        <v>395061589</v>
      </c>
      <c r="G14" s="6">
        <v>888545016</v>
      </c>
      <c r="H14" s="6">
        <v>748393419</v>
      </c>
      <c r="I14" s="6">
        <v>979650983</v>
      </c>
      <c r="J14" s="6">
        <v>559786018</v>
      </c>
      <c r="K14" s="6">
        <v>239763111</v>
      </c>
      <c r="L14" s="74">
        <v>311848277</v>
      </c>
      <c r="M14" s="6">
        <v>392955886</v>
      </c>
      <c r="N14" s="81">
        <v>253537343</v>
      </c>
    </row>
    <row r="15" spans="2:14" x14ac:dyDescent="0.3">
      <c r="B15" s="7" t="s">
        <v>30</v>
      </c>
      <c r="C15" s="6">
        <v>203891615</v>
      </c>
      <c r="D15" s="6">
        <v>207544216</v>
      </c>
      <c r="E15" s="6">
        <v>159648530</v>
      </c>
      <c r="F15" s="6">
        <v>380736542</v>
      </c>
      <c r="G15" s="6">
        <v>164002785</v>
      </c>
      <c r="H15" s="6">
        <v>135164026</v>
      </c>
      <c r="I15" s="6">
        <v>446127690</v>
      </c>
      <c r="J15" s="6">
        <v>273503838</v>
      </c>
      <c r="K15" s="6">
        <v>283828249</v>
      </c>
      <c r="L15" s="74">
        <v>134444998</v>
      </c>
      <c r="M15" s="6">
        <v>159098911</v>
      </c>
      <c r="N15" s="81">
        <v>68481932</v>
      </c>
    </row>
    <row r="16" spans="2:14" x14ac:dyDescent="0.3">
      <c r="B16" s="7" t="s">
        <v>32</v>
      </c>
      <c r="C16" s="6">
        <v>80695475</v>
      </c>
      <c r="D16" s="6"/>
      <c r="E16" s="6">
        <v>90387652</v>
      </c>
      <c r="F16" s="6">
        <v>55818029</v>
      </c>
      <c r="G16" s="6">
        <v>7084007</v>
      </c>
      <c r="H16" s="6">
        <v>20193132</v>
      </c>
      <c r="I16" s="6">
        <v>35618067</v>
      </c>
      <c r="J16" s="6">
        <v>77613140</v>
      </c>
      <c r="K16" s="6">
        <v>56425025</v>
      </c>
      <c r="L16" s="74">
        <v>58227888</v>
      </c>
      <c r="M16" s="6"/>
      <c r="N16" s="81">
        <v>21947673</v>
      </c>
    </row>
    <row r="17" spans="2:15" x14ac:dyDescent="0.3">
      <c r="B17" s="7" t="s">
        <v>34</v>
      </c>
      <c r="C17" s="6">
        <v>31042138</v>
      </c>
      <c r="D17" s="6">
        <v>8724266</v>
      </c>
      <c r="E17" s="6"/>
      <c r="F17" s="6">
        <v>4916400</v>
      </c>
      <c r="G17" s="6">
        <v>973053</v>
      </c>
      <c r="H17" s="6"/>
      <c r="I17" s="6">
        <v>21323305</v>
      </c>
      <c r="J17" s="6">
        <v>34980053</v>
      </c>
      <c r="K17" s="6">
        <v>56383366</v>
      </c>
      <c r="L17" s="74">
        <v>52313956</v>
      </c>
      <c r="M17" s="6">
        <v>4080600</v>
      </c>
      <c r="N17" s="81"/>
    </row>
    <row r="18" spans="2:15" ht="14.25" thickBot="1" x14ac:dyDescent="0.35">
      <c r="B18" s="8" t="s">
        <v>93</v>
      </c>
      <c r="C18" s="9">
        <v>141956825</v>
      </c>
      <c r="D18" s="9">
        <v>155760917</v>
      </c>
      <c r="E18" s="9">
        <v>165142745</v>
      </c>
      <c r="F18" s="9">
        <v>165776943</v>
      </c>
      <c r="G18" s="9">
        <v>157888843</v>
      </c>
      <c r="H18" s="9">
        <v>132462486</v>
      </c>
      <c r="I18" s="9">
        <v>127164358</v>
      </c>
      <c r="J18" s="9">
        <v>148105707</v>
      </c>
      <c r="K18" s="9">
        <v>127164358</v>
      </c>
      <c r="L18" s="75">
        <v>168559690</v>
      </c>
      <c r="M18" s="9">
        <v>202122554</v>
      </c>
      <c r="N18" s="82">
        <v>172059100</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0.19428363787559744</v>
      </c>
      <c r="D21" s="11">
        <f>IF(IFERROR(E13/D12,0)&gt;1,1,IFERROR(E13/D12,0))</f>
        <v>0.29700094859195852</v>
      </c>
      <c r="E21" s="11">
        <f t="shared" ref="E21:M21" si="0">IF(IFERROR(F13/E12,0)&gt;1,1,IFERROR(F13/E12,0))</f>
        <v>0.346567648549719</v>
      </c>
      <c r="F21" s="11">
        <f t="shared" si="0"/>
        <v>0.35830039375561828</v>
      </c>
      <c r="G21" s="11">
        <f t="shared" si="0"/>
        <v>0.30946289701090457</v>
      </c>
      <c r="H21" s="11">
        <f t="shared" si="0"/>
        <v>0.3463516310858627</v>
      </c>
      <c r="I21" s="11">
        <f t="shared" si="0"/>
        <v>0.31673573172653702</v>
      </c>
      <c r="J21" s="11">
        <f t="shared" si="0"/>
        <v>0.23415346395793887</v>
      </c>
      <c r="K21" s="11">
        <f t="shared" si="0"/>
        <v>0.2022809572690363</v>
      </c>
      <c r="L21" s="11">
        <f t="shared" si="0"/>
        <v>0.16301314606296094</v>
      </c>
      <c r="M21" s="83">
        <f t="shared" si="0"/>
        <v>0.23766592858402735</v>
      </c>
      <c r="N21" s="84">
        <f>AVERAGE(C21:M21)</f>
        <v>0.27325603495183287</v>
      </c>
      <c r="O21" s="174" t="s">
        <v>58</v>
      </c>
    </row>
    <row r="22" spans="2:15" x14ac:dyDescent="0.3">
      <c r="B22" s="13" t="s">
        <v>61</v>
      </c>
      <c r="C22" s="14">
        <f>IF(IFERROR(D14/C13,0)&gt;1,1,IFERROR(D14/C13,0))</f>
        <v>0.33432890655899528</v>
      </c>
      <c r="D22" s="14">
        <f t="shared" ref="D22:M22" si="1">IF(IFERROR(E14/D13,0)&gt;1,1,IFERROR(E14/D13,0))</f>
        <v>0.48852173924591613</v>
      </c>
      <c r="E22" s="14">
        <f t="shared" si="1"/>
        <v>0.22176768437552383</v>
      </c>
      <c r="F22" s="14">
        <f t="shared" si="1"/>
        <v>0.45994812015959247</v>
      </c>
      <c r="G22" s="14">
        <f t="shared" si="1"/>
        <v>0.34682404649021659</v>
      </c>
      <c r="H22" s="14">
        <f t="shared" si="1"/>
        <v>0.58705657535213995</v>
      </c>
      <c r="I22" s="14">
        <f t="shared" si="1"/>
        <v>0.29525285263851569</v>
      </c>
      <c r="J22" s="14">
        <f t="shared" si="1"/>
        <v>0.13822678988165216</v>
      </c>
      <c r="K22" s="14">
        <f t="shared" si="1"/>
        <v>0.25623318878940859</v>
      </c>
      <c r="L22" s="14">
        <f t="shared" si="1"/>
        <v>0.37167845484051643</v>
      </c>
      <c r="M22" s="85">
        <f t="shared" si="1"/>
        <v>0.30039907547963329</v>
      </c>
      <c r="N22" s="86">
        <f t="shared" ref="N22:N25" si="2">AVERAGE(C22:M22)</f>
        <v>0.3454761303465555</v>
      </c>
      <c r="O22" s="174"/>
    </row>
    <row r="23" spans="2:15" x14ac:dyDescent="0.3">
      <c r="B23" s="13" t="s">
        <v>62</v>
      </c>
      <c r="C23" s="14">
        <f t="shared" ref="C23:M25" si="3">IF(IFERROR(D15/C14,0)&gt;1,1,IFERROR(D15/C14,0))</f>
        <v>0.50170625128108781</v>
      </c>
      <c r="D23" s="14">
        <f t="shared" si="3"/>
        <v>0.42104582088302694</v>
      </c>
      <c r="E23" s="14">
        <f t="shared" si="3"/>
        <v>0.6609347786469848</v>
      </c>
      <c r="F23" s="14">
        <f t="shared" si="3"/>
        <v>0.41513219600805079</v>
      </c>
      <c r="G23" s="14">
        <f t="shared" si="3"/>
        <v>0.15211837730909067</v>
      </c>
      <c r="H23" s="14">
        <f t="shared" si="3"/>
        <v>0.59611386026899305</v>
      </c>
      <c r="I23" s="14">
        <f t="shared" si="3"/>
        <v>0.27918497786063062</v>
      </c>
      <c r="J23" s="14">
        <f t="shared" si="3"/>
        <v>0.50702990048601038</v>
      </c>
      <c r="K23" s="14">
        <f t="shared" si="3"/>
        <v>0.56074096402594642</v>
      </c>
      <c r="L23" s="14">
        <f t="shared" si="3"/>
        <v>0.51018050357866818</v>
      </c>
      <c r="M23" s="85">
        <f t="shared" si="3"/>
        <v>0.17427384202612503</v>
      </c>
      <c r="N23" s="86">
        <f t="shared" si="2"/>
        <v>0.43440558839769222</v>
      </c>
      <c r="O23" s="174"/>
    </row>
    <row r="24" spans="2:15" x14ac:dyDescent="0.3">
      <c r="B24" s="13" t="s">
        <v>63</v>
      </c>
      <c r="C24" s="14">
        <f t="shared" si="3"/>
        <v>0</v>
      </c>
      <c r="D24" s="14">
        <f t="shared" si="3"/>
        <v>0.4355103396376992</v>
      </c>
      <c r="E24" s="14">
        <f t="shared" si="3"/>
        <v>0.34963071066172674</v>
      </c>
      <c r="F24" s="14">
        <f t="shared" si="3"/>
        <v>1.8606060145390509E-2</v>
      </c>
      <c r="G24" s="14">
        <f t="shared" si="3"/>
        <v>0.12312676275588856</v>
      </c>
      <c r="H24" s="14">
        <f t="shared" si="3"/>
        <v>0.26351735779163604</v>
      </c>
      <c r="I24" s="14">
        <f t="shared" si="3"/>
        <v>0.17397068538830218</v>
      </c>
      <c r="J24" s="14">
        <f t="shared" si="3"/>
        <v>0.20630432615720734</v>
      </c>
      <c r="K24" s="14">
        <f t="shared" si="3"/>
        <v>0.20515184166886785</v>
      </c>
      <c r="L24" s="14">
        <f t="shared" si="3"/>
        <v>0</v>
      </c>
      <c r="M24" s="87">
        <f t="shared" si="3"/>
        <v>0.13794986315148317</v>
      </c>
      <c r="N24" s="86">
        <f t="shared" si="2"/>
        <v>0.17397890430529103</v>
      </c>
      <c r="O24" s="174"/>
    </row>
    <row r="25" spans="2:15" ht="14.25" thickBot="1" x14ac:dyDescent="0.35">
      <c r="B25" s="15" t="s">
        <v>64</v>
      </c>
      <c r="C25" s="16">
        <f t="shared" si="3"/>
        <v>0.10811344750123845</v>
      </c>
      <c r="D25" s="16">
        <f t="shared" si="3"/>
        <v>0</v>
      </c>
      <c r="E25" s="16">
        <f t="shared" si="3"/>
        <v>5.4392385366974681E-2</v>
      </c>
      <c r="F25" s="16">
        <f t="shared" si="3"/>
        <v>1.7432593329298675E-2</v>
      </c>
      <c r="G25" s="16">
        <f t="shared" si="3"/>
        <v>0</v>
      </c>
      <c r="H25" s="16">
        <f t="shared" si="3"/>
        <v>1</v>
      </c>
      <c r="I25" s="16">
        <f t="shared" si="3"/>
        <v>0.98208734909729944</v>
      </c>
      <c r="J25" s="16">
        <f t="shared" si="3"/>
        <v>0.72646675550042172</v>
      </c>
      <c r="K25" s="16">
        <f t="shared" si="3"/>
        <v>0.92714103361053013</v>
      </c>
      <c r="L25" s="16">
        <f t="shared" si="3"/>
        <v>7.0079821545304885E-2</v>
      </c>
      <c r="M25" s="88">
        <f t="shared" si="3"/>
        <v>0</v>
      </c>
      <c r="N25" s="89">
        <f t="shared" si="2"/>
        <v>0.35324667145009708</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363</v>
      </c>
      <c r="D32" s="91" t="s">
        <v>363</v>
      </c>
      <c r="E32" s="92" t="s">
        <v>363</v>
      </c>
      <c r="F32" s="93" t="s">
        <v>363</v>
      </c>
      <c r="G32" s="56" t="s">
        <v>363</v>
      </c>
      <c r="I32" s="108"/>
      <c r="J32" s="108"/>
      <c r="K32" s="108"/>
    </row>
    <row r="33" spans="2:11" x14ac:dyDescent="0.3">
      <c r="B33" s="20" t="s">
        <v>26</v>
      </c>
      <c r="C33" s="94">
        <f t="shared" ref="C33:C39" si="4">N12</f>
        <v>6513914814</v>
      </c>
      <c r="D33" s="50">
        <f>C48</f>
        <v>0</v>
      </c>
      <c r="E33" s="95">
        <f>C33-D33</f>
        <v>6513914814</v>
      </c>
      <c r="F33" s="63">
        <f>PRODUCT(N21:$N$25)</f>
        <v>2.5203327451730219E-3</v>
      </c>
      <c r="G33" s="57">
        <f>ROUND(E33*F33,)</f>
        <v>16417233</v>
      </c>
      <c r="I33" s="108"/>
      <c r="J33" s="108"/>
      <c r="K33" s="108"/>
    </row>
    <row r="34" spans="2:11" x14ac:dyDescent="0.3">
      <c r="B34" s="22" t="s">
        <v>38</v>
      </c>
      <c r="C34" s="96">
        <f t="shared" si="4"/>
        <v>1826886285</v>
      </c>
      <c r="D34" s="52">
        <f t="shared" ref="D34:D39" si="5">C49</f>
        <v>0</v>
      </c>
      <c r="E34" s="97">
        <f t="shared" ref="E34:E39" si="6">C34-D34</f>
        <v>1826886285</v>
      </c>
      <c r="F34" s="64">
        <f>PRODUCT(N22:$N$25)</f>
        <v>9.2233379058482036E-3</v>
      </c>
      <c r="G34" s="58">
        <f t="shared" ref="G34:G39" si="7">ROUND(E34*F34,)</f>
        <v>16849990</v>
      </c>
      <c r="I34" s="108"/>
      <c r="J34" s="108"/>
      <c r="K34" s="108"/>
    </row>
    <row r="35" spans="2:11" x14ac:dyDescent="0.3">
      <c r="B35" s="22" t="s">
        <v>28</v>
      </c>
      <c r="C35" s="96">
        <f t="shared" si="4"/>
        <v>253537343</v>
      </c>
      <c r="D35" s="52">
        <f t="shared" si="5"/>
        <v>0</v>
      </c>
      <c r="E35" s="97">
        <f t="shared" si="6"/>
        <v>253537343</v>
      </c>
      <c r="F35" s="64">
        <f>PRODUCT(N23:$N$25)</f>
        <v>2.6697467916512931E-2</v>
      </c>
      <c r="G35" s="58">
        <f t="shared" si="7"/>
        <v>6768805</v>
      </c>
      <c r="I35" s="108"/>
      <c r="J35" s="108"/>
      <c r="K35" s="108"/>
    </row>
    <row r="36" spans="2:11" x14ac:dyDescent="0.3">
      <c r="B36" s="22" t="s">
        <v>29</v>
      </c>
      <c r="C36" s="96">
        <f t="shared" si="4"/>
        <v>68481932</v>
      </c>
      <c r="D36" s="52">
        <f t="shared" si="5"/>
        <v>0</v>
      </c>
      <c r="E36" s="97">
        <f t="shared" si="6"/>
        <v>68481932</v>
      </c>
      <c r="F36" s="64">
        <f>PRODUCT(N24:$N$25)</f>
        <v>6.1457468848379021E-2</v>
      </c>
      <c r="G36" s="58">
        <f t="shared" si="7"/>
        <v>4208726</v>
      </c>
      <c r="I36" s="108"/>
      <c r="J36" s="108"/>
      <c r="K36" s="108"/>
    </row>
    <row r="37" spans="2:11" ht="14.25" thickBot="1" x14ac:dyDescent="0.35">
      <c r="B37" s="25" t="s">
        <v>31</v>
      </c>
      <c r="C37" s="98">
        <f t="shared" si="4"/>
        <v>21947673</v>
      </c>
      <c r="D37" s="55">
        <f t="shared" si="5"/>
        <v>0</v>
      </c>
      <c r="E37" s="99">
        <f t="shared" si="6"/>
        <v>21947673</v>
      </c>
      <c r="F37" s="67">
        <f>PRODUCT(N25:$N$25)</f>
        <v>0.35324667145009708</v>
      </c>
      <c r="G37" s="59">
        <f t="shared" si="7"/>
        <v>7752942</v>
      </c>
      <c r="I37" s="108"/>
      <c r="J37" s="108"/>
      <c r="K37" s="108"/>
    </row>
    <row r="38" spans="2:11" x14ac:dyDescent="0.3">
      <c r="B38" s="27" t="s">
        <v>33</v>
      </c>
      <c r="C38" s="94">
        <f t="shared" si="4"/>
        <v>0</v>
      </c>
      <c r="D38" s="50">
        <f t="shared" si="5"/>
        <v>0</v>
      </c>
      <c r="E38" s="29">
        <f t="shared" si="6"/>
        <v>0</v>
      </c>
      <c r="F38" s="100">
        <v>1</v>
      </c>
      <c r="G38" s="60">
        <f t="shared" si="7"/>
        <v>0</v>
      </c>
      <c r="I38" s="108"/>
      <c r="J38" s="108"/>
      <c r="K38" s="108"/>
    </row>
    <row r="39" spans="2:11" ht="14.25" thickBot="1" x14ac:dyDescent="0.35">
      <c r="B39" s="30" t="s">
        <v>35</v>
      </c>
      <c r="C39" s="98">
        <f t="shared" si="4"/>
        <v>172059100</v>
      </c>
      <c r="D39" s="55">
        <f t="shared" si="5"/>
        <v>27647453</v>
      </c>
      <c r="E39" s="32">
        <f t="shared" si="6"/>
        <v>144411647</v>
      </c>
      <c r="F39" s="67">
        <v>1</v>
      </c>
      <c r="G39" s="61">
        <f t="shared" si="7"/>
        <v>144411647</v>
      </c>
      <c r="I39" s="108"/>
      <c r="J39" s="108"/>
      <c r="K39" s="108"/>
    </row>
    <row r="40" spans="2:11" ht="14.25" thickBot="1" x14ac:dyDescent="0.35">
      <c r="B40" s="30" t="s">
        <v>41</v>
      </c>
      <c r="C40" s="101">
        <f>SUM(C33:C39)</f>
        <v>8856827147</v>
      </c>
      <c r="D40" s="101">
        <f>SUM(D33:D39)</f>
        <v>27647453</v>
      </c>
      <c r="E40" s="102">
        <f>SUM(E33:E39)</f>
        <v>8829179694</v>
      </c>
      <c r="F40" s="67"/>
      <c r="G40" s="61">
        <f>SUM(G33:G39)</f>
        <v>196409343</v>
      </c>
      <c r="H40" s="108"/>
      <c r="I40" s="108"/>
      <c r="J40" s="108"/>
      <c r="K40" s="108"/>
    </row>
    <row r="41" spans="2:11" ht="14.25" thickBot="1" x14ac:dyDescent="0.35">
      <c r="B41" s="108"/>
      <c r="E41" s="109"/>
      <c r="F41" s="110"/>
      <c r="G41" s="115"/>
      <c r="H41" s="108"/>
      <c r="I41" s="108"/>
      <c r="J41" s="108"/>
      <c r="K41" s="108"/>
    </row>
    <row r="42" spans="2:11" ht="14.25" thickBot="1" x14ac:dyDescent="0.35">
      <c r="G42" s="33">
        <f>G40</f>
        <v>196409343</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17" t="s">
        <v>363</v>
      </c>
      <c r="D47" s="19" t="s">
        <v>363</v>
      </c>
    </row>
    <row r="48" spans="2:11" x14ac:dyDescent="0.3">
      <c r="B48" s="20" t="s">
        <v>26</v>
      </c>
      <c r="C48" s="34">
        <v>0</v>
      </c>
      <c r="D48" s="35">
        <v>0</v>
      </c>
      <c r="F48" s="173" t="s">
        <v>85</v>
      </c>
      <c r="G48" s="173"/>
      <c r="H48" s="173"/>
      <c r="I48" s="173"/>
    </row>
    <row r="49" spans="1:10" x14ac:dyDescent="0.3">
      <c r="B49" s="22" t="s">
        <v>38</v>
      </c>
      <c r="C49" s="36">
        <v>0</v>
      </c>
      <c r="D49" s="37">
        <v>0</v>
      </c>
      <c r="F49" s="104" t="s">
        <v>90</v>
      </c>
      <c r="G49" s="105">
        <v>27647453</v>
      </c>
      <c r="H49" s="104"/>
      <c r="I49" s="105"/>
    </row>
    <row r="50" spans="1:10" x14ac:dyDescent="0.3">
      <c r="B50" s="22" t="s">
        <v>28</v>
      </c>
      <c r="C50" s="36">
        <v>0</v>
      </c>
      <c r="D50" s="37">
        <v>0</v>
      </c>
      <c r="F50" s="104"/>
      <c r="G50" s="105"/>
      <c r="H50" s="104"/>
      <c r="I50" s="105"/>
    </row>
    <row r="51" spans="1:10" x14ac:dyDescent="0.3">
      <c r="B51" s="22" t="s">
        <v>29</v>
      </c>
      <c r="C51" s="36">
        <v>0</v>
      </c>
      <c r="D51" s="37">
        <v>0</v>
      </c>
      <c r="F51" s="104"/>
      <c r="G51" s="105"/>
      <c r="H51" s="106"/>
      <c r="I51" s="106"/>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27647453</v>
      </c>
      <c r="D54" s="41">
        <f>C54</f>
        <v>27647453</v>
      </c>
    </row>
    <row r="55" spans="1:10" ht="14.25" thickBot="1" x14ac:dyDescent="0.35">
      <c r="B55" s="46" t="s">
        <v>11</v>
      </c>
      <c r="C55" s="47">
        <f>SUM(C48:C54)</f>
        <v>27647453</v>
      </c>
      <c r="D55" s="48">
        <f>SUM(D48:D54)</f>
        <v>27647453</v>
      </c>
    </row>
    <row r="56" spans="1:10" ht="14.25" thickBot="1" x14ac:dyDescent="0.35"/>
    <row r="57" spans="1:10" ht="14.25" thickBot="1" x14ac:dyDescent="0.35">
      <c r="E57" s="33">
        <f>D55</f>
        <v>27647453</v>
      </c>
      <c r="F57" s="2" t="s">
        <v>51</v>
      </c>
    </row>
    <row r="59" spans="1:10" x14ac:dyDescent="0.3">
      <c r="B59" s="111" t="s">
        <v>12</v>
      </c>
    </row>
    <row r="60" spans="1:10" x14ac:dyDescent="0.3">
      <c r="B60" s="2" t="s">
        <v>20</v>
      </c>
      <c r="H60" s="118"/>
      <c r="I60" s="118"/>
      <c r="J60" s="118"/>
    </row>
    <row r="61" spans="1:10" x14ac:dyDescent="0.3">
      <c r="B61" s="42" t="s">
        <v>14</v>
      </c>
      <c r="C61" s="42" t="s">
        <v>15</v>
      </c>
      <c r="D61" s="42" t="s">
        <v>98</v>
      </c>
      <c r="E61" s="42" t="s">
        <v>52</v>
      </c>
      <c r="H61" s="43"/>
      <c r="I61" s="119"/>
      <c r="J61" s="119"/>
    </row>
    <row r="62" spans="1:10" x14ac:dyDescent="0.3">
      <c r="A62" s="2" t="s">
        <v>18</v>
      </c>
      <c r="B62" s="103" t="s">
        <v>100</v>
      </c>
      <c r="C62" s="43" t="s">
        <v>4</v>
      </c>
      <c r="D62" s="44">
        <v>8856827147</v>
      </c>
      <c r="E62" s="43"/>
      <c r="H62" s="43"/>
      <c r="I62" s="119"/>
      <c r="J62" s="119"/>
    </row>
    <row r="63" spans="1:10" x14ac:dyDescent="0.3">
      <c r="A63" s="2" t="s">
        <v>19</v>
      </c>
      <c r="B63" s="43">
        <v>1110321</v>
      </c>
      <c r="C63" s="43" t="s">
        <v>13</v>
      </c>
      <c r="D63" s="44">
        <v>224056796</v>
      </c>
      <c r="E63" s="45">
        <f>D63-G42-E57</f>
        <v>0</v>
      </c>
      <c r="F63" s="2" t="s">
        <v>16</v>
      </c>
      <c r="H63" s="43"/>
      <c r="I63" s="119"/>
      <c r="J63" s="119"/>
    </row>
    <row r="64" spans="1:10" x14ac:dyDescent="0.3">
      <c r="B64" s="43"/>
      <c r="C64" s="43" t="s">
        <v>101</v>
      </c>
      <c r="D64" s="45">
        <f>D62-D63</f>
        <v>8632770351</v>
      </c>
      <c r="E64" s="45">
        <f>D64-E40-C55+G42+E57</f>
        <v>0</v>
      </c>
      <c r="F64" s="2" t="s">
        <v>16</v>
      </c>
      <c r="H64" s="106"/>
      <c r="I64" s="120"/>
      <c r="J64" s="107"/>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2060"/>
  </sheetPr>
  <dimension ref="A2:O70"/>
  <sheetViews>
    <sheetView topLeftCell="A34" zoomScaleNormal="100" workbookViewId="0">
      <selection activeCell="D69" sqref="D69"/>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70</v>
      </c>
      <c r="D11" s="4" t="s">
        <v>71</v>
      </c>
      <c r="E11" s="4" t="s">
        <v>72</v>
      </c>
      <c r="F11" s="4" t="s">
        <v>75</v>
      </c>
      <c r="G11" s="4" t="s">
        <v>76</v>
      </c>
      <c r="H11" s="4" t="s">
        <v>73</v>
      </c>
      <c r="I11" s="4" t="s">
        <v>74</v>
      </c>
      <c r="J11" s="4" t="s">
        <v>246</v>
      </c>
      <c r="K11" s="4" t="s">
        <v>355</v>
      </c>
      <c r="L11" s="73" t="s">
        <v>362</v>
      </c>
      <c r="M11" s="4" t="s">
        <v>363</v>
      </c>
      <c r="N11" s="80" t="s">
        <v>366</v>
      </c>
    </row>
    <row r="12" spans="2:14" x14ac:dyDescent="0.3">
      <c r="B12" s="5" t="s">
        <v>27</v>
      </c>
      <c r="C12" s="6">
        <v>2410631543</v>
      </c>
      <c r="D12" s="6">
        <v>2356271451</v>
      </c>
      <c r="E12" s="6">
        <v>2400410640</v>
      </c>
      <c r="F12" s="6">
        <v>2092236726</v>
      </c>
      <c r="G12" s="6">
        <v>2125383029</v>
      </c>
      <c r="H12" s="6">
        <v>1838003129</v>
      </c>
      <c r="I12" s="6">
        <v>2474596079</v>
      </c>
      <c r="J12" s="6">
        <v>2202685666</v>
      </c>
      <c r="K12" s="6">
        <v>2448094402</v>
      </c>
      <c r="L12" s="74">
        <v>2436043383</v>
      </c>
      <c r="M12" s="6">
        <v>2452539804</v>
      </c>
      <c r="N12" s="81">
        <v>1715641447</v>
      </c>
    </row>
    <row r="13" spans="2:14" x14ac:dyDescent="0.3">
      <c r="B13" s="7" t="s">
        <v>39</v>
      </c>
      <c r="C13" s="6">
        <v>116141529</v>
      </c>
      <c r="D13" s="6">
        <v>136900316</v>
      </c>
      <c r="E13" s="6">
        <v>177719656</v>
      </c>
      <c r="F13" s="6">
        <v>100426870</v>
      </c>
      <c r="G13" s="6">
        <v>274267577</v>
      </c>
      <c r="H13" s="6">
        <v>238208478</v>
      </c>
      <c r="I13" s="6">
        <v>167868169</v>
      </c>
      <c r="J13" s="6">
        <v>112476407</v>
      </c>
      <c r="K13" s="6">
        <v>46121428</v>
      </c>
      <c r="L13" s="74">
        <v>45386643</v>
      </c>
      <c r="M13" s="6">
        <v>166622154</v>
      </c>
      <c r="N13" s="81">
        <v>161509038</v>
      </c>
    </row>
    <row r="14" spans="2:14" x14ac:dyDescent="0.3">
      <c r="B14" s="7" t="s">
        <v>92</v>
      </c>
      <c r="C14" s="6">
        <v>20903166</v>
      </c>
      <c r="D14" s="6">
        <v>70568872</v>
      </c>
      <c r="E14" s="6">
        <v>24276453</v>
      </c>
      <c r="F14" s="6">
        <v>15932348</v>
      </c>
      <c r="G14" s="6">
        <v>5500521</v>
      </c>
      <c r="H14" s="6"/>
      <c r="I14" s="6">
        <v>73921998</v>
      </c>
      <c r="J14" s="6"/>
      <c r="K14" s="6">
        <v>1992302</v>
      </c>
      <c r="L14" s="74"/>
      <c r="M14" s="6"/>
      <c r="N14" s="81"/>
    </row>
    <row r="15" spans="2:14" x14ac:dyDescent="0.3">
      <c r="B15" s="7" t="s">
        <v>30</v>
      </c>
      <c r="C15" s="6">
        <v>25216781</v>
      </c>
      <c r="D15" s="6">
        <v>10901915</v>
      </c>
      <c r="E15" s="6">
        <v>59932773</v>
      </c>
      <c r="F15" s="6"/>
      <c r="G15" s="6">
        <v>3905000</v>
      </c>
      <c r="H15" s="6"/>
      <c r="I15" s="6"/>
      <c r="J15" s="6">
        <v>63921998</v>
      </c>
      <c r="K15" s="6"/>
      <c r="L15" s="74">
        <v>1992302</v>
      </c>
      <c r="M15" s="6"/>
      <c r="N15" s="81"/>
    </row>
    <row r="16" spans="2:14" x14ac:dyDescent="0.3">
      <c r="B16" s="7" t="s">
        <v>32</v>
      </c>
      <c r="C16" s="6">
        <v>13356968</v>
      </c>
      <c r="D16" s="6"/>
      <c r="E16" s="6"/>
      <c r="F16" s="6">
        <v>45408000</v>
      </c>
      <c r="G16" s="6"/>
      <c r="H16" s="6"/>
      <c r="I16" s="6"/>
      <c r="J16" s="6"/>
      <c r="K16" s="6">
        <v>61921998</v>
      </c>
      <c r="L16" s="74"/>
      <c r="M16" s="6">
        <v>204802</v>
      </c>
      <c r="N16" s="81"/>
    </row>
    <row r="17" spans="2:15" x14ac:dyDescent="0.3">
      <c r="B17" s="7" t="s">
        <v>34</v>
      </c>
      <c r="C17" s="6"/>
      <c r="D17" s="6"/>
      <c r="E17" s="6"/>
      <c r="F17" s="6"/>
      <c r="G17" s="6"/>
      <c r="H17" s="6"/>
      <c r="I17" s="6"/>
      <c r="J17" s="6"/>
      <c r="K17" s="6"/>
      <c r="L17" s="74">
        <v>53327600</v>
      </c>
      <c r="M17" s="6"/>
      <c r="N17" s="81">
        <v>204802</v>
      </c>
    </row>
    <row r="18" spans="2:15" ht="14.25" thickBot="1" x14ac:dyDescent="0.35">
      <c r="B18" s="8" t="s">
        <v>93</v>
      </c>
      <c r="C18" s="9">
        <v>945230958</v>
      </c>
      <c r="D18" s="9">
        <v>904155172</v>
      </c>
      <c r="E18" s="9">
        <v>899495522</v>
      </c>
      <c r="F18" s="9">
        <v>880558362</v>
      </c>
      <c r="G18" s="9">
        <v>880558362</v>
      </c>
      <c r="H18" s="9">
        <v>414321318</v>
      </c>
      <c r="I18" s="9">
        <v>414321318</v>
      </c>
      <c r="J18" s="9">
        <v>414321318</v>
      </c>
      <c r="K18" s="9">
        <v>414321318</v>
      </c>
      <c r="L18" s="75">
        <v>414321318</v>
      </c>
      <c r="M18" s="9">
        <v>467648918</v>
      </c>
      <c r="N18" s="82">
        <v>414321318</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5.6790228435171522E-2</v>
      </c>
      <c r="D21" s="11">
        <f>IF(IFERROR(E13/D12,0)&gt;1,1,IFERROR(E13/D12,0))</f>
        <v>7.5424101040894878E-2</v>
      </c>
      <c r="E21" s="11">
        <f t="shared" ref="E21:M21" si="0">IF(IFERROR(F13/E12,0)&gt;1,1,IFERROR(F13/E12,0))</f>
        <v>4.1837370792524066E-2</v>
      </c>
      <c r="F21" s="11">
        <f t="shared" si="0"/>
        <v>0.13108821463255396</v>
      </c>
      <c r="G21" s="11">
        <f t="shared" si="0"/>
        <v>0.11207790537034537</v>
      </c>
      <c r="H21" s="11">
        <f t="shared" si="0"/>
        <v>9.1331818945994847E-2</v>
      </c>
      <c r="I21" s="11">
        <f t="shared" si="0"/>
        <v>4.5452430784361557E-2</v>
      </c>
      <c r="J21" s="11">
        <f t="shared" si="0"/>
        <v>2.0938724354508057E-2</v>
      </c>
      <c r="K21" s="11">
        <f t="shared" si="0"/>
        <v>1.8539580402994606E-2</v>
      </c>
      <c r="L21" s="11">
        <f t="shared" si="0"/>
        <v>6.8398680894920669E-2</v>
      </c>
      <c r="M21" s="83">
        <f t="shared" si="0"/>
        <v>6.585378868737822E-2</v>
      </c>
      <c r="N21" s="84">
        <f>AVERAGE(C21:M21)</f>
        <v>6.6157531303786155E-2</v>
      </c>
      <c r="O21" s="174" t="s">
        <v>58</v>
      </c>
    </row>
    <row r="22" spans="2:15" x14ac:dyDescent="0.3">
      <c r="B22" s="13" t="s">
        <v>61</v>
      </c>
      <c r="C22" s="14">
        <f>IF(IFERROR(D14/C13,0)&gt;1,1,IFERROR(D14/C13,0))</f>
        <v>0.60761101225040703</v>
      </c>
      <c r="D22" s="14">
        <f t="shared" ref="D22:M22" si="1">IF(IFERROR(E14/D13,0)&gt;1,1,IFERROR(E14/D13,0))</f>
        <v>0.17732941536818658</v>
      </c>
      <c r="E22" s="14">
        <f t="shared" si="1"/>
        <v>8.9648766819580158E-2</v>
      </c>
      <c r="F22" s="14">
        <f t="shared" si="1"/>
        <v>5.4771407293685445E-2</v>
      </c>
      <c r="G22" s="14">
        <f t="shared" si="1"/>
        <v>0</v>
      </c>
      <c r="H22" s="14">
        <f t="shared" si="1"/>
        <v>0.31032479876723784</v>
      </c>
      <c r="I22" s="14">
        <f t="shared" si="1"/>
        <v>0</v>
      </c>
      <c r="J22" s="14">
        <f t="shared" si="1"/>
        <v>1.7713065816549422E-2</v>
      </c>
      <c r="K22" s="14">
        <f t="shared" si="1"/>
        <v>0</v>
      </c>
      <c r="L22" s="14">
        <f t="shared" si="1"/>
        <v>0</v>
      </c>
      <c r="M22" s="85">
        <f t="shared" si="1"/>
        <v>0</v>
      </c>
      <c r="N22" s="86">
        <f t="shared" ref="N22:N25" si="2">AVERAGE(C22:M22)</f>
        <v>0.11430895148324059</v>
      </c>
      <c r="O22" s="174"/>
    </row>
    <row r="23" spans="2:15" x14ac:dyDescent="0.3">
      <c r="B23" s="13" t="s">
        <v>62</v>
      </c>
      <c r="C23" s="14">
        <f t="shared" ref="C23:M25" si="3">IF(IFERROR(D15/C14,0)&gt;1,1,IFERROR(D15/C14,0))</f>
        <v>0.52154372213280997</v>
      </c>
      <c r="D23" s="14">
        <f t="shared" si="3"/>
        <v>0.84928058648861493</v>
      </c>
      <c r="E23" s="14">
        <f t="shared" si="3"/>
        <v>0</v>
      </c>
      <c r="F23" s="14">
        <f t="shared" si="3"/>
        <v>0.24509883916670663</v>
      </c>
      <c r="G23" s="14">
        <f t="shared" si="3"/>
        <v>0</v>
      </c>
      <c r="H23" s="14">
        <f t="shared" si="3"/>
        <v>0</v>
      </c>
      <c r="I23" s="14">
        <f t="shared" si="3"/>
        <v>0.86472227117021372</v>
      </c>
      <c r="J23" s="14">
        <f t="shared" si="3"/>
        <v>0</v>
      </c>
      <c r="K23" s="14">
        <f t="shared" si="3"/>
        <v>1</v>
      </c>
      <c r="L23" s="14">
        <f t="shared" si="3"/>
        <v>0</v>
      </c>
      <c r="M23" s="85">
        <f t="shared" si="3"/>
        <v>0</v>
      </c>
      <c r="N23" s="86">
        <f t="shared" si="2"/>
        <v>0.31642231081439504</v>
      </c>
      <c r="O23" s="174"/>
    </row>
    <row r="24" spans="2:15" x14ac:dyDescent="0.3">
      <c r="B24" s="13" t="s">
        <v>63</v>
      </c>
      <c r="C24" s="14">
        <f t="shared" si="3"/>
        <v>0</v>
      </c>
      <c r="D24" s="14">
        <f t="shared" si="3"/>
        <v>0</v>
      </c>
      <c r="E24" s="14">
        <f t="shared" si="3"/>
        <v>0.75764890771865334</v>
      </c>
      <c r="F24" s="14">
        <f t="shared" si="3"/>
        <v>0</v>
      </c>
      <c r="G24" s="14">
        <f t="shared" si="3"/>
        <v>0</v>
      </c>
      <c r="H24" s="14">
        <f t="shared" si="3"/>
        <v>0</v>
      </c>
      <c r="I24" s="14">
        <f t="shared" si="3"/>
        <v>0</v>
      </c>
      <c r="J24" s="14">
        <f t="shared" si="3"/>
        <v>0.96871186660967634</v>
      </c>
      <c r="K24" s="14">
        <f t="shared" si="3"/>
        <v>0</v>
      </c>
      <c r="L24" s="14">
        <f t="shared" si="3"/>
        <v>0.10279666436112597</v>
      </c>
      <c r="M24" s="87">
        <f t="shared" si="3"/>
        <v>0</v>
      </c>
      <c r="N24" s="86">
        <f t="shared" si="2"/>
        <v>0.16628703988085961</v>
      </c>
      <c r="O24" s="174"/>
    </row>
    <row r="25" spans="2:15" ht="14.25" thickBot="1" x14ac:dyDescent="0.35">
      <c r="B25" s="15" t="s">
        <v>64</v>
      </c>
      <c r="C25" s="16">
        <f t="shared" si="3"/>
        <v>0</v>
      </c>
      <c r="D25" s="16">
        <f t="shared" si="3"/>
        <v>0</v>
      </c>
      <c r="E25" s="16">
        <f t="shared" si="3"/>
        <v>0</v>
      </c>
      <c r="F25" s="16">
        <f t="shared" si="3"/>
        <v>0</v>
      </c>
      <c r="G25" s="16">
        <f t="shared" si="3"/>
        <v>0</v>
      </c>
      <c r="H25" s="16">
        <f t="shared" si="3"/>
        <v>0</v>
      </c>
      <c r="I25" s="16">
        <f t="shared" si="3"/>
        <v>0</v>
      </c>
      <c r="J25" s="16">
        <f t="shared" si="3"/>
        <v>0</v>
      </c>
      <c r="K25" s="16">
        <f t="shared" si="3"/>
        <v>0.86120606121268894</v>
      </c>
      <c r="L25" s="16">
        <f t="shared" si="3"/>
        <v>0</v>
      </c>
      <c r="M25" s="88">
        <f t="shared" si="3"/>
        <v>1</v>
      </c>
      <c r="N25" s="89">
        <f t="shared" si="2"/>
        <v>0.16920055101933534</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367</v>
      </c>
      <c r="D32" s="91" t="s">
        <v>367</v>
      </c>
      <c r="E32" s="92" t="s">
        <v>367</v>
      </c>
      <c r="F32" s="93" t="s">
        <v>367</v>
      </c>
      <c r="G32" s="56" t="s">
        <v>367</v>
      </c>
      <c r="I32" s="108"/>
      <c r="J32" s="108"/>
      <c r="K32" s="108"/>
    </row>
    <row r="33" spans="2:11" x14ac:dyDescent="0.3">
      <c r="B33" s="20" t="s">
        <v>26</v>
      </c>
      <c r="C33" s="94">
        <f t="shared" ref="C33:C39" si="4">N12</f>
        <v>1715641447</v>
      </c>
      <c r="D33" s="50">
        <f>C48</f>
        <v>0</v>
      </c>
      <c r="E33" s="95">
        <f>C33-D33</f>
        <v>1715641447</v>
      </c>
      <c r="F33" s="63">
        <f>PRODUCT(N21:$N$25)</f>
        <v>6.7326618952682238E-5</v>
      </c>
      <c r="G33" s="57">
        <f>ROUND(E33*F33,)</f>
        <v>115508</v>
      </c>
      <c r="I33" s="108"/>
      <c r="J33" s="108"/>
      <c r="K33" s="108"/>
    </row>
    <row r="34" spans="2:11" x14ac:dyDescent="0.3">
      <c r="B34" s="22" t="s">
        <v>38</v>
      </c>
      <c r="C34" s="96">
        <f t="shared" si="4"/>
        <v>161509038</v>
      </c>
      <c r="D34" s="52">
        <f t="shared" ref="D34:D39" si="5">C49</f>
        <v>0</v>
      </c>
      <c r="E34" s="97">
        <f t="shared" ref="E34:E39" si="6">C34-D34</f>
        <v>161509038</v>
      </c>
      <c r="F34" s="64">
        <f>PRODUCT(N22:$N$25)</f>
        <v>1.0176712707662531E-3</v>
      </c>
      <c r="G34" s="58">
        <f t="shared" ref="G34:G37" si="7">ROUND(E34*F34,)</f>
        <v>164363</v>
      </c>
      <c r="I34" s="108"/>
      <c r="J34" s="108"/>
      <c r="K34" s="108"/>
    </row>
    <row r="35" spans="2:11" x14ac:dyDescent="0.3">
      <c r="B35" s="22" t="s">
        <v>28</v>
      </c>
      <c r="C35" s="96">
        <f t="shared" si="4"/>
        <v>0</v>
      </c>
      <c r="D35" s="52">
        <f t="shared" si="5"/>
        <v>0</v>
      </c>
      <c r="E35" s="97">
        <f t="shared" si="6"/>
        <v>0</v>
      </c>
      <c r="F35" s="64">
        <f>PRODUCT(N23:$N$25)</f>
        <v>8.9028134504012067E-3</v>
      </c>
      <c r="G35" s="58">
        <f t="shared" si="7"/>
        <v>0</v>
      </c>
      <c r="I35" s="108"/>
      <c r="J35" s="108"/>
      <c r="K35" s="108"/>
    </row>
    <row r="36" spans="2:11" x14ac:dyDescent="0.3">
      <c r="B36" s="22" t="s">
        <v>29</v>
      </c>
      <c r="C36" s="96">
        <f t="shared" si="4"/>
        <v>0</v>
      </c>
      <c r="D36" s="52">
        <f t="shared" si="5"/>
        <v>0</v>
      </c>
      <c r="E36" s="97">
        <f t="shared" si="6"/>
        <v>0</v>
      </c>
      <c r="F36" s="64">
        <f>PRODUCT(N24:$N$25)</f>
        <v>2.8135858775215638E-2</v>
      </c>
      <c r="G36" s="58">
        <f t="shared" si="7"/>
        <v>0</v>
      </c>
      <c r="I36" s="108"/>
      <c r="J36" s="108"/>
      <c r="K36" s="108"/>
    </row>
    <row r="37" spans="2:11" ht="14.25" thickBot="1" x14ac:dyDescent="0.35">
      <c r="B37" s="25" t="s">
        <v>31</v>
      </c>
      <c r="C37" s="98">
        <f t="shared" si="4"/>
        <v>0</v>
      </c>
      <c r="D37" s="55">
        <f t="shared" si="5"/>
        <v>0</v>
      </c>
      <c r="E37" s="99">
        <f t="shared" si="6"/>
        <v>0</v>
      </c>
      <c r="F37" s="67">
        <f>PRODUCT(N25:$N$25)</f>
        <v>0.16920055101933534</v>
      </c>
      <c r="G37" s="59">
        <f t="shared" si="7"/>
        <v>0</v>
      </c>
      <c r="I37" s="108"/>
      <c r="J37" s="108"/>
      <c r="K37" s="108"/>
    </row>
    <row r="38" spans="2:11" x14ac:dyDescent="0.3">
      <c r="B38" s="27" t="s">
        <v>33</v>
      </c>
      <c r="C38" s="94">
        <f t="shared" si="4"/>
        <v>204802</v>
      </c>
      <c r="D38" s="50">
        <f t="shared" si="5"/>
        <v>0</v>
      </c>
      <c r="E38" s="29">
        <f t="shared" si="6"/>
        <v>204802</v>
      </c>
      <c r="F38" s="100">
        <v>1</v>
      </c>
      <c r="G38" s="60">
        <f>ROUND(E38*F38,)</f>
        <v>204802</v>
      </c>
      <c r="I38" s="108"/>
      <c r="J38" s="108"/>
      <c r="K38" s="108"/>
    </row>
    <row r="39" spans="2:11" ht="14.25" thickBot="1" x14ac:dyDescent="0.35">
      <c r="B39" s="30" t="s">
        <v>35</v>
      </c>
      <c r="C39" s="98">
        <f t="shared" si="4"/>
        <v>414321318</v>
      </c>
      <c r="D39" s="55">
        <f t="shared" si="5"/>
        <v>414321318</v>
      </c>
      <c r="E39" s="32">
        <f t="shared" si="6"/>
        <v>0</v>
      </c>
      <c r="F39" s="67">
        <v>1</v>
      </c>
      <c r="G39" s="61">
        <f>ROUND(E39*F39,)</f>
        <v>0</v>
      </c>
      <c r="I39" s="108"/>
      <c r="J39" s="108"/>
      <c r="K39" s="108"/>
    </row>
    <row r="40" spans="2:11" ht="14.25" thickBot="1" x14ac:dyDescent="0.35">
      <c r="B40" s="30" t="s">
        <v>41</v>
      </c>
      <c r="C40" s="101">
        <f>SUM(C33:C39)</f>
        <v>2291676605</v>
      </c>
      <c r="D40" s="101">
        <f>SUM(D33:D39)</f>
        <v>414321318</v>
      </c>
      <c r="E40" s="102">
        <f>SUM(E33:E39)</f>
        <v>1877355287</v>
      </c>
      <c r="F40" s="67"/>
      <c r="G40" s="61">
        <f>SUM(G33:G39)</f>
        <v>484673</v>
      </c>
      <c r="H40" s="108"/>
      <c r="I40" s="108"/>
      <c r="J40" s="108"/>
      <c r="K40" s="108"/>
    </row>
    <row r="41" spans="2:11" ht="14.25" thickBot="1" x14ac:dyDescent="0.35">
      <c r="B41" s="108"/>
      <c r="E41" s="109"/>
      <c r="F41" s="110"/>
      <c r="G41" s="115"/>
      <c r="H41" s="108"/>
      <c r="I41" s="108"/>
      <c r="J41" s="108"/>
      <c r="K41" s="108"/>
    </row>
    <row r="42" spans="2:11" ht="14.25" thickBot="1" x14ac:dyDescent="0.35">
      <c r="G42" s="33">
        <f>G40</f>
        <v>484673</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17" t="s">
        <v>367</v>
      </c>
      <c r="D47" s="19" t="s">
        <v>367</v>
      </c>
    </row>
    <row r="48" spans="2:11" x14ac:dyDescent="0.3">
      <c r="B48" s="20" t="s">
        <v>26</v>
      </c>
      <c r="C48" s="34">
        <v>0</v>
      </c>
      <c r="D48" s="35">
        <v>0</v>
      </c>
      <c r="F48" s="173" t="s">
        <v>85</v>
      </c>
      <c r="G48" s="173"/>
      <c r="H48" s="173"/>
      <c r="I48" s="173"/>
    </row>
    <row r="49" spans="1:10" x14ac:dyDescent="0.3">
      <c r="B49" s="22" t="s">
        <v>38</v>
      </c>
      <c r="C49" s="36">
        <v>0</v>
      </c>
      <c r="D49" s="37">
        <v>0</v>
      </c>
      <c r="F49" s="104" t="s">
        <v>86</v>
      </c>
      <c r="G49" s="105">
        <v>27256788</v>
      </c>
      <c r="H49" s="104" t="s">
        <v>87</v>
      </c>
      <c r="I49" s="105">
        <v>49060000</v>
      </c>
    </row>
    <row r="50" spans="1:10" x14ac:dyDescent="0.3">
      <c r="B50" s="22" t="s">
        <v>28</v>
      </c>
      <c r="C50" s="36">
        <v>0</v>
      </c>
      <c r="D50" s="37">
        <v>0</v>
      </c>
      <c r="F50" s="104" t="s">
        <v>88</v>
      </c>
      <c r="G50" s="105">
        <v>3228130</v>
      </c>
      <c r="H50" s="104" t="s">
        <v>89</v>
      </c>
      <c r="I50" s="105">
        <v>12000000</v>
      </c>
    </row>
    <row r="51" spans="1:10" x14ac:dyDescent="0.3">
      <c r="B51" s="22" t="s">
        <v>29</v>
      </c>
      <c r="C51" s="36">
        <v>0</v>
      </c>
      <c r="D51" s="37">
        <v>0</v>
      </c>
      <c r="F51" s="104" t="s">
        <v>354</v>
      </c>
      <c r="G51" s="105">
        <v>22776400</v>
      </c>
      <c r="H51" s="106" t="s">
        <v>365</v>
      </c>
      <c r="I51" s="105">
        <v>300000000</v>
      </c>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414321318</v>
      </c>
      <c r="D54" s="41">
        <f>C54</f>
        <v>414321318</v>
      </c>
    </row>
    <row r="55" spans="1:10" ht="14.25" thickBot="1" x14ac:dyDescent="0.35">
      <c r="B55" s="46" t="s">
        <v>11</v>
      </c>
      <c r="C55" s="47">
        <f>SUM(C48:C54)</f>
        <v>414321318</v>
      </c>
      <c r="D55" s="48">
        <f>SUM(D48:D54)</f>
        <v>414321318</v>
      </c>
    </row>
    <row r="56" spans="1:10" ht="14.25" thickBot="1" x14ac:dyDescent="0.35"/>
    <row r="57" spans="1:10" ht="14.25" thickBot="1" x14ac:dyDescent="0.35">
      <c r="E57" s="33">
        <f>D55</f>
        <v>414321318</v>
      </c>
      <c r="F57" s="2" t="s">
        <v>51</v>
      </c>
    </row>
    <row r="59" spans="1:10" x14ac:dyDescent="0.3">
      <c r="B59" s="111" t="s">
        <v>12</v>
      </c>
    </row>
    <row r="60" spans="1:10" x14ac:dyDescent="0.3">
      <c r="B60" s="2" t="s">
        <v>20</v>
      </c>
      <c r="H60" s="118" t="s">
        <v>370</v>
      </c>
      <c r="I60" s="118" t="s">
        <v>84</v>
      </c>
      <c r="J60" s="118" t="s">
        <v>78</v>
      </c>
    </row>
    <row r="61" spans="1:10" x14ac:dyDescent="0.3">
      <c r="B61" s="42" t="s">
        <v>14</v>
      </c>
      <c r="C61" s="42" t="s">
        <v>15</v>
      </c>
      <c r="D61" s="42" t="s">
        <v>98</v>
      </c>
      <c r="E61" s="42" t="s">
        <v>52</v>
      </c>
      <c r="H61" s="43" t="s">
        <v>79</v>
      </c>
      <c r="I61" s="119">
        <f>D63+'전이율 적용(2021.3Q)-수출'!D63</f>
        <v>650528038</v>
      </c>
      <c r="J61" s="119">
        <v>739946819</v>
      </c>
    </row>
    <row r="62" spans="1:10" x14ac:dyDescent="0.3">
      <c r="A62" s="2" t="s">
        <v>18</v>
      </c>
      <c r="B62" s="103" t="s">
        <v>100</v>
      </c>
      <c r="C62" s="43" t="s">
        <v>4</v>
      </c>
      <c r="D62" s="44">
        <v>2291676605</v>
      </c>
      <c r="E62" s="43"/>
      <c r="H62" s="43" t="s">
        <v>369</v>
      </c>
      <c r="I62" s="119">
        <v>691984473</v>
      </c>
      <c r="J62" s="119">
        <v>806659219</v>
      </c>
    </row>
    <row r="63" spans="1:10" x14ac:dyDescent="0.3">
      <c r="A63" s="2" t="s">
        <v>19</v>
      </c>
      <c r="B63" s="43">
        <v>1110321</v>
      </c>
      <c r="C63" s="43" t="s">
        <v>13</v>
      </c>
      <c r="D63" s="44">
        <v>414805991</v>
      </c>
      <c r="E63" s="45">
        <f>D63-G42-E57</f>
        <v>0</v>
      </c>
      <c r="F63" s="2" t="s">
        <v>16</v>
      </c>
      <c r="H63" s="43" t="s">
        <v>81</v>
      </c>
      <c r="I63" s="119"/>
      <c r="J63" s="119"/>
    </row>
    <row r="64" spans="1:10" x14ac:dyDescent="0.3">
      <c r="B64" s="43"/>
      <c r="C64" s="43" t="s">
        <v>101</v>
      </c>
      <c r="D64" s="45">
        <f>D62-D63</f>
        <v>1876870614</v>
      </c>
      <c r="E64" s="45">
        <f>D64-E40-C55+G42+E57</f>
        <v>0</v>
      </c>
      <c r="F64" s="2" t="s">
        <v>16</v>
      </c>
      <c r="H64" s="106" t="s">
        <v>82</v>
      </c>
      <c r="I64" s="120">
        <f>I61-I62+I63</f>
        <v>-41456435</v>
      </c>
      <c r="J64" s="107">
        <f>J61-J62+J63</f>
        <v>-66712400</v>
      </c>
    </row>
    <row r="66" spans="8:10" x14ac:dyDescent="0.3">
      <c r="H66" s="118" t="s">
        <v>371</v>
      </c>
      <c r="I66" s="118" t="s">
        <v>84</v>
      </c>
      <c r="J66" s="118" t="s">
        <v>78</v>
      </c>
    </row>
    <row r="67" spans="8:10" x14ac:dyDescent="0.3">
      <c r="H67" s="43" t="s">
        <v>79</v>
      </c>
      <c r="I67" s="119">
        <f>D69+'전이율 적용(2021.3Q)-수출'!D69+80000000</f>
        <v>80000000</v>
      </c>
      <c r="J67" s="119"/>
    </row>
    <row r="68" spans="8:10" x14ac:dyDescent="0.3">
      <c r="H68" s="43" t="s">
        <v>369</v>
      </c>
      <c r="I68" s="119"/>
      <c r="J68" s="119"/>
    </row>
    <row r="69" spans="8:10" x14ac:dyDescent="0.3">
      <c r="H69" s="43" t="s">
        <v>81</v>
      </c>
      <c r="I69" s="119"/>
      <c r="J69" s="119"/>
    </row>
    <row r="70" spans="8:10" x14ac:dyDescent="0.3">
      <c r="H70" s="106" t="s">
        <v>82</v>
      </c>
      <c r="I70" s="120">
        <f>I67-I68+I69</f>
        <v>80000000</v>
      </c>
      <c r="J70" s="107">
        <f>J67-J68+J69</f>
        <v>0</v>
      </c>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2060"/>
  </sheetPr>
  <dimension ref="A2:O64"/>
  <sheetViews>
    <sheetView topLeftCell="A49" zoomScaleNormal="100" workbookViewId="0">
      <selection activeCell="D69" sqref="D69"/>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70</v>
      </c>
      <c r="D11" s="4" t="s">
        <v>71</v>
      </c>
      <c r="E11" s="4" t="s">
        <v>72</v>
      </c>
      <c r="F11" s="4" t="s">
        <v>75</v>
      </c>
      <c r="G11" s="4" t="s">
        <v>76</v>
      </c>
      <c r="H11" s="4" t="s">
        <v>73</v>
      </c>
      <c r="I11" s="4" t="s">
        <v>74</v>
      </c>
      <c r="J11" s="4" t="s">
        <v>246</v>
      </c>
      <c r="K11" s="4" t="s">
        <v>355</v>
      </c>
      <c r="L11" s="73" t="s">
        <v>362</v>
      </c>
      <c r="M11" s="4" t="s">
        <v>363</v>
      </c>
      <c r="N11" s="80" t="s">
        <v>367</v>
      </c>
    </row>
    <row r="12" spans="2:14" x14ac:dyDescent="0.3">
      <c r="B12" s="5" t="s">
        <v>27</v>
      </c>
      <c r="C12" s="6">
        <v>5998031028</v>
      </c>
      <c r="D12" s="6">
        <v>5574200261</v>
      </c>
      <c r="E12" s="6">
        <v>6022453750</v>
      </c>
      <c r="F12" s="6">
        <v>5392409126</v>
      </c>
      <c r="G12" s="6">
        <v>5474074544</v>
      </c>
      <c r="H12" s="6">
        <v>5476373785</v>
      </c>
      <c r="I12" s="6">
        <v>5197654177</v>
      </c>
      <c r="J12" s="6">
        <v>5226625839</v>
      </c>
      <c r="K12" s="6">
        <v>5177507228</v>
      </c>
      <c r="L12" s="74">
        <v>7686782434</v>
      </c>
      <c r="M12" s="6">
        <v>6513914814</v>
      </c>
      <c r="N12" s="81">
        <v>6967970393</v>
      </c>
    </row>
    <row r="13" spans="2:14" x14ac:dyDescent="0.3">
      <c r="B13" s="7" t="s">
        <v>39</v>
      </c>
      <c r="C13" s="6">
        <v>1179185313</v>
      </c>
      <c r="D13" s="6">
        <v>1781420905</v>
      </c>
      <c r="E13" s="6">
        <v>1931837477</v>
      </c>
      <c r="F13" s="6">
        <v>2157847550</v>
      </c>
      <c r="G13" s="6">
        <v>1668750550</v>
      </c>
      <c r="H13" s="6">
        <v>1895954647</v>
      </c>
      <c r="I13" s="6">
        <v>1734563258</v>
      </c>
      <c r="J13" s="6">
        <v>1217048730</v>
      </c>
      <c r="K13" s="6">
        <v>1057246878</v>
      </c>
      <c r="L13" s="74">
        <v>844001742</v>
      </c>
      <c r="M13" s="6">
        <v>1826886285</v>
      </c>
      <c r="N13" s="81">
        <v>1492293396</v>
      </c>
    </row>
    <row r="14" spans="2:14" x14ac:dyDescent="0.3">
      <c r="B14" s="7" t="s">
        <v>92</v>
      </c>
      <c r="C14" s="6">
        <v>379171392</v>
      </c>
      <c r="D14" s="6">
        <v>576057660</v>
      </c>
      <c r="E14" s="6">
        <v>395061589</v>
      </c>
      <c r="F14" s="6">
        <v>888545016</v>
      </c>
      <c r="G14" s="6">
        <v>748393419</v>
      </c>
      <c r="H14" s="6">
        <v>979650983</v>
      </c>
      <c r="I14" s="6">
        <v>559786018</v>
      </c>
      <c r="J14" s="6">
        <v>239763111</v>
      </c>
      <c r="K14" s="6">
        <v>311848277</v>
      </c>
      <c r="L14" s="74">
        <v>392955886</v>
      </c>
      <c r="M14" s="6">
        <v>253537343</v>
      </c>
      <c r="N14" s="81">
        <v>417162571</v>
      </c>
    </row>
    <row r="15" spans="2:14" x14ac:dyDescent="0.3">
      <c r="B15" s="7" t="s">
        <v>30</v>
      </c>
      <c r="C15" s="6">
        <v>207544216</v>
      </c>
      <c r="D15" s="6">
        <v>159648530</v>
      </c>
      <c r="E15" s="6">
        <v>380736542</v>
      </c>
      <c r="F15" s="6">
        <v>164002785</v>
      </c>
      <c r="G15" s="6">
        <v>135164026</v>
      </c>
      <c r="H15" s="6">
        <v>446127690</v>
      </c>
      <c r="I15" s="6">
        <v>273503838</v>
      </c>
      <c r="J15" s="6">
        <v>283828249</v>
      </c>
      <c r="K15" s="6">
        <v>134444998</v>
      </c>
      <c r="L15" s="74">
        <v>159098911</v>
      </c>
      <c r="M15" s="6">
        <v>68481932</v>
      </c>
      <c r="N15" s="81">
        <v>13279209</v>
      </c>
    </row>
    <row r="16" spans="2:14" x14ac:dyDescent="0.3">
      <c r="B16" s="7" t="s">
        <v>32</v>
      </c>
      <c r="C16" s="6"/>
      <c r="D16" s="6">
        <v>90387652</v>
      </c>
      <c r="E16" s="6">
        <v>55818029</v>
      </c>
      <c r="F16" s="6">
        <v>7084007</v>
      </c>
      <c r="G16" s="6">
        <v>20193132</v>
      </c>
      <c r="H16" s="6">
        <v>35618067</v>
      </c>
      <c r="I16" s="6">
        <v>77613140</v>
      </c>
      <c r="J16" s="6">
        <v>56425025</v>
      </c>
      <c r="K16" s="6">
        <v>58227888</v>
      </c>
      <c r="L16" s="74"/>
      <c r="M16" s="6">
        <v>21947673</v>
      </c>
      <c r="N16" s="81">
        <v>33188303</v>
      </c>
    </row>
    <row r="17" spans="2:15" x14ac:dyDescent="0.3">
      <c r="B17" s="7" t="s">
        <v>34</v>
      </c>
      <c r="C17" s="6">
        <v>8724266</v>
      </c>
      <c r="D17" s="6"/>
      <c r="E17" s="6">
        <v>4916400</v>
      </c>
      <c r="F17" s="6">
        <v>973053</v>
      </c>
      <c r="G17" s="6"/>
      <c r="H17" s="6">
        <v>21323305</v>
      </c>
      <c r="I17" s="6">
        <v>34980053</v>
      </c>
      <c r="J17" s="6">
        <v>56383366</v>
      </c>
      <c r="K17" s="6">
        <v>52313956</v>
      </c>
      <c r="L17" s="74">
        <v>4080600</v>
      </c>
      <c r="M17" s="6"/>
      <c r="N17" s="81">
        <v>23013981</v>
      </c>
    </row>
    <row r="18" spans="2:15" ht="14.25" thickBot="1" x14ac:dyDescent="0.35">
      <c r="B18" s="8" t="s">
        <v>93</v>
      </c>
      <c r="C18" s="9">
        <v>155760917</v>
      </c>
      <c r="D18" s="9">
        <v>165142745</v>
      </c>
      <c r="E18" s="9">
        <v>165776943</v>
      </c>
      <c r="F18" s="9">
        <v>157888843</v>
      </c>
      <c r="G18" s="9">
        <v>132462486</v>
      </c>
      <c r="H18" s="9">
        <v>127164358</v>
      </c>
      <c r="I18" s="9">
        <v>148105707</v>
      </c>
      <c r="J18" s="9">
        <v>127164358</v>
      </c>
      <c r="K18" s="9">
        <v>168559690</v>
      </c>
      <c r="L18" s="75">
        <v>202122554</v>
      </c>
      <c r="M18" s="9">
        <v>172059100</v>
      </c>
      <c r="N18" s="82">
        <v>138693269</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0.29700094859195852</v>
      </c>
      <c r="D21" s="11">
        <f>IF(IFERROR(E13/D12,0)&gt;1,1,IFERROR(E13/D12,0))</f>
        <v>0.346567648549719</v>
      </c>
      <c r="E21" s="11">
        <f t="shared" ref="E21:M21" si="0">IF(IFERROR(F13/E12,0)&gt;1,1,IFERROR(F13/E12,0))</f>
        <v>0.35830039375561828</v>
      </c>
      <c r="F21" s="11">
        <f t="shared" si="0"/>
        <v>0.30946289701090457</v>
      </c>
      <c r="G21" s="11">
        <f t="shared" si="0"/>
        <v>0.3463516310858627</v>
      </c>
      <c r="H21" s="11">
        <f t="shared" si="0"/>
        <v>0.31673573172653702</v>
      </c>
      <c r="I21" s="11">
        <f t="shared" si="0"/>
        <v>0.23415346395793887</v>
      </c>
      <c r="J21" s="11">
        <f t="shared" si="0"/>
        <v>0.2022809572690363</v>
      </c>
      <c r="K21" s="11">
        <f t="shared" si="0"/>
        <v>0.16301314606296094</v>
      </c>
      <c r="L21" s="11">
        <f t="shared" si="0"/>
        <v>0.23766592858402735</v>
      </c>
      <c r="M21" s="83">
        <f t="shared" si="0"/>
        <v>0.22909317033018234</v>
      </c>
      <c r="N21" s="84">
        <f>AVERAGE(C21:M21)</f>
        <v>0.27642053790224963</v>
      </c>
      <c r="O21" s="174" t="s">
        <v>58</v>
      </c>
    </row>
    <row r="22" spans="2:15" x14ac:dyDescent="0.3">
      <c r="B22" s="13" t="s">
        <v>61</v>
      </c>
      <c r="C22" s="14">
        <f>IF(IFERROR(D14/C13,0)&gt;1,1,IFERROR(D14/C13,0))</f>
        <v>0.48852173924591613</v>
      </c>
      <c r="D22" s="14">
        <f t="shared" ref="D22:M22" si="1">IF(IFERROR(E14/D13,0)&gt;1,1,IFERROR(E14/D13,0))</f>
        <v>0.22176768437552383</v>
      </c>
      <c r="E22" s="14">
        <f t="shared" si="1"/>
        <v>0.45994812015959247</v>
      </c>
      <c r="F22" s="14">
        <f t="shared" si="1"/>
        <v>0.34682404649021659</v>
      </c>
      <c r="G22" s="14">
        <f t="shared" si="1"/>
        <v>0.58705657535213995</v>
      </c>
      <c r="H22" s="14">
        <f t="shared" si="1"/>
        <v>0.29525285263851569</v>
      </c>
      <c r="I22" s="14">
        <f t="shared" si="1"/>
        <v>0.13822678988165216</v>
      </c>
      <c r="J22" s="14">
        <f t="shared" si="1"/>
        <v>0.25623318878940859</v>
      </c>
      <c r="K22" s="14">
        <f t="shared" si="1"/>
        <v>0.37167845484051643</v>
      </c>
      <c r="L22" s="14">
        <f t="shared" si="1"/>
        <v>0.30039907547963329</v>
      </c>
      <c r="M22" s="85">
        <f t="shared" si="1"/>
        <v>0.22834621641488759</v>
      </c>
      <c r="N22" s="86">
        <f t="shared" ref="N22:N25" si="2">AVERAGE(C22:M22)</f>
        <v>0.33584134033345481</v>
      </c>
      <c r="O22" s="174"/>
    </row>
    <row r="23" spans="2:15" x14ac:dyDescent="0.3">
      <c r="B23" s="13" t="s">
        <v>62</v>
      </c>
      <c r="C23" s="14">
        <f t="shared" ref="C23:M25" si="3">IF(IFERROR(D15/C14,0)&gt;1,1,IFERROR(D15/C14,0))</f>
        <v>0.42104582088302694</v>
      </c>
      <c r="D23" s="14">
        <f t="shared" si="3"/>
        <v>0.6609347786469848</v>
      </c>
      <c r="E23" s="14">
        <f t="shared" si="3"/>
        <v>0.41513219600805079</v>
      </c>
      <c r="F23" s="14">
        <f t="shared" si="3"/>
        <v>0.15211837730909067</v>
      </c>
      <c r="G23" s="14">
        <f t="shared" si="3"/>
        <v>0.59611386026899305</v>
      </c>
      <c r="H23" s="14">
        <f t="shared" si="3"/>
        <v>0.27918497786063062</v>
      </c>
      <c r="I23" s="14">
        <f t="shared" si="3"/>
        <v>0.50702990048601038</v>
      </c>
      <c r="J23" s="14">
        <f t="shared" si="3"/>
        <v>0.56074096402594642</v>
      </c>
      <c r="K23" s="14">
        <f t="shared" si="3"/>
        <v>0.51018050357866818</v>
      </c>
      <c r="L23" s="14">
        <f t="shared" si="3"/>
        <v>0.17427384202612503</v>
      </c>
      <c r="M23" s="85">
        <f t="shared" si="3"/>
        <v>5.2375752001155899E-2</v>
      </c>
      <c r="N23" s="86">
        <f t="shared" si="2"/>
        <v>0.39355736119042573</v>
      </c>
      <c r="O23" s="174"/>
    </row>
    <row r="24" spans="2:15" x14ac:dyDescent="0.3">
      <c r="B24" s="13" t="s">
        <v>63</v>
      </c>
      <c r="C24" s="14">
        <f t="shared" si="3"/>
        <v>0.4355103396376992</v>
      </c>
      <c r="D24" s="14">
        <f t="shared" si="3"/>
        <v>0.34963071066172674</v>
      </c>
      <c r="E24" s="14">
        <f t="shared" si="3"/>
        <v>1.8606060145390509E-2</v>
      </c>
      <c r="F24" s="14">
        <f t="shared" si="3"/>
        <v>0.12312676275588856</v>
      </c>
      <c r="G24" s="14">
        <f t="shared" si="3"/>
        <v>0.26351735779163604</v>
      </c>
      <c r="H24" s="14">
        <f t="shared" si="3"/>
        <v>0.17397068538830218</v>
      </c>
      <c r="I24" s="14">
        <f t="shared" si="3"/>
        <v>0.20630432615720734</v>
      </c>
      <c r="J24" s="14">
        <f t="shared" si="3"/>
        <v>0.20515184166886785</v>
      </c>
      <c r="K24" s="14">
        <f t="shared" si="3"/>
        <v>0</v>
      </c>
      <c r="L24" s="14">
        <f t="shared" si="3"/>
        <v>0.13794986315148317</v>
      </c>
      <c r="M24" s="87">
        <f t="shared" si="3"/>
        <v>0.48462860247575962</v>
      </c>
      <c r="N24" s="86">
        <f t="shared" si="2"/>
        <v>0.21803604998490556</v>
      </c>
      <c r="O24" s="174"/>
    </row>
    <row r="25" spans="2:15" ht="14.25" thickBot="1" x14ac:dyDescent="0.35">
      <c r="B25" s="15" t="s">
        <v>64</v>
      </c>
      <c r="C25" s="16">
        <f t="shared" si="3"/>
        <v>0</v>
      </c>
      <c r="D25" s="16">
        <f t="shared" si="3"/>
        <v>5.4392385366974681E-2</v>
      </c>
      <c r="E25" s="16">
        <f t="shared" si="3"/>
        <v>1.7432593329298675E-2</v>
      </c>
      <c r="F25" s="16">
        <f t="shared" si="3"/>
        <v>0</v>
      </c>
      <c r="G25" s="16">
        <f t="shared" si="3"/>
        <v>1</v>
      </c>
      <c r="H25" s="16">
        <f t="shared" si="3"/>
        <v>0.98208734909729944</v>
      </c>
      <c r="I25" s="16">
        <f t="shared" si="3"/>
        <v>0.72646675550042172</v>
      </c>
      <c r="J25" s="16">
        <f t="shared" si="3"/>
        <v>0.92714103361053013</v>
      </c>
      <c r="K25" s="16">
        <f t="shared" si="3"/>
        <v>7.0079821545304885E-2</v>
      </c>
      <c r="L25" s="16">
        <f t="shared" si="3"/>
        <v>0</v>
      </c>
      <c r="M25" s="88">
        <f t="shared" si="3"/>
        <v>1</v>
      </c>
      <c r="N25" s="89">
        <f t="shared" si="2"/>
        <v>0.43432726713180264</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367</v>
      </c>
      <c r="D32" s="91" t="s">
        <v>367</v>
      </c>
      <c r="E32" s="92" t="s">
        <v>367</v>
      </c>
      <c r="F32" s="93" t="s">
        <v>367</v>
      </c>
      <c r="G32" s="56" t="s">
        <v>367</v>
      </c>
      <c r="I32" s="108"/>
      <c r="J32" s="108"/>
      <c r="K32" s="108"/>
    </row>
    <row r="33" spans="2:11" x14ac:dyDescent="0.3">
      <c r="B33" s="20" t="s">
        <v>26</v>
      </c>
      <c r="C33" s="94">
        <f t="shared" ref="C33:C39" si="4">N12</f>
        <v>6967970393</v>
      </c>
      <c r="D33" s="50">
        <f>C48</f>
        <v>0</v>
      </c>
      <c r="E33" s="95">
        <f>C33-D33</f>
        <v>6967970393</v>
      </c>
      <c r="F33" s="63">
        <f>PRODUCT(N21:$N$25)</f>
        <v>3.4598550389789602E-3</v>
      </c>
      <c r="G33" s="57">
        <f>ROUND(E33*F33,)</f>
        <v>24108167</v>
      </c>
      <c r="I33" s="108"/>
      <c r="J33" s="108"/>
      <c r="K33" s="108"/>
    </row>
    <row r="34" spans="2:11" x14ac:dyDescent="0.3">
      <c r="B34" s="22" t="s">
        <v>38</v>
      </c>
      <c r="C34" s="96">
        <f t="shared" si="4"/>
        <v>1492293396</v>
      </c>
      <c r="D34" s="52">
        <f t="shared" ref="D34:D39" si="5">C49</f>
        <v>0</v>
      </c>
      <c r="E34" s="97">
        <f t="shared" ref="E34:E39" si="6">C34-D34</f>
        <v>1492293396</v>
      </c>
      <c r="F34" s="64">
        <f>PRODUCT(N22:$N$25)</f>
        <v>1.2516635215442879E-2</v>
      </c>
      <c r="G34" s="58">
        <f t="shared" ref="G34:G39" si="7">ROUND(E34*F34,)</f>
        <v>18678492</v>
      </c>
      <c r="I34" s="108"/>
      <c r="J34" s="108"/>
      <c r="K34" s="108"/>
    </row>
    <row r="35" spans="2:11" x14ac:dyDescent="0.3">
      <c r="B35" s="22" t="s">
        <v>28</v>
      </c>
      <c r="C35" s="96">
        <f t="shared" si="4"/>
        <v>417162571</v>
      </c>
      <c r="D35" s="52">
        <f t="shared" si="5"/>
        <v>0</v>
      </c>
      <c r="E35" s="97">
        <f t="shared" si="6"/>
        <v>417162571</v>
      </c>
      <c r="F35" s="64">
        <f>PRODUCT(N23:$N$25)</f>
        <v>3.7269489226713977E-2</v>
      </c>
      <c r="G35" s="58">
        <f t="shared" si="7"/>
        <v>15547436</v>
      </c>
      <c r="I35" s="108"/>
      <c r="J35" s="108"/>
      <c r="K35" s="108"/>
    </row>
    <row r="36" spans="2:11" x14ac:dyDescent="0.3">
      <c r="B36" s="22" t="s">
        <v>29</v>
      </c>
      <c r="C36" s="96">
        <f t="shared" si="4"/>
        <v>13279209</v>
      </c>
      <c r="D36" s="52">
        <f t="shared" si="5"/>
        <v>0</v>
      </c>
      <c r="E36" s="97">
        <f t="shared" si="6"/>
        <v>13279209</v>
      </c>
      <c r="F36" s="64">
        <f>PRODUCT(N24:$N$25)</f>
        <v>9.4699001726157153E-2</v>
      </c>
      <c r="G36" s="58">
        <f t="shared" si="7"/>
        <v>1257528</v>
      </c>
      <c r="I36" s="108"/>
      <c r="J36" s="108"/>
      <c r="K36" s="108"/>
    </row>
    <row r="37" spans="2:11" ht="14.25" thickBot="1" x14ac:dyDescent="0.35">
      <c r="B37" s="25" t="s">
        <v>31</v>
      </c>
      <c r="C37" s="98">
        <f t="shared" si="4"/>
        <v>33188303</v>
      </c>
      <c r="D37" s="55">
        <f t="shared" si="5"/>
        <v>0</v>
      </c>
      <c r="E37" s="99">
        <f t="shared" si="6"/>
        <v>33188303</v>
      </c>
      <c r="F37" s="67">
        <f>PRODUCT(N25:$N$25)</f>
        <v>0.43432726713180264</v>
      </c>
      <c r="G37" s="59">
        <f t="shared" si="7"/>
        <v>14414585</v>
      </c>
      <c r="I37" s="108"/>
      <c r="J37" s="108"/>
      <c r="K37" s="108"/>
    </row>
    <row r="38" spans="2:11" x14ac:dyDescent="0.3">
      <c r="B38" s="27" t="s">
        <v>33</v>
      </c>
      <c r="C38" s="94">
        <f t="shared" si="4"/>
        <v>23013981</v>
      </c>
      <c r="D38" s="50">
        <f t="shared" si="5"/>
        <v>0</v>
      </c>
      <c r="E38" s="29">
        <f t="shared" si="6"/>
        <v>23013981</v>
      </c>
      <c r="F38" s="100">
        <v>1</v>
      </c>
      <c r="G38" s="60">
        <f t="shared" si="7"/>
        <v>23013981</v>
      </c>
      <c r="I38" s="108"/>
      <c r="J38" s="108"/>
      <c r="K38" s="108"/>
    </row>
    <row r="39" spans="2:11" ht="14.25" thickBot="1" x14ac:dyDescent="0.35">
      <c r="B39" s="30" t="s">
        <v>35</v>
      </c>
      <c r="C39" s="98">
        <f t="shared" si="4"/>
        <v>138693269</v>
      </c>
      <c r="D39" s="55">
        <f t="shared" si="5"/>
        <v>27647453</v>
      </c>
      <c r="E39" s="32">
        <f t="shared" si="6"/>
        <v>111045816</v>
      </c>
      <c r="F39" s="67">
        <v>1</v>
      </c>
      <c r="G39" s="61">
        <f t="shared" si="7"/>
        <v>111045816</v>
      </c>
      <c r="I39" s="108"/>
      <c r="J39" s="108"/>
      <c r="K39" s="108"/>
    </row>
    <row r="40" spans="2:11" ht="14.25" thickBot="1" x14ac:dyDescent="0.35">
      <c r="B40" s="30" t="s">
        <v>41</v>
      </c>
      <c r="C40" s="101">
        <f>SUM(C33:C39)</f>
        <v>9085601122</v>
      </c>
      <c r="D40" s="101">
        <f>SUM(D33:D39)</f>
        <v>27647453</v>
      </c>
      <c r="E40" s="102">
        <f>SUM(E33:E39)</f>
        <v>9057953669</v>
      </c>
      <c r="F40" s="67"/>
      <c r="G40" s="61">
        <f>SUM(G33:G39)</f>
        <v>208066005</v>
      </c>
      <c r="H40" s="108"/>
      <c r="I40" s="108"/>
      <c r="J40" s="108"/>
      <c r="K40" s="108"/>
    </row>
    <row r="41" spans="2:11" ht="14.25" thickBot="1" x14ac:dyDescent="0.35">
      <c r="B41" s="108"/>
      <c r="E41" s="109"/>
      <c r="F41" s="110"/>
      <c r="G41" s="115"/>
      <c r="H41" s="108"/>
      <c r="I41" s="108"/>
      <c r="J41" s="108"/>
      <c r="K41" s="108"/>
    </row>
    <row r="42" spans="2:11" ht="14.25" thickBot="1" x14ac:dyDescent="0.35">
      <c r="G42" s="33">
        <f>G40</f>
        <v>208066005</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17" t="s">
        <v>368</v>
      </c>
      <c r="D47" s="19" t="s">
        <v>367</v>
      </c>
    </row>
    <row r="48" spans="2:11" x14ac:dyDescent="0.3">
      <c r="B48" s="20" t="s">
        <v>26</v>
      </c>
      <c r="C48" s="34">
        <v>0</v>
      </c>
      <c r="D48" s="35">
        <v>0</v>
      </c>
      <c r="F48" s="173" t="s">
        <v>85</v>
      </c>
      <c r="G48" s="173"/>
      <c r="H48" s="173"/>
      <c r="I48" s="173"/>
    </row>
    <row r="49" spans="1:10" x14ac:dyDescent="0.3">
      <c r="B49" s="22" t="s">
        <v>38</v>
      </c>
      <c r="C49" s="36">
        <v>0</v>
      </c>
      <c r="D49" s="37">
        <v>0</v>
      </c>
      <c r="F49" s="104" t="s">
        <v>90</v>
      </c>
      <c r="G49" s="105">
        <v>27647453</v>
      </c>
      <c r="H49" s="104"/>
      <c r="I49" s="105"/>
    </row>
    <row r="50" spans="1:10" x14ac:dyDescent="0.3">
      <c r="B50" s="22" t="s">
        <v>28</v>
      </c>
      <c r="C50" s="36">
        <v>0</v>
      </c>
      <c r="D50" s="37">
        <v>0</v>
      </c>
      <c r="F50" s="104"/>
      <c r="G50" s="105"/>
      <c r="H50" s="104"/>
      <c r="I50" s="105"/>
    </row>
    <row r="51" spans="1:10" x14ac:dyDescent="0.3">
      <c r="B51" s="22" t="s">
        <v>29</v>
      </c>
      <c r="C51" s="36">
        <v>0</v>
      </c>
      <c r="D51" s="37">
        <v>0</v>
      </c>
      <c r="F51" s="104"/>
      <c r="G51" s="105"/>
      <c r="H51" s="106"/>
      <c r="I51" s="106"/>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27647453</v>
      </c>
      <c r="D54" s="41">
        <f>C54</f>
        <v>27647453</v>
      </c>
    </row>
    <row r="55" spans="1:10" ht="14.25" thickBot="1" x14ac:dyDescent="0.35">
      <c r="B55" s="46" t="s">
        <v>11</v>
      </c>
      <c r="C55" s="47">
        <f>SUM(C48:C54)</f>
        <v>27647453</v>
      </c>
      <c r="D55" s="48">
        <f>SUM(D48:D54)</f>
        <v>27647453</v>
      </c>
    </row>
    <row r="56" spans="1:10" ht="14.25" thickBot="1" x14ac:dyDescent="0.35"/>
    <row r="57" spans="1:10" ht="14.25" thickBot="1" x14ac:dyDescent="0.35">
      <c r="E57" s="33">
        <f>D55</f>
        <v>27647453</v>
      </c>
      <c r="F57" s="2" t="s">
        <v>51</v>
      </c>
    </row>
    <row r="59" spans="1:10" x14ac:dyDescent="0.3">
      <c r="B59" s="111" t="s">
        <v>12</v>
      </c>
    </row>
    <row r="60" spans="1:10" x14ac:dyDescent="0.3">
      <c r="B60" s="2" t="s">
        <v>20</v>
      </c>
      <c r="H60" s="118"/>
      <c r="I60" s="118"/>
      <c r="J60" s="118"/>
    </row>
    <row r="61" spans="1:10" x14ac:dyDescent="0.3">
      <c r="B61" s="42" t="s">
        <v>14</v>
      </c>
      <c r="C61" s="42" t="s">
        <v>15</v>
      </c>
      <c r="D61" s="42" t="s">
        <v>98</v>
      </c>
      <c r="E61" s="42" t="s">
        <v>52</v>
      </c>
      <c r="H61" s="43"/>
      <c r="I61" s="119"/>
      <c r="J61" s="119"/>
    </row>
    <row r="62" spans="1:10" x14ac:dyDescent="0.3">
      <c r="A62" s="2" t="s">
        <v>18</v>
      </c>
      <c r="B62" s="103" t="s">
        <v>100</v>
      </c>
      <c r="C62" s="43" t="s">
        <v>4</v>
      </c>
      <c r="D62" s="44">
        <v>9085601122</v>
      </c>
      <c r="E62" s="43"/>
      <c r="H62" s="43"/>
      <c r="I62" s="119"/>
      <c r="J62" s="119"/>
    </row>
    <row r="63" spans="1:10" x14ac:dyDescent="0.3">
      <c r="A63" s="2" t="s">
        <v>19</v>
      </c>
      <c r="B63" s="43">
        <v>1110321</v>
      </c>
      <c r="C63" s="43" t="s">
        <v>13</v>
      </c>
      <c r="D63" s="44">
        <v>235722047</v>
      </c>
      <c r="E63" s="45">
        <f>D63-G42-E57</f>
        <v>8589</v>
      </c>
      <c r="F63" s="2" t="s">
        <v>16</v>
      </c>
      <c r="H63" s="43"/>
      <c r="I63" s="119"/>
      <c r="J63" s="119"/>
    </row>
    <row r="64" spans="1:10" x14ac:dyDescent="0.3">
      <c r="B64" s="43"/>
      <c r="C64" s="43" t="s">
        <v>101</v>
      </c>
      <c r="D64" s="45">
        <f>D62-D63</f>
        <v>8849879075</v>
      </c>
      <c r="E64" s="45">
        <f>D64-E40-C55+G42+E57</f>
        <v>-8589</v>
      </c>
      <c r="F64" s="2" t="s">
        <v>16</v>
      </c>
      <c r="H64" s="106"/>
      <c r="I64" s="120"/>
      <c r="J64" s="107"/>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6:M84"/>
  <sheetViews>
    <sheetView topLeftCell="A7" workbookViewId="0">
      <selection activeCell="L34" sqref="L34"/>
    </sheetView>
  </sheetViews>
  <sheetFormatPr defaultRowHeight="14.25" customHeight="1" x14ac:dyDescent="0.3"/>
  <cols>
    <col min="1" max="1" width="3.625" style="123" customWidth="1"/>
    <col min="2" max="2" width="22.75" style="123" customWidth="1"/>
    <col min="3" max="9" width="16.375" style="123" customWidth="1"/>
    <col min="10" max="13" width="14.625" style="123" customWidth="1"/>
    <col min="14" max="16384" width="9" style="123"/>
  </cols>
  <sheetData>
    <row r="6" spans="2:8" ht="14.25" customHeight="1" x14ac:dyDescent="0.3">
      <c r="B6" s="121" t="s">
        <v>110</v>
      </c>
      <c r="C6" s="122" t="s">
        <v>184</v>
      </c>
    </row>
    <row r="8" spans="2:8" ht="14.25" customHeight="1" x14ac:dyDescent="0.3">
      <c r="B8" s="123" t="s">
        <v>112</v>
      </c>
    </row>
    <row r="10" spans="2:8" s="126" customFormat="1" ht="14.25" customHeight="1" x14ac:dyDescent="0.3">
      <c r="B10" s="124" t="s">
        <v>140</v>
      </c>
      <c r="C10" s="125" t="s">
        <v>185</v>
      </c>
      <c r="D10" s="125" t="s">
        <v>114</v>
      </c>
      <c r="E10" s="125" t="s">
        <v>115</v>
      </c>
      <c r="F10" s="125" t="s">
        <v>116</v>
      </c>
      <c r="G10" s="125" t="s">
        <v>186</v>
      </c>
    </row>
    <row r="11" spans="2:8" ht="14.25" customHeight="1" x14ac:dyDescent="0.3">
      <c r="B11" s="123" t="s">
        <v>136</v>
      </c>
      <c r="C11" s="127">
        <f>'[1]1-1.2019년 1분기연령'!AH20+'[1]1-1.2019년 1분기연령'!AH21</f>
        <v>4262134795</v>
      </c>
      <c r="D11" s="127">
        <f>'[1]1-1.2019년 1분기연령'!AB20+'[1]1-1.2019년 1분기연령'!AB21</f>
        <v>3175992875</v>
      </c>
      <c r="E11" s="127">
        <f>'[1]1-1.2019년 1분기연령'!V20+'[1]1-1.2019년 1분기연령'!V21</f>
        <v>3349494329</v>
      </c>
      <c r="F11" s="127">
        <f>'[1]1-1.2019년 1분기연령'!P20+'[1]1-1.2019년 1분기연령'!P21</f>
        <v>2566091140</v>
      </c>
      <c r="G11" s="127">
        <v>2572893019</v>
      </c>
    </row>
    <row r="12" spans="2:8" ht="14.25" customHeight="1" x14ac:dyDescent="0.3">
      <c r="B12" s="123" t="s">
        <v>120</v>
      </c>
      <c r="C12" s="127">
        <f>'[1]1-1.2019년 1분기연령'!AH22+'[1]1-1.2019년 1분기연령'!AH23</f>
        <v>308934960</v>
      </c>
      <c r="D12" s="127">
        <f>'[1]1-1.2019년 1분기연령'!AB22+'[1]1-1.2019년 1분기연령'!AB23</f>
        <v>0</v>
      </c>
      <c r="E12" s="127">
        <f>'[1]1-1.2019년 1분기연령'!V22+'[1]1-1.2019년 1분기연령'!V23</f>
        <v>0</v>
      </c>
      <c r="F12" s="127">
        <f>'[1]1-1.2019년 1분기연령'!P22+'[1]1-1.2019년 1분기연령'!P23</f>
        <v>22776400</v>
      </c>
      <c r="G12" s="127">
        <v>32294128</v>
      </c>
    </row>
    <row r="13" spans="2:8" ht="14.25" customHeight="1" x14ac:dyDescent="0.3">
      <c r="B13" s="123" t="s">
        <v>187</v>
      </c>
      <c r="C13" s="127">
        <f>'[1]1-1.2019년 1분기연령'!AH24</f>
        <v>3228130</v>
      </c>
      <c r="D13" s="127">
        <f>'[1]1-1.2019년 1분기연령'!AB24</f>
        <v>300000000</v>
      </c>
      <c r="E13" s="127">
        <f>'[1]1-1.2019년 1분기연령'!V24</f>
        <v>300000000</v>
      </c>
      <c r="F13" s="127">
        <f>'[1]1-1.2019년 1분기연령'!P24</f>
        <v>300000000</v>
      </c>
      <c r="G13" s="127">
        <v>322776400</v>
      </c>
    </row>
    <row r="15" spans="2:8" ht="14.25" customHeight="1" x14ac:dyDescent="0.3">
      <c r="B15" s="123" t="s">
        <v>188</v>
      </c>
      <c r="D15" s="128">
        <v>1.0699999999999999E-2</v>
      </c>
      <c r="E15" s="128">
        <v>1.4999999999999999E-2</v>
      </c>
      <c r="F15" s="128">
        <v>2.5000000000000001E-3</v>
      </c>
      <c r="G15" s="128">
        <v>9.2999999999999992E-3</v>
      </c>
      <c r="H15" s="129">
        <f>AVERAGE(D15:G15)</f>
        <v>9.3749999999999997E-3</v>
      </c>
    </row>
    <row r="16" spans="2:8" ht="14.25" customHeight="1" x14ac:dyDescent="0.3">
      <c r="D16" s="128"/>
      <c r="E16" s="128"/>
      <c r="F16" s="128"/>
      <c r="G16" s="128"/>
    </row>
    <row r="17" spans="2:13" ht="14.25" customHeight="1" x14ac:dyDescent="0.3">
      <c r="B17" s="123" t="s">
        <v>189</v>
      </c>
    </row>
    <row r="19" spans="2:13" ht="14.25" customHeight="1" x14ac:dyDescent="0.3">
      <c r="B19" s="124" t="s">
        <v>140</v>
      </c>
      <c r="C19" s="125" t="s">
        <v>185</v>
      </c>
      <c r="D19" s="125" t="s">
        <v>114</v>
      </c>
      <c r="E19" s="125" t="s">
        <v>115</v>
      </c>
      <c r="F19" s="125" t="s">
        <v>116</v>
      </c>
      <c r="G19" s="125" t="s">
        <v>190</v>
      </c>
    </row>
    <row r="20" spans="2:13" ht="14.25" customHeight="1" x14ac:dyDescent="0.3">
      <c r="B20" s="123" t="s">
        <v>125</v>
      </c>
      <c r="C20" s="127">
        <f>'[1]1-1.2019년 1분기연령'!AH36+'[1]1-1.2019년 1분기연령'!AH37</f>
        <v>9199198621</v>
      </c>
      <c r="D20" s="127">
        <f>'[1]1-1.2019년 1분기연령'!AB36+'[1]1-1.2019년 1분기연령'!AB37</f>
        <v>9508196499</v>
      </c>
      <c r="E20" s="127">
        <f>'[1]1-1.2019년 1분기연령'!V36+'[1]1-1.2019년 1분기연령'!V37</f>
        <v>10718132218</v>
      </c>
      <c r="F20" s="127">
        <f>'[1]1-1.2019년 1분기연령'!P36+'[1]1-1.2019년 1분기연령'!P37</f>
        <v>6773848908</v>
      </c>
      <c r="G20" s="127">
        <v>7724899078</v>
      </c>
    </row>
    <row r="21" spans="2:13" ht="14.25" customHeight="1" x14ac:dyDescent="0.3">
      <c r="B21" s="123" t="s">
        <v>126</v>
      </c>
      <c r="C21" s="127">
        <f>'[1]1-1.2019년 1분기연령'!AH38+'[1]1-1.2019년 1분기연령'!AH39</f>
        <v>90516329</v>
      </c>
      <c r="D21" s="127">
        <f>'[1]1-1.2019년 1분기연령'!AB38+'[1]1-1.2019년 1분기연령'!AB39</f>
        <v>0</v>
      </c>
      <c r="E21" s="127">
        <f>'[1]1-1.2019년 1분기연령'!V38+'[1]1-1.2019년 1분기연령'!V39</f>
        <v>0</v>
      </c>
      <c r="F21" s="127">
        <f>'[1]1-1.2019년 1분기연령'!P38+'[1]1-1.2019년 1분기연령'!P39</f>
        <v>32198537</v>
      </c>
      <c r="G21" s="127">
        <v>37320825</v>
      </c>
    </row>
    <row r="22" spans="2:13" ht="14.25" customHeight="1" x14ac:dyDescent="0.3">
      <c r="B22" s="123" t="s">
        <v>127</v>
      </c>
      <c r="C22" s="127">
        <f>'[1]1-1.2019년 1분기연령'!AH40</f>
        <v>0</v>
      </c>
      <c r="D22" s="127">
        <f>'[1]1-1.2019년 1분기연령'!AB40</f>
        <v>96511224</v>
      </c>
      <c r="E22" s="127">
        <f>'[1]1-1.2019년 1분기연령'!V40</f>
        <v>99516905</v>
      </c>
      <c r="F22" s="127">
        <f>'[1]1-1.2019년 1분기연령'!P40</f>
        <v>99516905</v>
      </c>
      <c r="G22" s="127">
        <v>99516905</v>
      </c>
    </row>
    <row r="24" spans="2:13" ht="14.25" customHeight="1" x14ac:dyDescent="0.3">
      <c r="B24" s="123" t="s">
        <v>122</v>
      </c>
      <c r="D24" s="128">
        <v>1.0500000000000001E-2</v>
      </c>
      <c r="E24" s="128">
        <v>9.2999999999999992E-3</v>
      </c>
      <c r="F24" s="128">
        <v>5.9999999999999995E-4</v>
      </c>
      <c r="G24" s="128">
        <v>6.7999999999999996E-3</v>
      </c>
      <c r="H24" s="129">
        <f>AVERAGE(D24:G24)</f>
        <v>6.7999999999999996E-3</v>
      </c>
    </row>
    <row r="25" spans="2:13" ht="14.25" customHeight="1" x14ac:dyDescent="0.3">
      <c r="D25" s="128"/>
      <c r="E25" s="128"/>
      <c r="F25" s="128"/>
      <c r="G25" s="128"/>
    </row>
    <row r="28" spans="2:13" ht="14.25" customHeight="1" x14ac:dyDescent="0.3">
      <c r="B28" s="121" t="s">
        <v>128</v>
      </c>
      <c r="C28" s="122" t="s">
        <v>129</v>
      </c>
    </row>
    <row r="30" spans="2:13" ht="14.25" customHeight="1" x14ac:dyDescent="0.3">
      <c r="B30" s="130" t="s">
        <v>140</v>
      </c>
      <c r="C30" s="130" t="s">
        <v>191</v>
      </c>
      <c r="D30" s="130" t="s">
        <v>192</v>
      </c>
      <c r="E30" s="130" t="s">
        <v>193</v>
      </c>
      <c r="F30" s="169" t="s">
        <v>85</v>
      </c>
      <c r="G30" s="169"/>
      <c r="H30" s="169"/>
      <c r="I30" s="169"/>
      <c r="K30" s="131" t="s">
        <v>83</v>
      </c>
      <c r="L30" s="131" t="s">
        <v>194</v>
      </c>
      <c r="M30" s="131" t="s">
        <v>78</v>
      </c>
    </row>
    <row r="31" spans="2:13" ht="14.25" customHeight="1" x14ac:dyDescent="0.3">
      <c r="B31" s="123" t="s">
        <v>195</v>
      </c>
      <c r="C31" s="132">
        <f>+'[1]3-1.2019년 3분기연령'!D20+'[1]3-1.2019년 3분기연령'!D21</f>
        <v>2208595944</v>
      </c>
      <c r="D31" s="133">
        <f>H15</f>
        <v>9.3749999999999997E-3</v>
      </c>
      <c r="E31" s="132">
        <f>C31*D31</f>
        <v>20705586.974999998</v>
      </c>
      <c r="F31" s="123" t="s">
        <v>86</v>
      </c>
      <c r="G31" s="132">
        <v>27256788</v>
      </c>
      <c r="H31" s="123" t="s">
        <v>87</v>
      </c>
      <c r="I31" s="132">
        <v>49060000</v>
      </c>
      <c r="K31" s="134" t="s">
        <v>196</v>
      </c>
      <c r="L31" s="135">
        <f>SUM(E31:E33,E36:E38,G31:G33,G36,I31:I33)</f>
        <v>1170932564.2797999</v>
      </c>
      <c r="M31" s="135">
        <v>1307161633.9134998</v>
      </c>
    </row>
    <row r="32" spans="2:13" ht="14.25" customHeight="1" x14ac:dyDescent="0.3">
      <c r="B32" s="123" t="s">
        <v>197</v>
      </c>
      <c r="C32" s="132">
        <f>+'[1]3-1.2019년 3분기연령'!D22+'[1]3-1.2019년 3분기연령'!D23</f>
        <v>45408000</v>
      </c>
      <c r="D32" s="133">
        <v>1</v>
      </c>
      <c r="E32" s="132">
        <f>C32*D32</f>
        <v>45408000</v>
      </c>
      <c r="F32" s="123" t="s">
        <v>88</v>
      </c>
      <c r="G32" s="132">
        <v>3228130</v>
      </c>
      <c r="H32" s="123" t="s">
        <v>89</v>
      </c>
      <c r="I32" s="132">
        <v>12000000</v>
      </c>
      <c r="K32" s="134" t="s">
        <v>198</v>
      </c>
      <c r="L32" s="135">
        <f>1203486731</f>
        <v>1203486731</v>
      </c>
      <c r="M32" s="135">
        <v>1641666195.9263999</v>
      </c>
    </row>
    <row r="33" spans="2:13" ht="14.25" customHeight="1" x14ac:dyDescent="0.3">
      <c r="B33" s="123" t="s">
        <v>187</v>
      </c>
      <c r="C33" s="132">
        <f>+'[1]3-1.2019년 3분기연령'!D24</f>
        <v>322776400</v>
      </c>
      <c r="D33" s="133">
        <v>1</v>
      </c>
      <c r="E33" s="132">
        <f>C33*D33</f>
        <v>322776400</v>
      </c>
      <c r="G33" s="132"/>
      <c r="H33" s="123" t="s">
        <v>199</v>
      </c>
      <c r="I33" s="132">
        <v>466237044</v>
      </c>
      <c r="K33" s="134"/>
      <c r="L33" s="135"/>
      <c r="M33" s="135"/>
    </row>
    <row r="34" spans="2:13" ht="14.25" customHeight="1" x14ac:dyDescent="0.3">
      <c r="K34" s="134" t="s">
        <v>200</v>
      </c>
      <c r="L34" s="136">
        <f>L31-L32+L33</f>
        <v>-32554166.720200062</v>
      </c>
      <c r="M34" s="136">
        <f>M31-M32+M33</f>
        <v>-334504562.01290011</v>
      </c>
    </row>
    <row r="35" spans="2:13" ht="14.25" customHeight="1" x14ac:dyDescent="0.3">
      <c r="B35" s="130" t="s">
        <v>201</v>
      </c>
      <c r="C35" s="130" t="s">
        <v>202</v>
      </c>
      <c r="D35" s="130" t="s">
        <v>192</v>
      </c>
      <c r="E35" s="130" t="s">
        <v>203</v>
      </c>
    </row>
    <row r="36" spans="2:13" ht="14.25" customHeight="1" x14ac:dyDescent="0.3">
      <c r="B36" s="123" t="s">
        <v>204</v>
      </c>
      <c r="C36" s="127">
        <f>+'[1]3-1.2019년 3분기연령'!D36+'[1]3-1.2019년 3분기연령'!D37</f>
        <v>8575692986</v>
      </c>
      <c r="D36" s="133">
        <f>H24</f>
        <v>6.7999999999999996E-3</v>
      </c>
      <c r="E36" s="132">
        <f>C36*D36</f>
        <v>58314712.304799996</v>
      </c>
      <c r="F36" s="123" t="s">
        <v>90</v>
      </c>
      <c r="G36" s="132">
        <v>27647453</v>
      </c>
    </row>
    <row r="37" spans="2:13" ht="14.25" customHeight="1" x14ac:dyDescent="0.3">
      <c r="B37" s="123" t="s">
        <v>120</v>
      </c>
      <c r="C37" s="127">
        <f>+'[1]3-1.2019년 3분기연령'!D38+'[1]3-1.2019년 3분기연령'!D39</f>
        <v>8057060</v>
      </c>
      <c r="D37" s="133">
        <v>1</v>
      </c>
      <c r="E37" s="132">
        <f>C37*D37</f>
        <v>8057060</v>
      </c>
    </row>
    <row r="38" spans="2:13" ht="14.25" customHeight="1" x14ac:dyDescent="0.3">
      <c r="B38" s="123" t="s">
        <v>121</v>
      </c>
      <c r="C38" s="127">
        <f>+'[1]3-1.2019년 3분기연령'!D40</f>
        <v>130241390</v>
      </c>
      <c r="D38" s="133">
        <v>1</v>
      </c>
      <c r="E38" s="132">
        <f>C38*D38</f>
        <v>130241390</v>
      </c>
    </row>
    <row r="44" spans="2:13" ht="14.25" customHeight="1" x14ac:dyDescent="0.3">
      <c r="B44" s="121" t="s">
        <v>205</v>
      </c>
      <c r="C44" s="122" t="s">
        <v>206</v>
      </c>
    </row>
    <row r="46" spans="2:13" ht="14.25" customHeight="1" x14ac:dyDescent="0.3">
      <c r="B46" s="122" t="s">
        <v>207</v>
      </c>
      <c r="C46" s="123" t="s">
        <v>208</v>
      </c>
      <c r="D46" s="132">
        <v>1000</v>
      </c>
    </row>
    <row r="47" spans="2:13" ht="14.25" customHeight="1" x14ac:dyDescent="0.3">
      <c r="C47" s="123" t="s">
        <v>209</v>
      </c>
    </row>
    <row r="48" spans="2:13" ht="14.25" customHeight="1" x14ac:dyDescent="0.3">
      <c r="C48" s="123" t="s">
        <v>210</v>
      </c>
      <c r="D48" s="137">
        <v>1000</v>
      </c>
    </row>
    <row r="51" spans="2:6" s="139" customFormat="1" ht="14.25" customHeight="1" x14ac:dyDescent="0.3">
      <c r="B51" s="122" t="s">
        <v>211</v>
      </c>
      <c r="C51" s="138" t="s">
        <v>212</v>
      </c>
      <c r="D51" s="138" t="s">
        <v>208</v>
      </c>
      <c r="E51" s="138" t="s">
        <v>213</v>
      </c>
      <c r="F51" s="138" t="s">
        <v>214</v>
      </c>
    </row>
    <row r="52" spans="2:6" ht="14.25" customHeight="1" x14ac:dyDescent="0.3">
      <c r="C52" s="123" t="s">
        <v>215</v>
      </c>
      <c r="D52" s="132">
        <v>1000</v>
      </c>
    </row>
    <row r="53" spans="2:6" ht="14.25" customHeight="1" x14ac:dyDescent="0.3">
      <c r="C53" s="123" t="s">
        <v>216</v>
      </c>
      <c r="D53" s="132">
        <v>1000</v>
      </c>
    </row>
    <row r="54" spans="2:6" ht="14.25" customHeight="1" x14ac:dyDescent="0.3">
      <c r="C54" s="123" t="s">
        <v>217</v>
      </c>
      <c r="D54" s="132">
        <v>1000</v>
      </c>
    </row>
    <row r="55" spans="2:6" ht="14.25" customHeight="1" x14ac:dyDescent="0.3">
      <c r="C55" s="123" t="s">
        <v>154</v>
      </c>
      <c r="D55" s="132">
        <v>1000</v>
      </c>
    </row>
    <row r="56" spans="2:6" ht="14.25" customHeight="1" x14ac:dyDescent="0.3">
      <c r="C56" s="123" t="s">
        <v>155</v>
      </c>
      <c r="D56" s="132">
        <v>1000</v>
      </c>
    </row>
    <row r="57" spans="2:6" ht="14.25" customHeight="1" x14ac:dyDescent="0.3">
      <c r="C57" s="123" t="s">
        <v>156</v>
      </c>
      <c r="D57" s="132">
        <v>1000</v>
      </c>
    </row>
    <row r="58" spans="2:6" ht="14.25" customHeight="1" x14ac:dyDescent="0.3">
      <c r="C58" s="123" t="s">
        <v>157</v>
      </c>
      <c r="D58" s="132">
        <v>1000</v>
      </c>
    </row>
    <row r="59" spans="2:6" ht="14.25" customHeight="1" x14ac:dyDescent="0.3">
      <c r="C59" s="123" t="s">
        <v>158</v>
      </c>
      <c r="D59" s="132">
        <v>1000</v>
      </c>
    </row>
    <row r="60" spans="2:6" ht="14.25" customHeight="1" x14ac:dyDescent="0.3">
      <c r="C60" s="123" t="s">
        <v>159</v>
      </c>
      <c r="D60" s="132">
        <v>1000</v>
      </c>
    </row>
    <row r="61" spans="2:6" ht="14.25" customHeight="1" x14ac:dyDescent="0.3">
      <c r="C61" s="141" t="s">
        <v>218</v>
      </c>
      <c r="D61" s="140">
        <v>1000</v>
      </c>
      <c r="E61" s="141"/>
      <c r="F61" s="141"/>
    </row>
    <row r="62" spans="2:6" ht="14.25" customHeight="1" thickBot="1" x14ac:dyDescent="0.35">
      <c r="C62" s="142" t="s">
        <v>164</v>
      </c>
      <c r="D62" s="143">
        <f>SUM(D52:D61)</f>
        <v>10000</v>
      </c>
      <c r="E62" s="142"/>
      <c r="F62" s="144">
        <f>E62/D62</f>
        <v>0</v>
      </c>
    </row>
    <row r="63" spans="2:6" ht="14.25" customHeight="1" thickTop="1" x14ac:dyDescent="0.3">
      <c r="C63" s="145"/>
      <c r="D63" s="145"/>
    </row>
    <row r="64" spans="2:6" ht="14.25" customHeight="1" x14ac:dyDescent="0.3">
      <c r="B64" s="122" t="s">
        <v>165</v>
      </c>
      <c r="C64" s="123" t="s">
        <v>219</v>
      </c>
    </row>
    <row r="65" spans="2:7" ht="14.25" customHeight="1" x14ac:dyDescent="0.3">
      <c r="C65" s="123" t="s">
        <v>220</v>
      </c>
      <c r="D65" s="123">
        <v>0</v>
      </c>
    </row>
    <row r="66" spans="2:7" ht="14.25" customHeight="1" x14ac:dyDescent="0.3">
      <c r="C66" s="141" t="s">
        <v>221</v>
      </c>
      <c r="D66" s="146">
        <v>0</v>
      </c>
    </row>
    <row r="68" spans="2:7" ht="14.25" customHeight="1" x14ac:dyDescent="0.3">
      <c r="B68" s="122" t="s">
        <v>222</v>
      </c>
      <c r="C68" s="138" t="s">
        <v>223</v>
      </c>
      <c r="D68" s="138" t="s">
        <v>171</v>
      </c>
      <c r="E68" s="138" t="s">
        <v>224</v>
      </c>
      <c r="F68" s="138" t="s">
        <v>225</v>
      </c>
      <c r="G68" s="138" t="s">
        <v>226</v>
      </c>
    </row>
    <row r="72" spans="2:7" ht="14.25" customHeight="1" x14ac:dyDescent="0.3">
      <c r="C72" s="141"/>
      <c r="D72" s="141"/>
      <c r="E72" s="141"/>
      <c r="F72" s="141"/>
      <c r="G72" s="141"/>
    </row>
    <row r="73" spans="2:7" ht="14.25" customHeight="1" thickBot="1" x14ac:dyDescent="0.35">
      <c r="C73" s="142"/>
      <c r="D73" s="142"/>
      <c r="E73" s="142"/>
      <c r="F73" s="142"/>
      <c r="G73" s="144">
        <f>1-F73</f>
        <v>1</v>
      </c>
    </row>
    <row r="74" spans="2:7" ht="14.25" customHeight="1" thickTop="1" x14ac:dyDescent="0.3"/>
    <row r="77" spans="2:7" ht="14.25" customHeight="1" x14ac:dyDescent="0.3">
      <c r="B77" s="122" t="s">
        <v>227</v>
      </c>
      <c r="C77" s="138" t="s">
        <v>83</v>
      </c>
      <c r="D77" s="138" t="s">
        <v>177</v>
      </c>
    </row>
    <row r="78" spans="2:7" ht="14.25" customHeight="1" x14ac:dyDescent="0.3">
      <c r="C78" s="123" t="s">
        <v>151</v>
      </c>
      <c r="D78" s="127">
        <f>D48</f>
        <v>1000</v>
      </c>
    </row>
    <row r="79" spans="2:7" ht="14.25" customHeight="1" x14ac:dyDescent="0.3">
      <c r="C79" s="123" t="s">
        <v>178</v>
      </c>
      <c r="D79" s="147">
        <f>F62</f>
        <v>0</v>
      </c>
    </row>
    <row r="80" spans="2:7" ht="14.25" customHeight="1" x14ac:dyDescent="0.3">
      <c r="C80" s="123" t="s">
        <v>179</v>
      </c>
      <c r="D80" s="132">
        <f>ROUND(D78*D79,0)</f>
        <v>0</v>
      </c>
    </row>
    <row r="81" spans="3:4" ht="14.25" customHeight="1" x14ac:dyDescent="0.3">
      <c r="C81" s="123" t="s">
        <v>180</v>
      </c>
      <c r="D81" s="147">
        <f>1-D66</f>
        <v>1</v>
      </c>
    </row>
    <row r="82" spans="3:4" ht="14.25" customHeight="1" x14ac:dyDescent="0.3">
      <c r="C82" s="123" t="s">
        <v>181</v>
      </c>
      <c r="D82" s="132">
        <f>D80*D81</f>
        <v>0</v>
      </c>
    </row>
    <row r="83" spans="3:4" ht="14.25" customHeight="1" x14ac:dyDescent="0.3">
      <c r="C83" s="123" t="s">
        <v>182</v>
      </c>
      <c r="D83" s="147">
        <f>G73</f>
        <v>1</v>
      </c>
    </row>
    <row r="84" spans="3:4" ht="14.25" customHeight="1" x14ac:dyDescent="0.3">
      <c r="C84" s="141" t="s">
        <v>183</v>
      </c>
      <c r="D84" s="148">
        <f>D82*D83</f>
        <v>0</v>
      </c>
    </row>
  </sheetData>
  <mergeCells count="1">
    <mergeCell ref="F30:I30"/>
  </mergeCells>
  <phoneticPr fontId="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2060"/>
  </sheetPr>
  <dimension ref="A2:O70"/>
  <sheetViews>
    <sheetView topLeftCell="C35" zoomScaleNormal="100" workbookViewId="0">
      <selection activeCell="I61" sqref="I61:I62"/>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71</v>
      </c>
      <c r="D11" s="4" t="s">
        <v>72</v>
      </c>
      <c r="E11" s="4" t="s">
        <v>75</v>
      </c>
      <c r="F11" s="4" t="s">
        <v>76</v>
      </c>
      <c r="G11" s="4" t="s">
        <v>73</v>
      </c>
      <c r="H11" s="4" t="s">
        <v>74</v>
      </c>
      <c r="I11" s="4" t="s">
        <v>246</v>
      </c>
      <c r="J11" s="4" t="s">
        <v>355</v>
      </c>
      <c r="K11" s="4" t="s">
        <v>362</v>
      </c>
      <c r="L11" s="73" t="s">
        <v>363</v>
      </c>
      <c r="M11" s="4" t="s">
        <v>372</v>
      </c>
      <c r="N11" s="80" t="s">
        <v>373</v>
      </c>
    </row>
    <row r="12" spans="2:14" x14ac:dyDescent="0.3">
      <c r="B12" s="5" t="s">
        <v>27</v>
      </c>
      <c r="C12" s="6">
        <v>2356271451</v>
      </c>
      <c r="D12" s="6">
        <v>2400410640</v>
      </c>
      <c r="E12" s="6">
        <v>2092236726</v>
      </c>
      <c r="F12" s="6">
        <v>2125383029</v>
      </c>
      <c r="G12" s="6">
        <v>1838003129</v>
      </c>
      <c r="H12" s="6">
        <v>2474596079</v>
      </c>
      <c r="I12" s="6">
        <v>2202685666</v>
      </c>
      <c r="J12" s="6">
        <v>2448094402</v>
      </c>
      <c r="K12" s="6">
        <v>2436043383</v>
      </c>
      <c r="L12" s="74">
        <v>2452539804</v>
      </c>
      <c r="M12" s="6">
        <v>1715641447</v>
      </c>
      <c r="N12" s="81">
        <v>1962667876</v>
      </c>
    </row>
    <row r="13" spans="2:14" x14ac:dyDescent="0.3">
      <c r="B13" s="7" t="s">
        <v>39</v>
      </c>
      <c r="C13" s="6">
        <v>136900316</v>
      </c>
      <c r="D13" s="6">
        <v>177719656</v>
      </c>
      <c r="E13" s="6">
        <v>100426870</v>
      </c>
      <c r="F13" s="6">
        <v>274267577</v>
      </c>
      <c r="G13" s="6">
        <v>238208478</v>
      </c>
      <c r="H13" s="6">
        <v>167868169</v>
      </c>
      <c r="I13" s="6">
        <v>112476407</v>
      </c>
      <c r="J13" s="6">
        <v>46121428</v>
      </c>
      <c r="K13" s="6">
        <v>45386643</v>
      </c>
      <c r="L13" s="74">
        <v>166622154</v>
      </c>
      <c r="M13" s="6">
        <v>161509038</v>
      </c>
      <c r="N13" s="81">
        <v>102054537</v>
      </c>
    </row>
    <row r="14" spans="2:14" x14ac:dyDescent="0.3">
      <c r="B14" s="7" t="s">
        <v>92</v>
      </c>
      <c r="C14" s="6">
        <v>70568872</v>
      </c>
      <c r="D14" s="6">
        <v>24276453</v>
      </c>
      <c r="E14" s="6">
        <v>15932348</v>
      </c>
      <c r="F14" s="6">
        <v>5500521</v>
      </c>
      <c r="G14" s="6"/>
      <c r="H14" s="6">
        <v>73921998</v>
      </c>
      <c r="I14" s="6"/>
      <c r="J14" s="6">
        <v>1992302</v>
      </c>
      <c r="K14" s="6"/>
      <c r="L14" s="74"/>
      <c r="M14" s="6"/>
      <c r="N14" s="81">
        <v>20356752</v>
      </c>
    </row>
    <row r="15" spans="2:14" x14ac:dyDescent="0.3">
      <c r="B15" s="7" t="s">
        <v>30</v>
      </c>
      <c r="C15" s="6">
        <v>10901915</v>
      </c>
      <c r="D15" s="6">
        <v>59932773</v>
      </c>
      <c r="E15" s="6"/>
      <c r="F15" s="6">
        <v>3905000</v>
      </c>
      <c r="G15" s="6"/>
      <c r="H15" s="6"/>
      <c r="I15" s="6">
        <v>63921998</v>
      </c>
      <c r="J15" s="6"/>
      <c r="K15" s="6">
        <v>1992302</v>
      </c>
      <c r="L15" s="74"/>
      <c r="M15" s="6"/>
      <c r="N15" s="81"/>
    </row>
    <row r="16" spans="2:14" x14ac:dyDescent="0.3">
      <c r="B16" s="7" t="s">
        <v>32</v>
      </c>
      <c r="C16" s="6"/>
      <c r="D16" s="6"/>
      <c r="E16" s="6">
        <v>45408000</v>
      </c>
      <c r="F16" s="6"/>
      <c r="G16" s="6"/>
      <c r="H16" s="6"/>
      <c r="I16" s="6"/>
      <c r="J16" s="6">
        <v>61921998</v>
      </c>
      <c r="K16" s="6"/>
      <c r="L16" s="74">
        <v>204802</v>
      </c>
      <c r="M16" s="6"/>
      <c r="N16" s="81"/>
    </row>
    <row r="17" spans="2:15" x14ac:dyDescent="0.3">
      <c r="B17" s="7" t="s">
        <v>34</v>
      </c>
      <c r="C17" s="6"/>
      <c r="D17" s="6"/>
      <c r="E17" s="6"/>
      <c r="F17" s="6"/>
      <c r="G17" s="6"/>
      <c r="H17" s="6"/>
      <c r="I17" s="6"/>
      <c r="J17" s="6"/>
      <c r="K17" s="6">
        <v>53327600</v>
      </c>
      <c r="L17" s="74"/>
      <c r="M17" s="6">
        <v>204802</v>
      </c>
      <c r="N17" s="81"/>
    </row>
    <row r="18" spans="2:15" ht="14.25" thickBot="1" x14ac:dyDescent="0.35">
      <c r="B18" s="8" t="s">
        <v>93</v>
      </c>
      <c r="C18" s="9">
        <v>904155172</v>
      </c>
      <c r="D18" s="9">
        <v>899495522</v>
      </c>
      <c r="E18" s="9">
        <v>880558362</v>
      </c>
      <c r="F18" s="9">
        <v>880558362</v>
      </c>
      <c r="G18" s="9">
        <v>414321318</v>
      </c>
      <c r="H18" s="9">
        <v>414321318</v>
      </c>
      <c r="I18" s="9">
        <v>414321318</v>
      </c>
      <c r="J18" s="9">
        <v>414321318</v>
      </c>
      <c r="K18" s="9">
        <v>414321318</v>
      </c>
      <c r="L18" s="75">
        <v>467648918</v>
      </c>
      <c r="M18" s="9">
        <v>414321318</v>
      </c>
      <c r="N18" s="82">
        <v>114526120</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7.5424101040894878E-2</v>
      </c>
      <c r="D21" s="11">
        <f>IF(IFERROR(E13/D12,0)&gt;1,1,IFERROR(E13/D12,0))</f>
        <v>4.1837370792524066E-2</v>
      </c>
      <c r="E21" s="11">
        <f t="shared" ref="E21:M21" si="0">IF(IFERROR(F13/E12,0)&gt;1,1,IFERROR(F13/E12,0))</f>
        <v>0.13108821463255396</v>
      </c>
      <c r="F21" s="11">
        <f t="shared" si="0"/>
        <v>0.11207790537034537</v>
      </c>
      <c r="G21" s="11">
        <f t="shared" si="0"/>
        <v>9.1331818945994847E-2</v>
      </c>
      <c r="H21" s="11">
        <f t="shared" si="0"/>
        <v>4.5452430784361557E-2</v>
      </c>
      <c r="I21" s="11">
        <f t="shared" si="0"/>
        <v>2.0938724354508057E-2</v>
      </c>
      <c r="J21" s="11">
        <f t="shared" si="0"/>
        <v>1.8539580402994606E-2</v>
      </c>
      <c r="K21" s="11">
        <f t="shared" si="0"/>
        <v>6.8398680894920669E-2</v>
      </c>
      <c r="L21" s="11">
        <f t="shared" si="0"/>
        <v>6.585378868737822E-2</v>
      </c>
      <c r="M21" s="83">
        <f t="shared" si="0"/>
        <v>5.9484770071540481E-2</v>
      </c>
      <c r="N21" s="84">
        <f>AVERAGE(C21:M21)</f>
        <v>6.6402489634365167E-2</v>
      </c>
      <c r="O21" s="174" t="s">
        <v>58</v>
      </c>
    </row>
    <row r="22" spans="2:15" x14ac:dyDescent="0.3">
      <c r="B22" s="13" t="s">
        <v>61</v>
      </c>
      <c r="C22" s="14">
        <f>IF(IFERROR(D14/C13,0)&gt;1,1,IFERROR(D14/C13,0))</f>
        <v>0.17732941536818658</v>
      </c>
      <c r="D22" s="14">
        <f t="shared" ref="D22:M22" si="1">IF(IFERROR(E14/D13,0)&gt;1,1,IFERROR(E14/D13,0))</f>
        <v>8.9648766819580158E-2</v>
      </c>
      <c r="E22" s="14">
        <f t="shared" si="1"/>
        <v>5.4771407293685445E-2</v>
      </c>
      <c r="F22" s="14">
        <f t="shared" si="1"/>
        <v>0</v>
      </c>
      <c r="G22" s="14">
        <f t="shared" si="1"/>
        <v>0.31032479876723784</v>
      </c>
      <c r="H22" s="14">
        <f t="shared" si="1"/>
        <v>0</v>
      </c>
      <c r="I22" s="14">
        <f t="shared" si="1"/>
        <v>1.7713065816549422E-2</v>
      </c>
      <c r="J22" s="14">
        <f t="shared" si="1"/>
        <v>0</v>
      </c>
      <c r="K22" s="14">
        <f t="shared" si="1"/>
        <v>0</v>
      </c>
      <c r="L22" s="14">
        <f t="shared" si="1"/>
        <v>0</v>
      </c>
      <c r="M22" s="85">
        <f t="shared" si="1"/>
        <v>0.12604094638963795</v>
      </c>
      <c r="N22" s="86">
        <f t="shared" ref="N22:N25" si="2">AVERAGE(C22:M22)</f>
        <v>7.0529854586807036E-2</v>
      </c>
      <c r="O22" s="174"/>
    </row>
    <row r="23" spans="2:15" x14ac:dyDescent="0.3">
      <c r="B23" s="13" t="s">
        <v>62</v>
      </c>
      <c r="C23" s="14">
        <f t="shared" ref="C23:M25" si="3">IF(IFERROR(D15/C14,0)&gt;1,1,IFERROR(D15/C14,0))</f>
        <v>0.84928058648861493</v>
      </c>
      <c r="D23" s="14">
        <f t="shared" si="3"/>
        <v>0</v>
      </c>
      <c r="E23" s="14">
        <f t="shared" si="3"/>
        <v>0.24509883916670663</v>
      </c>
      <c r="F23" s="14">
        <f t="shared" si="3"/>
        <v>0</v>
      </c>
      <c r="G23" s="14">
        <f t="shared" si="3"/>
        <v>0</v>
      </c>
      <c r="H23" s="14">
        <f t="shared" si="3"/>
        <v>0.86472227117021372</v>
      </c>
      <c r="I23" s="14">
        <f t="shared" si="3"/>
        <v>0</v>
      </c>
      <c r="J23" s="14">
        <f t="shared" si="3"/>
        <v>1</v>
      </c>
      <c r="K23" s="14">
        <f t="shared" si="3"/>
        <v>0</v>
      </c>
      <c r="L23" s="14">
        <f t="shared" si="3"/>
        <v>0</v>
      </c>
      <c r="M23" s="85">
        <f t="shared" si="3"/>
        <v>0</v>
      </c>
      <c r="N23" s="86">
        <f t="shared" si="2"/>
        <v>0.26900924516595776</v>
      </c>
      <c r="O23" s="174"/>
    </row>
    <row r="24" spans="2:15" x14ac:dyDescent="0.3">
      <c r="B24" s="13" t="s">
        <v>63</v>
      </c>
      <c r="C24" s="14">
        <f t="shared" si="3"/>
        <v>0</v>
      </c>
      <c r="D24" s="14">
        <f t="shared" si="3"/>
        <v>0.75764890771865334</v>
      </c>
      <c r="E24" s="14">
        <f t="shared" si="3"/>
        <v>0</v>
      </c>
      <c r="F24" s="14">
        <f t="shared" si="3"/>
        <v>0</v>
      </c>
      <c r="G24" s="14">
        <f t="shared" si="3"/>
        <v>0</v>
      </c>
      <c r="H24" s="14">
        <f t="shared" si="3"/>
        <v>0</v>
      </c>
      <c r="I24" s="14">
        <f t="shared" si="3"/>
        <v>0.96871186660967634</v>
      </c>
      <c r="J24" s="14">
        <f t="shared" si="3"/>
        <v>0</v>
      </c>
      <c r="K24" s="14">
        <f t="shared" si="3"/>
        <v>0.10279666436112597</v>
      </c>
      <c r="L24" s="14">
        <f t="shared" si="3"/>
        <v>0</v>
      </c>
      <c r="M24" s="87">
        <f t="shared" si="3"/>
        <v>0</v>
      </c>
      <c r="N24" s="86">
        <f t="shared" si="2"/>
        <v>0.16628703988085961</v>
      </c>
      <c r="O24" s="174"/>
    </row>
    <row r="25" spans="2:15" ht="14.25" thickBot="1" x14ac:dyDescent="0.35">
      <c r="B25" s="15" t="s">
        <v>64</v>
      </c>
      <c r="C25" s="16">
        <f t="shared" si="3"/>
        <v>0</v>
      </c>
      <c r="D25" s="16">
        <f t="shared" si="3"/>
        <v>0</v>
      </c>
      <c r="E25" s="16">
        <f t="shared" si="3"/>
        <v>0</v>
      </c>
      <c r="F25" s="16">
        <f t="shared" si="3"/>
        <v>0</v>
      </c>
      <c r="G25" s="16">
        <f t="shared" si="3"/>
        <v>0</v>
      </c>
      <c r="H25" s="16">
        <f t="shared" si="3"/>
        <v>0</v>
      </c>
      <c r="I25" s="16">
        <f t="shared" si="3"/>
        <v>0</v>
      </c>
      <c r="J25" s="16">
        <f t="shared" si="3"/>
        <v>0.86120606121268894</v>
      </c>
      <c r="K25" s="16">
        <f t="shared" si="3"/>
        <v>0</v>
      </c>
      <c r="L25" s="16">
        <f t="shared" si="3"/>
        <v>1</v>
      </c>
      <c r="M25" s="88">
        <f t="shared" si="3"/>
        <v>0</v>
      </c>
      <c r="N25" s="89">
        <f t="shared" si="2"/>
        <v>0.16920055101933534</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373</v>
      </c>
      <c r="D32" s="91" t="s">
        <v>373</v>
      </c>
      <c r="E32" s="92" t="s">
        <v>373</v>
      </c>
      <c r="F32" s="93" t="s">
        <v>373</v>
      </c>
      <c r="G32" s="56" t="s">
        <v>373</v>
      </c>
      <c r="I32" s="108"/>
      <c r="J32" s="108"/>
      <c r="K32" s="108"/>
    </row>
    <row r="33" spans="2:11" x14ac:dyDescent="0.3">
      <c r="B33" s="20" t="s">
        <v>26</v>
      </c>
      <c r="C33" s="94">
        <f t="shared" ref="C33:C39" si="4">N12</f>
        <v>1962667876</v>
      </c>
      <c r="D33" s="50">
        <f>C48</f>
        <v>0</v>
      </c>
      <c r="E33" s="95">
        <f>C33-D33</f>
        <v>1962667876</v>
      </c>
      <c r="F33" s="63">
        <f>PRODUCT(N21:$N$25)</f>
        <v>3.544742827667787E-5</v>
      </c>
      <c r="G33" s="57">
        <f>ROUND(E33*F33,)</f>
        <v>69572</v>
      </c>
      <c r="I33" s="108"/>
      <c r="J33" s="108"/>
      <c r="K33" s="108"/>
    </row>
    <row r="34" spans="2:11" x14ac:dyDescent="0.3">
      <c r="B34" s="22" t="s">
        <v>38</v>
      </c>
      <c r="C34" s="96">
        <f t="shared" si="4"/>
        <v>102054537</v>
      </c>
      <c r="D34" s="52">
        <f t="shared" ref="D34:D39" si="5">C49</f>
        <v>0</v>
      </c>
      <c r="E34" s="97">
        <f t="shared" ref="E34:E39" si="6">C34-D34</f>
        <v>102054537</v>
      </c>
      <c r="F34" s="64">
        <f>PRODUCT(N22:$N$25)</f>
        <v>5.3382679583045063E-4</v>
      </c>
      <c r="G34" s="58">
        <f t="shared" ref="G34:G37" si="7">ROUND(E34*F34,)</f>
        <v>54479</v>
      </c>
      <c r="I34" s="108"/>
      <c r="J34" s="108"/>
      <c r="K34" s="108"/>
    </row>
    <row r="35" spans="2:11" x14ac:dyDescent="0.3">
      <c r="B35" s="22" t="s">
        <v>28</v>
      </c>
      <c r="C35" s="96">
        <f t="shared" si="4"/>
        <v>20356752</v>
      </c>
      <c r="D35" s="52">
        <f t="shared" si="5"/>
        <v>0</v>
      </c>
      <c r="E35" s="97">
        <f t="shared" si="6"/>
        <v>20356752</v>
      </c>
      <c r="F35" s="64">
        <f>PRODUCT(N23:$N$25)</f>
        <v>7.5688061312167466E-3</v>
      </c>
      <c r="G35" s="58">
        <f t="shared" si="7"/>
        <v>154076</v>
      </c>
      <c r="I35" s="108"/>
      <c r="J35" s="108"/>
      <c r="K35" s="108"/>
    </row>
    <row r="36" spans="2:11" x14ac:dyDescent="0.3">
      <c r="B36" s="22" t="s">
        <v>29</v>
      </c>
      <c r="C36" s="96">
        <f t="shared" si="4"/>
        <v>0</v>
      </c>
      <c r="D36" s="52">
        <f t="shared" si="5"/>
        <v>0</v>
      </c>
      <c r="E36" s="97">
        <f t="shared" si="6"/>
        <v>0</v>
      </c>
      <c r="F36" s="64">
        <f>PRODUCT(N24:$N$25)</f>
        <v>2.8135858775215638E-2</v>
      </c>
      <c r="G36" s="58">
        <f t="shared" si="7"/>
        <v>0</v>
      </c>
      <c r="I36" s="108"/>
      <c r="J36" s="108"/>
      <c r="K36" s="108"/>
    </row>
    <row r="37" spans="2:11" ht="14.25" thickBot="1" x14ac:dyDescent="0.35">
      <c r="B37" s="25" t="s">
        <v>31</v>
      </c>
      <c r="C37" s="98">
        <f t="shared" si="4"/>
        <v>0</v>
      </c>
      <c r="D37" s="55">
        <f t="shared" si="5"/>
        <v>0</v>
      </c>
      <c r="E37" s="99">
        <f t="shared" si="6"/>
        <v>0</v>
      </c>
      <c r="F37" s="67">
        <f>PRODUCT(N25:$N$25)</f>
        <v>0.16920055101933534</v>
      </c>
      <c r="G37" s="59">
        <f t="shared" si="7"/>
        <v>0</v>
      </c>
      <c r="I37" s="108"/>
      <c r="J37" s="108"/>
      <c r="K37" s="108"/>
    </row>
    <row r="38" spans="2:11" x14ac:dyDescent="0.3">
      <c r="B38" s="27" t="s">
        <v>33</v>
      </c>
      <c r="C38" s="94">
        <f t="shared" si="4"/>
        <v>0</v>
      </c>
      <c r="D38" s="50">
        <f t="shared" si="5"/>
        <v>0</v>
      </c>
      <c r="E38" s="29">
        <f t="shared" si="6"/>
        <v>0</v>
      </c>
      <c r="F38" s="100">
        <v>1</v>
      </c>
      <c r="G38" s="60">
        <f>ROUND(E38*F38,)</f>
        <v>0</v>
      </c>
      <c r="I38" s="108"/>
      <c r="J38" s="108"/>
      <c r="K38" s="108"/>
    </row>
    <row r="39" spans="2:11" ht="14.25" thickBot="1" x14ac:dyDescent="0.35">
      <c r="B39" s="30" t="s">
        <v>35</v>
      </c>
      <c r="C39" s="98">
        <f t="shared" si="4"/>
        <v>114526120</v>
      </c>
      <c r="D39" s="55">
        <f t="shared" si="5"/>
        <v>114321318</v>
      </c>
      <c r="E39" s="32">
        <f t="shared" si="6"/>
        <v>204802</v>
      </c>
      <c r="F39" s="67">
        <v>1</v>
      </c>
      <c r="G39" s="61">
        <f>ROUND(E39*F39,)</f>
        <v>204802</v>
      </c>
      <c r="I39" s="108"/>
      <c r="J39" s="108"/>
      <c r="K39" s="108"/>
    </row>
    <row r="40" spans="2:11" ht="14.25" thickBot="1" x14ac:dyDescent="0.35">
      <c r="B40" s="30" t="s">
        <v>41</v>
      </c>
      <c r="C40" s="101">
        <f>SUM(C33:C39)</f>
        <v>2199605285</v>
      </c>
      <c r="D40" s="101">
        <f>SUM(D33:D39)</f>
        <v>114321318</v>
      </c>
      <c r="E40" s="102">
        <f>SUM(E33:E39)</f>
        <v>2085283967</v>
      </c>
      <c r="F40" s="67"/>
      <c r="G40" s="61">
        <f>SUM(G33:G39)</f>
        <v>482929</v>
      </c>
      <c r="H40" s="108"/>
      <c r="I40" s="108"/>
      <c r="J40" s="108"/>
      <c r="K40" s="108"/>
    </row>
    <row r="41" spans="2:11" ht="14.25" thickBot="1" x14ac:dyDescent="0.35">
      <c r="B41" s="108"/>
      <c r="E41" s="109"/>
      <c r="F41" s="110"/>
      <c r="G41" s="115"/>
      <c r="H41" s="108"/>
      <c r="I41" s="108"/>
      <c r="J41" s="108"/>
      <c r="K41" s="108"/>
    </row>
    <row r="42" spans="2:11" ht="14.25" thickBot="1" x14ac:dyDescent="0.35">
      <c r="G42" s="33">
        <f>G40</f>
        <v>482929</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17" t="s">
        <v>374</v>
      </c>
      <c r="D47" s="19" t="s">
        <v>373</v>
      </c>
    </row>
    <row r="48" spans="2:11" x14ac:dyDescent="0.3">
      <c r="B48" s="20" t="s">
        <v>26</v>
      </c>
      <c r="C48" s="34">
        <v>0</v>
      </c>
      <c r="D48" s="35">
        <v>0</v>
      </c>
      <c r="F48" s="173" t="s">
        <v>85</v>
      </c>
      <c r="G48" s="173"/>
      <c r="H48" s="173"/>
      <c r="I48" s="173"/>
    </row>
    <row r="49" spans="1:10" x14ac:dyDescent="0.3">
      <c r="B49" s="22" t="s">
        <v>38</v>
      </c>
      <c r="C49" s="36">
        <v>0</v>
      </c>
      <c r="D49" s="37">
        <v>0</v>
      </c>
      <c r="F49" s="104" t="s">
        <v>86</v>
      </c>
      <c r="G49" s="105">
        <v>27256788</v>
      </c>
      <c r="H49" s="104" t="s">
        <v>87</v>
      </c>
      <c r="I49" s="105">
        <v>49060000</v>
      </c>
    </row>
    <row r="50" spans="1:10" x14ac:dyDescent="0.3">
      <c r="B50" s="22" t="s">
        <v>28</v>
      </c>
      <c r="C50" s="36">
        <v>0</v>
      </c>
      <c r="D50" s="37">
        <v>0</v>
      </c>
      <c r="F50" s="104" t="s">
        <v>88</v>
      </c>
      <c r="G50" s="105">
        <v>3228130</v>
      </c>
      <c r="H50" s="104" t="s">
        <v>89</v>
      </c>
      <c r="I50" s="105">
        <v>12000000</v>
      </c>
    </row>
    <row r="51" spans="1:10" x14ac:dyDescent="0.3">
      <c r="B51" s="22" t="s">
        <v>29</v>
      </c>
      <c r="C51" s="36">
        <v>0</v>
      </c>
      <c r="D51" s="37">
        <v>0</v>
      </c>
      <c r="F51" s="104" t="s">
        <v>354</v>
      </c>
      <c r="G51" s="105">
        <v>22776400</v>
      </c>
      <c r="H51" s="106"/>
      <c r="I51" s="105"/>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114321318</v>
      </c>
      <c r="D54" s="41">
        <f>C54</f>
        <v>114321318</v>
      </c>
    </row>
    <row r="55" spans="1:10" ht="14.25" thickBot="1" x14ac:dyDescent="0.35">
      <c r="B55" s="46" t="s">
        <v>11</v>
      </c>
      <c r="C55" s="47">
        <f>SUM(C48:C54)</f>
        <v>114321318</v>
      </c>
      <c r="D55" s="48">
        <f>SUM(D48:D54)</f>
        <v>114321318</v>
      </c>
    </row>
    <row r="56" spans="1:10" ht="14.25" thickBot="1" x14ac:dyDescent="0.35"/>
    <row r="57" spans="1:10" ht="14.25" thickBot="1" x14ac:dyDescent="0.35">
      <c r="E57" s="33">
        <f>D55</f>
        <v>114321318</v>
      </c>
      <c r="F57" s="2" t="s">
        <v>51</v>
      </c>
    </row>
    <row r="59" spans="1:10" x14ac:dyDescent="0.3">
      <c r="B59" s="111" t="s">
        <v>12</v>
      </c>
    </row>
    <row r="60" spans="1:10" x14ac:dyDescent="0.3">
      <c r="B60" s="2" t="s">
        <v>20</v>
      </c>
      <c r="H60" s="118" t="s">
        <v>370</v>
      </c>
      <c r="I60" s="118" t="s">
        <v>84</v>
      </c>
      <c r="J60" s="118" t="s">
        <v>78</v>
      </c>
    </row>
    <row r="61" spans="1:10" x14ac:dyDescent="0.3">
      <c r="B61" s="42" t="s">
        <v>14</v>
      </c>
      <c r="C61" s="42" t="s">
        <v>15</v>
      </c>
      <c r="D61" s="42" t="s">
        <v>98</v>
      </c>
      <c r="E61" s="42" t="s">
        <v>52</v>
      </c>
      <c r="H61" s="43" t="s">
        <v>376</v>
      </c>
      <c r="I61" s="119">
        <f>D63+'전이율 적용(2021.4Q)-수출'!D63</f>
        <v>414595593</v>
      </c>
      <c r="J61" s="119">
        <v>739946819</v>
      </c>
    </row>
    <row r="62" spans="1:10" x14ac:dyDescent="0.3">
      <c r="A62" s="2" t="s">
        <v>18</v>
      </c>
      <c r="B62" s="103" t="s">
        <v>100</v>
      </c>
      <c r="C62" s="43" t="s">
        <v>4</v>
      </c>
      <c r="D62" s="44">
        <v>2199605285</v>
      </c>
      <c r="E62" s="43"/>
      <c r="H62" s="43" t="s">
        <v>79</v>
      </c>
      <c r="I62" s="119">
        <v>650528038</v>
      </c>
      <c r="J62" s="119">
        <v>806659219</v>
      </c>
    </row>
    <row r="63" spans="1:10" x14ac:dyDescent="0.3">
      <c r="A63" s="2" t="s">
        <v>19</v>
      </c>
      <c r="B63" s="43">
        <v>1110321</v>
      </c>
      <c r="C63" s="43" t="s">
        <v>13</v>
      </c>
      <c r="D63" s="44">
        <v>114804247</v>
      </c>
      <c r="E63" s="45">
        <f>D63-G42-E57</f>
        <v>0</v>
      </c>
      <c r="F63" s="2" t="s">
        <v>16</v>
      </c>
      <c r="H63" s="43" t="s">
        <v>81</v>
      </c>
      <c r="I63" s="119">
        <v>300000000</v>
      </c>
      <c r="J63" s="119"/>
    </row>
    <row r="64" spans="1:10" x14ac:dyDescent="0.3">
      <c r="B64" s="43"/>
      <c r="C64" s="43" t="s">
        <v>101</v>
      </c>
      <c r="D64" s="45">
        <f>D62-D63</f>
        <v>2084801038</v>
      </c>
      <c r="E64" s="45">
        <f>D64-E40-C55+G42+E57</f>
        <v>0</v>
      </c>
      <c r="F64" s="2" t="s">
        <v>16</v>
      </c>
      <c r="H64" s="106" t="s">
        <v>82</v>
      </c>
      <c r="I64" s="120">
        <f>I61-I62+I63</f>
        <v>64067555</v>
      </c>
      <c r="J64" s="107">
        <f>J61-J62+J63</f>
        <v>-66712400</v>
      </c>
    </row>
    <row r="66" spans="8:10" x14ac:dyDescent="0.3">
      <c r="H66" s="118" t="s">
        <v>371</v>
      </c>
      <c r="I66" s="118" t="s">
        <v>84</v>
      </c>
      <c r="J66" s="118" t="s">
        <v>78</v>
      </c>
    </row>
    <row r="67" spans="8:10" x14ac:dyDescent="0.3">
      <c r="H67" s="43" t="s">
        <v>377</v>
      </c>
      <c r="I67" s="119">
        <v>70000000</v>
      </c>
      <c r="J67" s="119"/>
    </row>
    <row r="68" spans="8:10" x14ac:dyDescent="0.3">
      <c r="H68" s="43" t="s">
        <v>378</v>
      </c>
      <c r="I68" s="119">
        <v>80000000</v>
      </c>
      <c r="J68" s="119"/>
    </row>
    <row r="69" spans="8:10" x14ac:dyDescent="0.3">
      <c r="H69" s="43" t="s">
        <v>81</v>
      </c>
      <c r="I69" s="119"/>
      <c r="J69" s="119"/>
    </row>
    <row r="70" spans="8:10" x14ac:dyDescent="0.3">
      <c r="H70" s="106" t="s">
        <v>82</v>
      </c>
      <c r="I70" s="120">
        <f>I68+I67</f>
        <v>150000000</v>
      </c>
      <c r="J70" s="107">
        <f>J67-J68+J69</f>
        <v>0</v>
      </c>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2060"/>
  </sheetPr>
  <dimension ref="A2:O64"/>
  <sheetViews>
    <sheetView topLeftCell="A43" zoomScaleNormal="100" workbookViewId="0">
      <selection activeCell="D63" sqref="D63"/>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71</v>
      </c>
      <c r="D11" s="4" t="s">
        <v>72</v>
      </c>
      <c r="E11" s="4" t="s">
        <v>75</v>
      </c>
      <c r="F11" s="4" t="s">
        <v>76</v>
      </c>
      <c r="G11" s="4" t="s">
        <v>73</v>
      </c>
      <c r="H11" s="4" t="s">
        <v>74</v>
      </c>
      <c r="I11" s="4" t="s">
        <v>246</v>
      </c>
      <c r="J11" s="4" t="s">
        <v>355</v>
      </c>
      <c r="K11" s="4" t="s">
        <v>362</v>
      </c>
      <c r="L11" s="73" t="s">
        <v>363</v>
      </c>
      <c r="M11" s="4" t="s">
        <v>372</v>
      </c>
      <c r="N11" s="80" t="s">
        <v>373</v>
      </c>
    </row>
    <row r="12" spans="2:14" x14ac:dyDescent="0.3">
      <c r="B12" s="5" t="s">
        <v>27</v>
      </c>
      <c r="C12" s="6">
        <v>5574200261</v>
      </c>
      <c r="D12" s="6">
        <v>6022453750</v>
      </c>
      <c r="E12" s="6">
        <v>5392409126</v>
      </c>
      <c r="F12" s="6">
        <v>5474074544</v>
      </c>
      <c r="G12" s="6">
        <v>5476373785</v>
      </c>
      <c r="H12" s="6">
        <v>5197654177</v>
      </c>
      <c r="I12" s="6">
        <v>5226625839</v>
      </c>
      <c r="J12" s="6">
        <v>5177507228</v>
      </c>
      <c r="K12" s="6">
        <v>7686782434</v>
      </c>
      <c r="L12" s="74">
        <v>6513914814</v>
      </c>
      <c r="M12" s="6">
        <v>6967970393</v>
      </c>
      <c r="N12" s="81">
        <v>6661971596</v>
      </c>
    </row>
    <row r="13" spans="2:14" x14ac:dyDescent="0.3">
      <c r="B13" s="7" t="s">
        <v>39</v>
      </c>
      <c r="C13" s="6">
        <v>1781420905</v>
      </c>
      <c r="D13" s="6">
        <v>1931837477</v>
      </c>
      <c r="E13" s="6">
        <v>2157847550</v>
      </c>
      <c r="F13" s="6">
        <v>1668750550</v>
      </c>
      <c r="G13" s="6">
        <v>1895954647</v>
      </c>
      <c r="H13" s="6">
        <v>1734563258</v>
      </c>
      <c r="I13" s="6">
        <v>1217048730</v>
      </c>
      <c r="J13" s="6">
        <v>1057246878</v>
      </c>
      <c r="K13" s="6">
        <v>844001742</v>
      </c>
      <c r="L13" s="74">
        <v>1826886285</v>
      </c>
      <c r="M13" s="6">
        <v>1492293396</v>
      </c>
      <c r="N13" s="81">
        <v>1580210690</v>
      </c>
    </row>
    <row r="14" spans="2:14" x14ac:dyDescent="0.3">
      <c r="B14" s="7" t="s">
        <v>92</v>
      </c>
      <c r="C14" s="6">
        <v>576057660</v>
      </c>
      <c r="D14" s="6">
        <v>395061589</v>
      </c>
      <c r="E14" s="6">
        <v>888545016</v>
      </c>
      <c r="F14" s="6">
        <v>748393419</v>
      </c>
      <c r="G14" s="6">
        <v>979650983</v>
      </c>
      <c r="H14" s="6">
        <v>559786018</v>
      </c>
      <c r="I14" s="6">
        <v>239763111</v>
      </c>
      <c r="J14" s="6">
        <v>311848277</v>
      </c>
      <c r="K14" s="6">
        <v>392955886</v>
      </c>
      <c r="L14" s="74">
        <v>253537343</v>
      </c>
      <c r="M14" s="6">
        <v>417162571</v>
      </c>
      <c r="N14" s="81">
        <v>515963566</v>
      </c>
    </row>
    <row r="15" spans="2:14" x14ac:dyDescent="0.3">
      <c r="B15" s="7" t="s">
        <v>30</v>
      </c>
      <c r="C15" s="6">
        <v>159648530</v>
      </c>
      <c r="D15" s="6">
        <v>380736542</v>
      </c>
      <c r="E15" s="6">
        <v>164002785</v>
      </c>
      <c r="F15" s="6">
        <v>135164026</v>
      </c>
      <c r="G15" s="6">
        <v>446127690</v>
      </c>
      <c r="H15" s="6">
        <v>273503838</v>
      </c>
      <c r="I15" s="6">
        <v>283828249</v>
      </c>
      <c r="J15" s="6">
        <v>134444998</v>
      </c>
      <c r="K15" s="6">
        <v>159098911</v>
      </c>
      <c r="L15" s="74">
        <v>68481932</v>
      </c>
      <c r="M15" s="6">
        <v>13279209</v>
      </c>
      <c r="N15" s="81">
        <v>151736282</v>
      </c>
    </row>
    <row r="16" spans="2:14" x14ac:dyDescent="0.3">
      <c r="B16" s="7" t="s">
        <v>32</v>
      </c>
      <c r="C16" s="6">
        <v>90387652</v>
      </c>
      <c r="D16" s="6">
        <v>55818029</v>
      </c>
      <c r="E16" s="6">
        <v>7084007</v>
      </c>
      <c r="F16" s="6">
        <v>20193132</v>
      </c>
      <c r="G16" s="6">
        <v>35618067</v>
      </c>
      <c r="H16" s="6">
        <v>77613140</v>
      </c>
      <c r="I16" s="6">
        <v>56425025</v>
      </c>
      <c r="J16" s="6">
        <v>58227888</v>
      </c>
      <c r="K16" s="6"/>
      <c r="L16" s="74">
        <v>21947673</v>
      </c>
      <c r="M16" s="6">
        <v>33188303</v>
      </c>
      <c r="N16" s="81">
        <v>13285934</v>
      </c>
    </row>
    <row r="17" spans="2:15" x14ac:dyDescent="0.3">
      <c r="B17" s="7" t="s">
        <v>34</v>
      </c>
      <c r="C17" s="6"/>
      <c r="D17" s="6">
        <v>4916400</v>
      </c>
      <c r="E17" s="6">
        <v>973053</v>
      </c>
      <c r="F17" s="6"/>
      <c r="G17" s="6">
        <v>21323305</v>
      </c>
      <c r="H17" s="6">
        <v>34980053</v>
      </c>
      <c r="I17" s="6">
        <v>56383366</v>
      </c>
      <c r="J17" s="6">
        <v>52313956</v>
      </c>
      <c r="K17" s="6">
        <v>4080600</v>
      </c>
      <c r="L17" s="74"/>
      <c r="M17" s="6">
        <v>23013981</v>
      </c>
      <c r="N17" s="81">
        <v>31912914</v>
      </c>
    </row>
    <row r="18" spans="2:15" ht="14.25" thickBot="1" x14ac:dyDescent="0.35">
      <c r="B18" s="8" t="s">
        <v>93</v>
      </c>
      <c r="C18" s="9">
        <v>165142745</v>
      </c>
      <c r="D18" s="9">
        <v>165776943</v>
      </c>
      <c r="E18" s="9">
        <v>157888843</v>
      </c>
      <c r="F18" s="9">
        <v>132462486</v>
      </c>
      <c r="G18" s="9">
        <v>127164358</v>
      </c>
      <c r="H18" s="9">
        <v>148105707</v>
      </c>
      <c r="I18" s="9">
        <v>127164358</v>
      </c>
      <c r="J18" s="9">
        <v>168559690</v>
      </c>
      <c r="K18" s="9">
        <v>202122554</v>
      </c>
      <c r="L18" s="75">
        <v>172059100</v>
      </c>
      <c r="M18" s="9">
        <v>138693269</v>
      </c>
      <c r="N18" s="82">
        <v>151920823</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0.346567648549719</v>
      </c>
      <c r="D21" s="11">
        <f>IF(IFERROR(E13/D12,0)&gt;1,1,IFERROR(E13/D12,0))</f>
        <v>0.35830039375561828</v>
      </c>
      <c r="E21" s="11">
        <f t="shared" ref="E21:M21" si="0">IF(IFERROR(F13/E12,0)&gt;1,1,IFERROR(F13/E12,0))</f>
        <v>0.30946289701090457</v>
      </c>
      <c r="F21" s="11">
        <f t="shared" si="0"/>
        <v>0.3463516310858627</v>
      </c>
      <c r="G21" s="11">
        <f t="shared" si="0"/>
        <v>0.31673573172653702</v>
      </c>
      <c r="H21" s="11">
        <f t="shared" si="0"/>
        <v>0.23415346395793887</v>
      </c>
      <c r="I21" s="11">
        <f t="shared" si="0"/>
        <v>0.2022809572690363</v>
      </c>
      <c r="J21" s="11">
        <f t="shared" si="0"/>
        <v>0.16301314606296094</v>
      </c>
      <c r="K21" s="11">
        <f t="shared" si="0"/>
        <v>0.23766592858402735</v>
      </c>
      <c r="L21" s="11">
        <f t="shared" si="0"/>
        <v>0.22909317033018234</v>
      </c>
      <c r="M21" s="83">
        <f t="shared" si="0"/>
        <v>0.2267820614719423</v>
      </c>
      <c r="N21" s="84">
        <f>AVERAGE(C21:M21)</f>
        <v>0.27003700270952086</v>
      </c>
      <c r="O21" s="174" t="s">
        <v>58</v>
      </c>
    </row>
    <row r="22" spans="2:15" x14ac:dyDescent="0.3">
      <c r="B22" s="13" t="s">
        <v>61</v>
      </c>
      <c r="C22" s="14">
        <f>IF(IFERROR(D14/C13,0)&gt;1,1,IFERROR(D14/C13,0))</f>
        <v>0.22176768437552383</v>
      </c>
      <c r="D22" s="14">
        <f t="shared" ref="D22:M22" si="1">IF(IFERROR(E14/D13,0)&gt;1,1,IFERROR(E14/D13,0))</f>
        <v>0.45994812015959247</v>
      </c>
      <c r="E22" s="14">
        <f t="shared" si="1"/>
        <v>0.34682404649021659</v>
      </c>
      <c r="F22" s="14">
        <f t="shared" si="1"/>
        <v>0.58705657535213995</v>
      </c>
      <c r="G22" s="14">
        <f t="shared" si="1"/>
        <v>0.29525285263851569</v>
      </c>
      <c r="H22" s="14">
        <f t="shared" si="1"/>
        <v>0.13822678988165216</v>
      </c>
      <c r="I22" s="14">
        <f t="shared" si="1"/>
        <v>0.25623318878940859</v>
      </c>
      <c r="J22" s="14">
        <f t="shared" si="1"/>
        <v>0.37167845484051643</v>
      </c>
      <c r="K22" s="14">
        <f t="shared" si="1"/>
        <v>0.30039907547963329</v>
      </c>
      <c r="L22" s="14">
        <f t="shared" si="1"/>
        <v>0.22834621641488759</v>
      </c>
      <c r="M22" s="85">
        <f t="shared" si="1"/>
        <v>0.34575209364526333</v>
      </c>
      <c r="N22" s="86">
        <f t="shared" ref="N22:N25" si="2">AVERAGE(C22:M22)</f>
        <v>0.32286228164248632</v>
      </c>
      <c r="O22" s="174"/>
    </row>
    <row r="23" spans="2:15" x14ac:dyDescent="0.3">
      <c r="B23" s="13" t="s">
        <v>62</v>
      </c>
      <c r="C23" s="14">
        <f t="shared" ref="C23:M25" si="3">IF(IFERROR(D15/C14,0)&gt;1,1,IFERROR(D15/C14,0))</f>
        <v>0.6609347786469848</v>
      </c>
      <c r="D23" s="14">
        <f t="shared" si="3"/>
        <v>0.41513219600805079</v>
      </c>
      <c r="E23" s="14">
        <f t="shared" si="3"/>
        <v>0.15211837730909067</v>
      </c>
      <c r="F23" s="14">
        <f t="shared" si="3"/>
        <v>0.59611386026899305</v>
      </c>
      <c r="G23" s="14">
        <f t="shared" si="3"/>
        <v>0.27918497786063062</v>
      </c>
      <c r="H23" s="14">
        <f t="shared" si="3"/>
        <v>0.50702990048601038</v>
      </c>
      <c r="I23" s="14">
        <f t="shared" si="3"/>
        <v>0.56074096402594642</v>
      </c>
      <c r="J23" s="14">
        <f t="shared" si="3"/>
        <v>0.51018050357866818</v>
      </c>
      <c r="K23" s="14">
        <f t="shared" si="3"/>
        <v>0.17427384202612503</v>
      </c>
      <c r="L23" s="14">
        <f t="shared" si="3"/>
        <v>5.2375752001155899E-2</v>
      </c>
      <c r="M23" s="85">
        <f t="shared" si="3"/>
        <v>0.36373417115602158</v>
      </c>
      <c r="N23" s="86">
        <f t="shared" si="2"/>
        <v>0.38834721121524346</v>
      </c>
      <c r="O23" s="174"/>
    </row>
    <row r="24" spans="2:15" x14ac:dyDescent="0.3">
      <c r="B24" s="13" t="s">
        <v>63</v>
      </c>
      <c r="C24" s="14">
        <f t="shared" si="3"/>
        <v>0.34963071066172674</v>
      </c>
      <c r="D24" s="14">
        <f t="shared" si="3"/>
        <v>1.8606060145390509E-2</v>
      </c>
      <c r="E24" s="14">
        <f t="shared" si="3"/>
        <v>0.12312676275588856</v>
      </c>
      <c r="F24" s="14">
        <f t="shared" si="3"/>
        <v>0.26351735779163604</v>
      </c>
      <c r="G24" s="14">
        <f t="shared" si="3"/>
        <v>0.17397068538830218</v>
      </c>
      <c r="H24" s="14">
        <f t="shared" si="3"/>
        <v>0.20630432615720734</v>
      </c>
      <c r="I24" s="14">
        <f t="shared" si="3"/>
        <v>0.20515184166886785</v>
      </c>
      <c r="J24" s="14">
        <f t="shared" si="3"/>
        <v>0</v>
      </c>
      <c r="K24" s="14">
        <f t="shared" si="3"/>
        <v>0.13794986315148317</v>
      </c>
      <c r="L24" s="14">
        <f t="shared" si="3"/>
        <v>0.48462860247575962</v>
      </c>
      <c r="M24" s="87">
        <f t="shared" si="3"/>
        <v>1</v>
      </c>
      <c r="N24" s="86">
        <f t="shared" si="2"/>
        <v>0.26935329183602386</v>
      </c>
      <c r="O24" s="174"/>
    </row>
    <row r="25" spans="2:15" ht="14.25" thickBot="1" x14ac:dyDescent="0.35">
      <c r="B25" s="15" t="s">
        <v>64</v>
      </c>
      <c r="C25" s="16">
        <f t="shared" si="3"/>
        <v>5.4392385366974681E-2</v>
      </c>
      <c r="D25" s="16">
        <f t="shared" si="3"/>
        <v>1.7432593329298675E-2</v>
      </c>
      <c r="E25" s="16">
        <f t="shared" si="3"/>
        <v>0</v>
      </c>
      <c r="F25" s="16">
        <f t="shared" si="3"/>
        <v>1</v>
      </c>
      <c r="G25" s="16">
        <f t="shared" si="3"/>
        <v>0.98208734909729944</v>
      </c>
      <c r="H25" s="16">
        <f t="shared" si="3"/>
        <v>0.72646675550042172</v>
      </c>
      <c r="I25" s="16">
        <f t="shared" si="3"/>
        <v>0.92714103361053013</v>
      </c>
      <c r="J25" s="16">
        <f t="shared" si="3"/>
        <v>7.0079821545304885E-2</v>
      </c>
      <c r="K25" s="16">
        <f t="shared" si="3"/>
        <v>0</v>
      </c>
      <c r="L25" s="16">
        <f t="shared" si="3"/>
        <v>1</v>
      </c>
      <c r="M25" s="88">
        <f t="shared" si="3"/>
        <v>0.96157112944280398</v>
      </c>
      <c r="N25" s="89">
        <f t="shared" si="2"/>
        <v>0.52174282435387576</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374</v>
      </c>
      <c r="D32" s="91" t="s">
        <v>373</v>
      </c>
      <c r="E32" s="92" t="s">
        <v>374</v>
      </c>
      <c r="F32" s="93" t="s">
        <v>375</v>
      </c>
      <c r="G32" s="56" t="s">
        <v>373</v>
      </c>
      <c r="I32" s="108"/>
      <c r="J32" s="108"/>
      <c r="K32" s="108"/>
    </row>
    <row r="33" spans="2:11" x14ac:dyDescent="0.3">
      <c r="B33" s="20" t="s">
        <v>26</v>
      </c>
      <c r="C33" s="94">
        <f t="shared" ref="C33:C39" si="4">N12</f>
        <v>6661971596</v>
      </c>
      <c r="D33" s="50">
        <f>C48</f>
        <v>0</v>
      </c>
      <c r="E33" s="95">
        <f>C33-D33</f>
        <v>6661971596</v>
      </c>
      <c r="F33" s="63">
        <f>PRODUCT(N21:$N$25)</f>
        <v>4.758165607746263E-3</v>
      </c>
      <c r="G33" s="57">
        <f>ROUND(E33*F33,)</f>
        <v>31698764</v>
      </c>
      <c r="I33" s="108"/>
      <c r="J33" s="108"/>
      <c r="K33" s="108"/>
    </row>
    <row r="34" spans="2:11" x14ac:dyDescent="0.3">
      <c r="B34" s="22" t="s">
        <v>38</v>
      </c>
      <c r="C34" s="96">
        <f t="shared" si="4"/>
        <v>1580210690</v>
      </c>
      <c r="D34" s="52">
        <f t="shared" ref="D34:D39" si="5">C49</f>
        <v>0</v>
      </c>
      <c r="E34" s="97">
        <f t="shared" ref="E34:E39" si="6">C34-D34</f>
        <v>1580210690</v>
      </c>
      <c r="F34" s="64">
        <f>PRODUCT(N22:$N$25)</f>
        <v>1.7620420757167961E-2</v>
      </c>
      <c r="G34" s="58">
        <f t="shared" ref="G34:G39" si="7">ROUND(E34*F34,)</f>
        <v>27843977</v>
      </c>
      <c r="I34" s="108"/>
      <c r="J34" s="108"/>
      <c r="K34" s="108"/>
    </row>
    <row r="35" spans="2:11" x14ac:dyDescent="0.3">
      <c r="B35" s="22" t="s">
        <v>28</v>
      </c>
      <c r="C35" s="96">
        <f t="shared" si="4"/>
        <v>515963566</v>
      </c>
      <c r="D35" s="52">
        <f t="shared" si="5"/>
        <v>0</v>
      </c>
      <c r="E35" s="97">
        <f t="shared" si="6"/>
        <v>515963566</v>
      </c>
      <c r="F35" s="64">
        <f>PRODUCT(N23:$N$25)</f>
        <v>5.4575655810670094E-2</v>
      </c>
      <c r="G35" s="58">
        <f t="shared" si="7"/>
        <v>28159050</v>
      </c>
      <c r="I35" s="108"/>
      <c r="J35" s="108"/>
      <c r="K35" s="108"/>
    </row>
    <row r="36" spans="2:11" x14ac:dyDescent="0.3">
      <c r="B36" s="22" t="s">
        <v>29</v>
      </c>
      <c r="C36" s="96">
        <f t="shared" si="4"/>
        <v>151736282</v>
      </c>
      <c r="D36" s="52">
        <f t="shared" si="5"/>
        <v>0</v>
      </c>
      <c r="E36" s="97">
        <f t="shared" si="6"/>
        <v>151736282</v>
      </c>
      <c r="F36" s="64">
        <f>PRODUCT(N24:$N$25)</f>
        <v>0.14053314723154084</v>
      </c>
      <c r="G36" s="58">
        <f t="shared" si="7"/>
        <v>21323977</v>
      </c>
      <c r="I36" s="108"/>
      <c r="J36" s="108"/>
      <c r="K36" s="108"/>
    </row>
    <row r="37" spans="2:11" ht="14.25" thickBot="1" x14ac:dyDescent="0.35">
      <c r="B37" s="25" t="s">
        <v>31</v>
      </c>
      <c r="C37" s="98">
        <f t="shared" si="4"/>
        <v>13285934</v>
      </c>
      <c r="D37" s="55">
        <f t="shared" si="5"/>
        <v>0</v>
      </c>
      <c r="E37" s="99">
        <f t="shared" si="6"/>
        <v>13285934</v>
      </c>
      <c r="F37" s="67">
        <f>PRODUCT(N25:$N$25)</f>
        <v>0.52174282435387576</v>
      </c>
      <c r="G37" s="59">
        <f t="shared" si="7"/>
        <v>6931841</v>
      </c>
      <c r="I37" s="108"/>
      <c r="J37" s="108"/>
      <c r="K37" s="108"/>
    </row>
    <row r="38" spans="2:11" x14ac:dyDescent="0.3">
      <c r="B38" s="27" t="s">
        <v>33</v>
      </c>
      <c r="C38" s="94">
        <f t="shared" si="4"/>
        <v>31912914</v>
      </c>
      <c r="D38" s="50">
        <f t="shared" si="5"/>
        <v>0</v>
      </c>
      <c r="E38" s="29">
        <f t="shared" si="6"/>
        <v>31912914</v>
      </c>
      <c r="F38" s="100">
        <v>1</v>
      </c>
      <c r="G38" s="60">
        <f t="shared" si="7"/>
        <v>31912914</v>
      </c>
      <c r="I38" s="108"/>
      <c r="J38" s="108"/>
      <c r="K38" s="108"/>
    </row>
    <row r="39" spans="2:11" ht="14.25" thickBot="1" x14ac:dyDescent="0.35">
      <c r="B39" s="30" t="s">
        <v>35</v>
      </c>
      <c r="C39" s="98">
        <f t="shared" si="4"/>
        <v>151920823</v>
      </c>
      <c r="D39" s="55">
        <f t="shared" si="5"/>
        <v>27647453</v>
      </c>
      <c r="E39" s="32">
        <f t="shared" si="6"/>
        <v>124273370</v>
      </c>
      <c r="F39" s="67">
        <v>1</v>
      </c>
      <c r="G39" s="61">
        <f t="shared" si="7"/>
        <v>124273370</v>
      </c>
      <c r="I39" s="108"/>
      <c r="J39" s="108"/>
      <c r="K39" s="108"/>
    </row>
    <row r="40" spans="2:11" ht="14.25" thickBot="1" x14ac:dyDescent="0.35">
      <c r="B40" s="30" t="s">
        <v>41</v>
      </c>
      <c r="C40" s="101">
        <f>SUM(C33:C39)</f>
        <v>9107001805</v>
      </c>
      <c r="D40" s="101">
        <f>SUM(D33:D39)</f>
        <v>27647453</v>
      </c>
      <c r="E40" s="102">
        <f>SUM(E33:E39)</f>
        <v>9079354352</v>
      </c>
      <c r="F40" s="67"/>
      <c r="G40" s="61">
        <f>SUM(G33:G39)</f>
        <v>272143893</v>
      </c>
      <c r="H40" s="108"/>
      <c r="I40" s="108"/>
      <c r="J40" s="108"/>
      <c r="K40" s="108"/>
    </row>
    <row r="41" spans="2:11" ht="14.25" thickBot="1" x14ac:dyDescent="0.35">
      <c r="B41" s="108"/>
      <c r="E41" s="109"/>
      <c r="F41" s="110"/>
      <c r="G41" s="115"/>
      <c r="H41" s="108"/>
      <c r="I41" s="108"/>
      <c r="J41" s="108"/>
      <c r="K41" s="108"/>
    </row>
    <row r="42" spans="2:11" ht="14.25" thickBot="1" x14ac:dyDescent="0.35">
      <c r="G42" s="33">
        <f>G40</f>
        <v>272143893</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17" t="s">
        <v>373</v>
      </c>
      <c r="D47" s="19" t="s">
        <v>373</v>
      </c>
    </row>
    <row r="48" spans="2:11" x14ac:dyDescent="0.3">
      <c r="B48" s="20" t="s">
        <v>26</v>
      </c>
      <c r="C48" s="34">
        <v>0</v>
      </c>
      <c r="D48" s="35">
        <v>0</v>
      </c>
      <c r="F48" s="173" t="s">
        <v>85</v>
      </c>
      <c r="G48" s="173"/>
      <c r="H48" s="173"/>
      <c r="I48" s="173"/>
    </row>
    <row r="49" spans="1:10" x14ac:dyDescent="0.3">
      <c r="B49" s="22" t="s">
        <v>38</v>
      </c>
      <c r="C49" s="36">
        <v>0</v>
      </c>
      <c r="D49" s="37">
        <v>0</v>
      </c>
      <c r="F49" s="104" t="s">
        <v>90</v>
      </c>
      <c r="G49" s="105">
        <v>27647453</v>
      </c>
      <c r="H49" s="104"/>
      <c r="I49" s="105"/>
    </row>
    <row r="50" spans="1:10" x14ac:dyDescent="0.3">
      <c r="B50" s="22" t="s">
        <v>28</v>
      </c>
      <c r="C50" s="36">
        <v>0</v>
      </c>
      <c r="D50" s="37">
        <v>0</v>
      </c>
      <c r="F50" s="104"/>
      <c r="G50" s="105"/>
      <c r="H50" s="104"/>
      <c r="I50" s="105"/>
    </row>
    <row r="51" spans="1:10" x14ac:dyDescent="0.3">
      <c r="B51" s="22" t="s">
        <v>29</v>
      </c>
      <c r="C51" s="36">
        <v>0</v>
      </c>
      <c r="D51" s="37">
        <v>0</v>
      </c>
      <c r="F51" s="104"/>
      <c r="G51" s="105"/>
      <c r="H51" s="106"/>
      <c r="I51" s="106"/>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27647453</v>
      </c>
      <c r="D54" s="41">
        <f>C54</f>
        <v>27647453</v>
      </c>
    </row>
    <row r="55" spans="1:10" ht="14.25" thickBot="1" x14ac:dyDescent="0.35">
      <c r="B55" s="46" t="s">
        <v>11</v>
      </c>
      <c r="C55" s="47">
        <f>SUM(C48:C54)</f>
        <v>27647453</v>
      </c>
      <c r="D55" s="48">
        <f>SUM(D48:D54)</f>
        <v>27647453</v>
      </c>
    </row>
    <row r="56" spans="1:10" ht="14.25" thickBot="1" x14ac:dyDescent="0.35"/>
    <row r="57" spans="1:10" ht="14.25" thickBot="1" x14ac:dyDescent="0.35">
      <c r="E57" s="33">
        <f>D55</f>
        <v>27647453</v>
      </c>
      <c r="F57" s="2" t="s">
        <v>51</v>
      </c>
    </row>
    <row r="59" spans="1:10" x14ac:dyDescent="0.3">
      <c r="B59" s="111" t="s">
        <v>12</v>
      </c>
    </row>
    <row r="60" spans="1:10" x14ac:dyDescent="0.3">
      <c r="B60" s="2" t="s">
        <v>20</v>
      </c>
      <c r="H60" s="118"/>
      <c r="I60" s="118"/>
      <c r="J60" s="118"/>
    </row>
    <row r="61" spans="1:10" x14ac:dyDescent="0.3">
      <c r="B61" s="42" t="s">
        <v>14</v>
      </c>
      <c r="C61" s="42" t="s">
        <v>15</v>
      </c>
      <c r="D61" s="42" t="s">
        <v>98</v>
      </c>
      <c r="E61" s="42" t="s">
        <v>52</v>
      </c>
      <c r="H61" s="43"/>
      <c r="I61" s="119"/>
      <c r="J61" s="119"/>
    </row>
    <row r="62" spans="1:10" x14ac:dyDescent="0.3">
      <c r="A62" s="2" t="s">
        <v>18</v>
      </c>
      <c r="B62" s="103" t="s">
        <v>100</v>
      </c>
      <c r="C62" s="43" t="s">
        <v>4</v>
      </c>
      <c r="D62" s="44">
        <v>9107001805</v>
      </c>
      <c r="E62" s="43"/>
      <c r="H62" s="43"/>
      <c r="I62" s="119"/>
      <c r="J62" s="119"/>
    </row>
    <row r="63" spans="1:10" x14ac:dyDescent="0.3">
      <c r="A63" s="2" t="s">
        <v>19</v>
      </c>
      <c r="B63" s="43">
        <v>1110321</v>
      </c>
      <c r="C63" s="43" t="s">
        <v>13</v>
      </c>
      <c r="D63" s="44">
        <v>299791346</v>
      </c>
      <c r="E63" s="45">
        <f>D63-G42-E57</f>
        <v>0</v>
      </c>
      <c r="F63" s="2" t="s">
        <v>16</v>
      </c>
      <c r="H63" s="43"/>
      <c r="I63" s="119"/>
      <c r="J63" s="119"/>
    </row>
    <row r="64" spans="1:10" x14ac:dyDescent="0.3">
      <c r="B64" s="43"/>
      <c r="C64" s="43" t="s">
        <v>101</v>
      </c>
      <c r="D64" s="45">
        <f>D62-D63</f>
        <v>8807210459</v>
      </c>
      <c r="E64" s="45">
        <f>D64-E40-C55+G42+E57</f>
        <v>0</v>
      </c>
      <c r="F64" s="2" t="s">
        <v>16</v>
      </c>
      <c r="H64" s="106"/>
      <c r="I64" s="120"/>
      <c r="J64" s="107"/>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2060"/>
  </sheetPr>
  <dimension ref="A2:O70"/>
  <sheetViews>
    <sheetView topLeftCell="C48" zoomScaleNormal="100" workbookViewId="0">
      <selection activeCell="I61" sqref="I61:I62"/>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72</v>
      </c>
      <c r="D11" s="4" t="s">
        <v>75</v>
      </c>
      <c r="E11" s="4" t="s">
        <v>76</v>
      </c>
      <c r="F11" s="4" t="s">
        <v>73</v>
      </c>
      <c r="G11" s="4" t="s">
        <v>74</v>
      </c>
      <c r="H11" s="4" t="s">
        <v>246</v>
      </c>
      <c r="I11" s="4" t="s">
        <v>355</v>
      </c>
      <c r="J11" s="4" t="s">
        <v>362</v>
      </c>
      <c r="K11" s="4" t="s">
        <v>363</v>
      </c>
      <c r="L11" s="73" t="s">
        <v>372</v>
      </c>
      <c r="M11" s="4" t="s">
        <v>379</v>
      </c>
      <c r="N11" s="80" t="s">
        <v>381</v>
      </c>
    </row>
    <row r="12" spans="2:14" x14ac:dyDescent="0.3">
      <c r="B12" s="5" t="s">
        <v>27</v>
      </c>
      <c r="C12" s="6">
        <v>2400410640</v>
      </c>
      <c r="D12" s="6">
        <v>2092236726</v>
      </c>
      <c r="E12" s="6">
        <v>2125383029</v>
      </c>
      <c r="F12" s="6">
        <v>1838003129</v>
      </c>
      <c r="G12" s="6">
        <v>2474596079</v>
      </c>
      <c r="H12" s="6">
        <v>2202685666</v>
      </c>
      <c r="I12" s="6">
        <v>2448094402</v>
      </c>
      <c r="J12" s="6">
        <v>2436043383</v>
      </c>
      <c r="K12" s="6">
        <v>2452539804</v>
      </c>
      <c r="L12" s="74">
        <v>1715641447</v>
      </c>
      <c r="M12" s="6">
        <v>1962667876</v>
      </c>
      <c r="N12" s="81">
        <v>1587555486</v>
      </c>
    </row>
    <row r="13" spans="2:14" x14ac:dyDescent="0.3">
      <c r="B13" s="7" t="s">
        <v>39</v>
      </c>
      <c r="C13" s="6">
        <v>177719656</v>
      </c>
      <c r="D13" s="6">
        <v>100426870</v>
      </c>
      <c r="E13" s="6">
        <v>274267577</v>
      </c>
      <c r="F13" s="6">
        <v>238208478</v>
      </c>
      <c r="G13" s="6">
        <v>167868169</v>
      </c>
      <c r="H13" s="6">
        <v>112476407</v>
      </c>
      <c r="I13" s="6">
        <v>46121428</v>
      </c>
      <c r="J13" s="6">
        <v>45386643</v>
      </c>
      <c r="K13" s="6">
        <v>166622154</v>
      </c>
      <c r="L13" s="74">
        <v>161509038</v>
      </c>
      <c r="M13" s="6">
        <v>102054537</v>
      </c>
      <c r="N13" s="81">
        <v>7902115</v>
      </c>
    </row>
    <row r="14" spans="2:14" x14ac:dyDescent="0.3">
      <c r="B14" s="7" t="s">
        <v>92</v>
      </c>
      <c r="C14" s="6">
        <v>24276453</v>
      </c>
      <c r="D14" s="6">
        <v>15932348</v>
      </c>
      <c r="E14" s="6">
        <v>5500521</v>
      </c>
      <c r="F14" s="6"/>
      <c r="G14" s="6">
        <v>73921998</v>
      </c>
      <c r="H14" s="6"/>
      <c r="I14" s="6">
        <v>1992302</v>
      </c>
      <c r="J14" s="6"/>
      <c r="K14" s="6"/>
      <c r="L14" s="74"/>
      <c r="M14" s="6">
        <v>20356752</v>
      </c>
      <c r="N14" s="81"/>
    </row>
    <row r="15" spans="2:14" x14ac:dyDescent="0.3">
      <c r="B15" s="7" t="s">
        <v>30</v>
      </c>
      <c r="C15" s="6">
        <v>59932773</v>
      </c>
      <c r="D15" s="6"/>
      <c r="E15" s="6">
        <v>3905000</v>
      </c>
      <c r="F15" s="6"/>
      <c r="G15" s="6"/>
      <c r="H15" s="6">
        <v>63921998</v>
      </c>
      <c r="I15" s="6"/>
      <c r="J15" s="6">
        <v>1992302</v>
      </c>
      <c r="K15" s="6"/>
      <c r="L15" s="74"/>
      <c r="M15" s="6"/>
      <c r="N15" s="81"/>
    </row>
    <row r="16" spans="2:14" x14ac:dyDescent="0.3">
      <c r="B16" s="7" t="s">
        <v>32</v>
      </c>
      <c r="C16" s="6"/>
      <c r="D16" s="6">
        <v>45408000</v>
      </c>
      <c r="E16" s="6"/>
      <c r="F16" s="6"/>
      <c r="G16" s="6"/>
      <c r="H16" s="6"/>
      <c r="I16" s="6">
        <v>61921998</v>
      </c>
      <c r="J16" s="6"/>
      <c r="K16" s="6">
        <v>204802</v>
      </c>
      <c r="L16" s="74"/>
      <c r="M16" s="6"/>
      <c r="N16" s="81"/>
    </row>
    <row r="17" spans="2:15" x14ac:dyDescent="0.3">
      <c r="B17" s="7" t="s">
        <v>34</v>
      </c>
      <c r="C17" s="6"/>
      <c r="D17" s="6"/>
      <c r="E17" s="6"/>
      <c r="F17" s="6"/>
      <c r="G17" s="6"/>
      <c r="H17" s="6"/>
      <c r="I17" s="6"/>
      <c r="J17" s="6">
        <v>53327600</v>
      </c>
      <c r="K17" s="6"/>
      <c r="L17" s="74">
        <v>204802</v>
      </c>
      <c r="M17" s="6"/>
      <c r="N17" s="81"/>
    </row>
    <row r="18" spans="2:15" ht="14.25" thickBot="1" x14ac:dyDescent="0.35">
      <c r="B18" s="8" t="s">
        <v>93</v>
      </c>
      <c r="C18" s="9">
        <v>899495522</v>
      </c>
      <c r="D18" s="9">
        <v>880558362</v>
      </c>
      <c r="E18" s="9">
        <v>880558362</v>
      </c>
      <c r="F18" s="9">
        <v>414321318</v>
      </c>
      <c r="G18" s="9">
        <v>414321318</v>
      </c>
      <c r="H18" s="9">
        <v>414321318</v>
      </c>
      <c r="I18" s="9">
        <v>414321318</v>
      </c>
      <c r="J18" s="9">
        <v>414321318</v>
      </c>
      <c r="K18" s="9">
        <v>467648918</v>
      </c>
      <c r="L18" s="75">
        <v>414321318</v>
      </c>
      <c r="M18" s="9">
        <v>114526120</v>
      </c>
      <c r="N18" s="82">
        <v>114526120</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4.1837370792524066E-2</v>
      </c>
      <c r="D21" s="11">
        <f>IF(IFERROR(E13/D12,0)&gt;1,1,IFERROR(E13/D12,0))</f>
        <v>0.13108821463255396</v>
      </c>
      <c r="E21" s="11">
        <f t="shared" ref="E21:M21" si="0">IF(IFERROR(F13/E12,0)&gt;1,1,IFERROR(F13/E12,0))</f>
        <v>0.11207790537034537</v>
      </c>
      <c r="F21" s="11">
        <f t="shared" si="0"/>
        <v>9.1331818945994847E-2</v>
      </c>
      <c r="G21" s="11">
        <f t="shared" si="0"/>
        <v>4.5452430784361557E-2</v>
      </c>
      <c r="H21" s="11">
        <f t="shared" si="0"/>
        <v>2.0938724354508057E-2</v>
      </c>
      <c r="I21" s="11">
        <f t="shared" si="0"/>
        <v>1.8539580402994606E-2</v>
      </c>
      <c r="J21" s="11">
        <f t="shared" si="0"/>
        <v>6.8398680894920669E-2</v>
      </c>
      <c r="K21" s="11">
        <f t="shared" si="0"/>
        <v>6.585378868737822E-2</v>
      </c>
      <c r="L21" s="11">
        <f t="shared" si="0"/>
        <v>5.9484770071540481E-2</v>
      </c>
      <c r="M21" s="83">
        <f t="shared" si="0"/>
        <v>4.02621100423004E-3</v>
      </c>
      <c r="N21" s="84">
        <f>AVERAGE(C21:M21)</f>
        <v>5.9911772358304721E-2</v>
      </c>
      <c r="O21" s="174" t="s">
        <v>58</v>
      </c>
    </row>
    <row r="22" spans="2:15" x14ac:dyDescent="0.3">
      <c r="B22" s="13" t="s">
        <v>61</v>
      </c>
      <c r="C22" s="14">
        <f>IF(IFERROR(D14/C13,0)&gt;1,1,IFERROR(D14/C13,0))</f>
        <v>8.9648766819580158E-2</v>
      </c>
      <c r="D22" s="14">
        <f t="shared" ref="D22:M22" si="1">IF(IFERROR(E14/D13,0)&gt;1,1,IFERROR(E14/D13,0))</f>
        <v>5.4771407293685445E-2</v>
      </c>
      <c r="E22" s="14">
        <f t="shared" si="1"/>
        <v>0</v>
      </c>
      <c r="F22" s="14">
        <f t="shared" si="1"/>
        <v>0.31032479876723784</v>
      </c>
      <c r="G22" s="14">
        <f t="shared" si="1"/>
        <v>0</v>
      </c>
      <c r="H22" s="14">
        <f t="shared" si="1"/>
        <v>1.7713065816549422E-2</v>
      </c>
      <c r="I22" s="14">
        <f t="shared" si="1"/>
        <v>0</v>
      </c>
      <c r="J22" s="14">
        <f t="shared" si="1"/>
        <v>0</v>
      </c>
      <c r="K22" s="14">
        <f t="shared" si="1"/>
        <v>0</v>
      </c>
      <c r="L22" s="14">
        <f t="shared" si="1"/>
        <v>0.12604094638963795</v>
      </c>
      <c r="M22" s="85">
        <f t="shared" si="1"/>
        <v>0</v>
      </c>
      <c r="N22" s="86">
        <f t="shared" ref="N22:N25" si="2">AVERAGE(C22:M22)</f>
        <v>5.4408998644244616E-2</v>
      </c>
      <c r="O22" s="174"/>
    </row>
    <row r="23" spans="2:15" x14ac:dyDescent="0.3">
      <c r="B23" s="13" t="s">
        <v>62</v>
      </c>
      <c r="C23" s="14">
        <f t="shared" ref="C23:M25" si="3">IF(IFERROR(D15/C14,0)&gt;1,1,IFERROR(D15/C14,0))</f>
        <v>0</v>
      </c>
      <c r="D23" s="14">
        <f t="shared" si="3"/>
        <v>0.24509883916670663</v>
      </c>
      <c r="E23" s="14">
        <f t="shared" si="3"/>
        <v>0</v>
      </c>
      <c r="F23" s="14">
        <f t="shared" si="3"/>
        <v>0</v>
      </c>
      <c r="G23" s="14">
        <f t="shared" si="3"/>
        <v>0.86472227117021372</v>
      </c>
      <c r="H23" s="14">
        <f t="shared" si="3"/>
        <v>0</v>
      </c>
      <c r="I23" s="14">
        <f t="shared" si="3"/>
        <v>1</v>
      </c>
      <c r="J23" s="14">
        <f t="shared" si="3"/>
        <v>0</v>
      </c>
      <c r="K23" s="14">
        <f t="shared" si="3"/>
        <v>0</v>
      </c>
      <c r="L23" s="14">
        <f t="shared" si="3"/>
        <v>0</v>
      </c>
      <c r="M23" s="85">
        <f t="shared" si="3"/>
        <v>0</v>
      </c>
      <c r="N23" s="86">
        <f t="shared" si="2"/>
        <v>0.19180191912153821</v>
      </c>
      <c r="O23" s="174"/>
    </row>
    <row r="24" spans="2:15" x14ac:dyDescent="0.3">
      <c r="B24" s="13" t="s">
        <v>63</v>
      </c>
      <c r="C24" s="14">
        <f t="shared" si="3"/>
        <v>0.75764890771865334</v>
      </c>
      <c r="D24" s="14">
        <f t="shared" si="3"/>
        <v>0</v>
      </c>
      <c r="E24" s="14">
        <f t="shared" si="3"/>
        <v>0</v>
      </c>
      <c r="F24" s="14">
        <f t="shared" si="3"/>
        <v>0</v>
      </c>
      <c r="G24" s="14">
        <f t="shared" si="3"/>
        <v>0</v>
      </c>
      <c r="H24" s="14">
        <f t="shared" si="3"/>
        <v>0.96871186660967634</v>
      </c>
      <c r="I24" s="14">
        <f t="shared" si="3"/>
        <v>0</v>
      </c>
      <c r="J24" s="14">
        <f t="shared" si="3"/>
        <v>0.10279666436112597</v>
      </c>
      <c r="K24" s="14">
        <f t="shared" si="3"/>
        <v>0</v>
      </c>
      <c r="L24" s="14">
        <f t="shared" si="3"/>
        <v>0</v>
      </c>
      <c r="M24" s="87">
        <f t="shared" si="3"/>
        <v>0</v>
      </c>
      <c r="N24" s="86">
        <f t="shared" si="2"/>
        <v>0.16628703988085961</v>
      </c>
      <c r="O24" s="174"/>
    </row>
    <row r="25" spans="2:15" ht="14.25" thickBot="1" x14ac:dyDescent="0.35">
      <c r="B25" s="15" t="s">
        <v>64</v>
      </c>
      <c r="C25" s="16">
        <f t="shared" si="3"/>
        <v>0</v>
      </c>
      <c r="D25" s="16">
        <f t="shared" si="3"/>
        <v>0</v>
      </c>
      <c r="E25" s="16">
        <f t="shared" si="3"/>
        <v>0</v>
      </c>
      <c r="F25" s="16">
        <f t="shared" si="3"/>
        <v>0</v>
      </c>
      <c r="G25" s="16">
        <f t="shared" si="3"/>
        <v>0</v>
      </c>
      <c r="H25" s="16">
        <f t="shared" si="3"/>
        <v>0</v>
      </c>
      <c r="I25" s="16">
        <f t="shared" si="3"/>
        <v>0.86120606121268894</v>
      </c>
      <c r="J25" s="16">
        <f t="shared" si="3"/>
        <v>0</v>
      </c>
      <c r="K25" s="16">
        <f t="shared" si="3"/>
        <v>1</v>
      </c>
      <c r="L25" s="16">
        <f t="shared" si="3"/>
        <v>0</v>
      </c>
      <c r="M25" s="88">
        <f t="shared" si="3"/>
        <v>0</v>
      </c>
      <c r="N25" s="89">
        <f t="shared" si="2"/>
        <v>0.16920055101933534</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381</v>
      </c>
      <c r="D32" s="91" t="s">
        <v>380</v>
      </c>
      <c r="E32" s="92" t="s">
        <v>380</v>
      </c>
      <c r="F32" s="93" t="s">
        <v>380</v>
      </c>
      <c r="G32" s="56" t="s">
        <v>380</v>
      </c>
      <c r="I32" s="108"/>
      <c r="J32" s="108"/>
      <c r="K32" s="108"/>
    </row>
    <row r="33" spans="2:11" x14ac:dyDescent="0.3">
      <c r="B33" s="20" t="s">
        <v>26</v>
      </c>
      <c r="C33" s="94">
        <f t="shared" ref="C33:C39" si="4">N12</f>
        <v>1587555486</v>
      </c>
      <c r="D33" s="50">
        <f>C48</f>
        <v>0</v>
      </c>
      <c r="E33" s="95">
        <f>C33-D33</f>
        <v>1587555486</v>
      </c>
      <c r="F33" s="63">
        <f>PRODUCT(N21:$N$25)</f>
        <v>1.7591222602103771E-5</v>
      </c>
      <c r="G33" s="57">
        <f>ROUND(E33*F33,)</f>
        <v>27927</v>
      </c>
      <c r="I33" s="108"/>
      <c r="J33" s="108"/>
      <c r="K33" s="108"/>
    </row>
    <row r="34" spans="2:11" x14ac:dyDescent="0.3">
      <c r="B34" s="22" t="s">
        <v>38</v>
      </c>
      <c r="C34" s="96">
        <f t="shared" si="4"/>
        <v>7902115</v>
      </c>
      <c r="D34" s="52">
        <f t="shared" ref="D34:D39" si="5">C49</f>
        <v>0</v>
      </c>
      <c r="E34" s="97">
        <f t="shared" ref="E34:E39" si="6">C34-D34</f>
        <v>7902115</v>
      </c>
      <c r="F34" s="64">
        <f>PRODUCT(N22:$N$25)</f>
        <v>2.9361879827054298E-4</v>
      </c>
      <c r="G34" s="58">
        <f t="shared" ref="G34:G37" si="7">ROUND(E34*F34,)</f>
        <v>2320</v>
      </c>
      <c r="I34" s="108"/>
      <c r="J34" s="108"/>
      <c r="K34" s="108"/>
    </row>
    <row r="35" spans="2:11" x14ac:dyDescent="0.3">
      <c r="B35" s="22" t="s">
        <v>28</v>
      </c>
      <c r="C35" s="96">
        <f t="shared" si="4"/>
        <v>0</v>
      </c>
      <c r="D35" s="52">
        <f t="shared" si="5"/>
        <v>0</v>
      </c>
      <c r="E35" s="97">
        <f t="shared" si="6"/>
        <v>0</v>
      </c>
      <c r="F35" s="64">
        <f>PRODUCT(N23:$N$25)</f>
        <v>5.3965117092189315E-3</v>
      </c>
      <c r="G35" s="58">
        <f t="shared" si="7"/>
        <v>0</v>
      </c>
      <c r="I35" s="108"/>
      <c r="J35" s="108"/>
      <c r="K35" s="108"/>
    </row>
    <row r="36" spans="2:11" x14ac:dyDescent="0.3">
      <c r="B36" s="22" t="s">
        <v>29</v>
      </c>
      <c r="C36" s="96">
        <f t="shared" si="4"/>
        <v>0</v>
      </c>
      <c r="D36" s="52">
        <f t="shared" si="5"/>
        <v>0</v>
      </c>
      <c r="E36" s="97">
        <f t="shared" si="6"/>
        <v>0</v>
      </c>
      <c r="F36" s="64">
        <f>PRODUCT(N24:$N$25)</f>
        <v>2.8135858775215638E-2</v>
      </c>
      <c r="G36" s="58">
        <f t="shared" si="7"/>
        <v>0</v>
      </c>
      <c r="I36" s="108"/>
      <c r="J36" s="108"/>
      <c r="K36" s="108"/>
    </row>
    <row r="37" spans="2:11" ht="14.25" thickBot="1" x14ac:dyDescent="0.35">
      <c r="B37" s="25" t="s">
        <v>31</v>
      </c>
      <c r="C37" s="98">
        <f t="shared" si="4"/>
        <v>0</v>
      </c>
      <c r="D37" s="55">
        <f t="shared" si="5"/>
        <v>0</v>
      </c>
      <c r="E37" s="99">
        <f t="shared" si="6"/>
        <v>0</v>
      </c>
      <c r="F37" s="67">
        <f>PRODUCT(N25:$N$25)</f>
        <v>0.16920055101933534</v>
      </c>
      <c r="G37" s="59">
        <f t="shared" si="7"/>
        <v>0</v>
      </c>
      <c r="I37" s="108"/>
      <c r="J37" s="108"/>
      <c r="K37" s="108"/>
    </row>
    <row r="38" spans="2:11" x14ac:dyDescent="0.3">
      <c r="B38" s="27" t="s">
        <v>33</v>
      </c>
      <c r="C38" s="94">
        <f t="shared" si="4"/>
        <v>0</v>
      </c>
      <c r="D38" s="50">
        <f t="shared" si="5"/>
        <v>0</v>
      </c>
      <c r="E38" s="29">
        <f t="shared" si="6"/>
        <v>0</v>
      </c>
      <c r="F38" s="100">
        <v>1</v>
      </c>
      <c r="G38" s="60">
        <f>ROUND(E38*F38,)</f>
        <v>0</v>
      </c>
      <c r="I38" s="108"/>
      <c r="J38" s="108"/>
      <c r="K38" s="108"/>
    </row>
    <row r="39" spans="2:11" ht="14.25" thickBot="1" x14ac:dyDescent="0.35">
      <c r="B39" s="30" t="s">
        <v>35</v>
      </c>
      <c r="C39" s="98">
        <f t="shared" si="4"/>
        <v>114526120</v>
      </c>
      <c r="D39" s="55">
        <f t="shared" si="5"/>
        <v>114321318</v>
      </c>
      <c r="E39" s="32">
        <f t="shared" si="6"/>
        <v>204802</v>
      </c>
      <c r="F39" s="67">
        <v>1</v>
      </c>
      <c r="G39" s="61">
        <f>ROUND(E39*F39,)</f>
        <v>204802</v>
      </c>
      <c r="I39" s="108"/>
      <c r="J39" s="108"/>
      <c r="K39" s="108"/>
    </row>
    <row r="40" spans="2:11" ht="14.25" thickBot="1" x14ac:dyDescent="0.35">
      <c r="B40" s="30" t="s">
        <v>41</v>
      </c>
      <c r="C40" s="101">
        <f>SUM(C33:C39)</f>
        <v>1709983721</v>
      </c>
      <c r="D40" s="101">
        <f>SUM(D33:D39)</f>
        <v>114321318</v>
      </c>
      <c r="E40" s="102">
        <f>SUM(E33:E39)</f>
        <v>1595662403</v>
      </c>
      <c r="F40" s="67"/>
      <c r="G40" s="61">
        <f>SUM(G33:G39)</f>
        <v>235049</v>
      </c>
      <c r="H40" s="108"/>
      <c r="I40" s="108"/>
      <c r="J40" s="108"/>
      <c r="K40" s="108"/>
    </row>
    <row r="41" spans="2:11" ht="14.25" thickBot="1" x14ac:dyDescent="0.35">
      <c r="B41" s="108"/>
      <c r="E41" s="109"/>
      <c r="F41" s="110"/>
      <c r="G41" s="115"/>
      <c r="H41" s="108"/>
      <c r="I41" s="108"/>
      <c r="J41" s="108"/>
      <c r="K41" s="108"/>
    </row>
    <row r="42" spans="2:11" ht="14.25" thickBot="1" x14ac:dyDescent="0.35">
      <c r="G42" s="33">
        <f>G40</f>
        <v>235049</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17" t="s">
        <v>380</v>
      </c>
      <c r="D47" s="19" t="s">
        <v>380</v>
      </c>
    </row>
    <row r="48" spans="2:11" x14ac:dyDescent="0.3">
      <c r="B48" s="20" t="s">
        <v>26</v>
      </c>
      <c r="C48" s="34">
        <v>0</v>
      </c>
      <c r="D48" s="35">
        <v>0</v>
      </c>
      <c r="F48" s="173" t="s">
        <v>85</v>
      </c>
      <c r="G48" s="173"/>
      <c r="H48" s="173"/>
      <c r="I48" s="173"/>
    </row>
    <row r="49" spans="1:10" x14ac:dyDescent="0.3">
      <c r="B49" s="22" t="s">
        <v>38</v>
      </c>
      <c r="C49" s="36">
        <v>0</v>
      </c>
      <c r="D49" s="37">
        <v>0</v>
      </c>
      <c r="F49" s="104" t="s">
        <v>86</v>
      </c>
      <c r="G49" s="105">
        <v>27256788</v>
      </c>
      <c r="H49" s="104" t="s">
        <v>87</v>
      </c>
      <c r="I49" s="105">
        <v>49060000</v>
      </c>
    </row>
    <row r="50" spans="1:10" x14ac:dyDescent="0.3">
      <c r="B50" s="22" t="s">
        <v>28</v>
      </c>
      <c r="C50" s="36">
        <v>0</v>
      </c>
      <c r="D50" s="37">
        <v>0</v>
      </c>
      <c r="F50" s="104" t="s">
        <v>88</v>
      </c>
      <c r="G50" s="105">
        <v>3228130</v>
      </c>
      <c r="H50" s="104" t="s">
        <v>89</v>
      </c>
      <c r="I50" s="105">
        <v>12000000</v>
      </c>
    </row>
    <row r="51" spans="1:10" x14ac:dyDescent="0.3">
      <c r="B51" s="22" t="s">
        <v>29</v>
      </c>
      <c r="C51" s="36">
        <v>0</v>
      </c>
      <c r="D51" s="37">
        <v>0</v>
      </c>
      <c r="F51" s="104" t="s">
        <v>354</v>
      </c>
      <c r="G51" s="105">
        <v>22776400</v>
      </c>
      <c r="H51" s="106"/>
      <c r="I51" s="105"/>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114321318</v>
      </c>
      <c r="D54" s="41">
        <f>C54</f>
        <v>114321318</v>
      </c>
    </row>
    <row r="55" spans="1:10" ht="14.25" thickBot="1" x14ac:dyDescent="0.35">
      <c r="B55" s="46" t="s">
        <v>11</v>
      </c>
      <c r="C55" s="47">
        <f>SUM(C48:C54)</f>
        <v>114321318</v>
      </c>
      <c r="D55" s="48">
        <f>SUM(D48:D54)</f>
        <v>114321318</v>
      </c>
    </row>
    <row r="56" spans="1:10" ht="14.25" thickBot="1" x14ac:dyDescent="0.35"/>
    <row r="57" spans="1:10" ht="14.25" thickBot="1" x14ac:dyDescent="0.35">
      <c r="E57" s="33">
        <f>D55</f>
        <v>114321318</v>
      </c>
      <c r="F57" s="2" t="s">
        <v>51</v>
      </c>
    </row>
    <row r="59" spans="1:10" x14ac:dyDescent="0.3">
      <c r="B59" s="111" t="s">
        <v>12</v>
      </c>
    </row>
    <row r="60" spans="1:10" x14ac:dyDescent="0.3">
      <c r="B60" s="2" t="s">
        <v>20</v>
      </c>
      <c r="H60" s="118" t="s">
        <v>370</v>
      </c>
      <c r="I60" s="118" t="s">
        <v>84</v>
      </c>
      <c r="J60" s="118" t="s">
        <v>78</v>
      </c>
    </row>
    <row r="61" spans="1:10" x14ac:dyDescent="0.3">
      <c r="B61" s="42" t="s">
        <v>14</v>
      </c>
      <c r="C61" s="42" t="s">
        <v>15</v>
      </c>
      <c r="D61" s="42" t="s">
        <v>98</v>
      </c>
      <c r="E61" s="42" t="s">
        <v>52</v>
      </c>
      <c r="H61" s="43" t="s">
        <v>384</v>
      </c>
      <c r="I61" s="119">
        <f>D63+'전이율 적용(2022.1Q)-수출'!D63</f>
        <v>422391830</v>
      </c>
      <c r="J61" s="119">
        <v>734681124</v>
      </c>
    </row>
    <row r="62" spans="1:10" x14ac:dyDescent="0.3">
      <c r="A62" s="2" t="s">
        <v>18</v>
      </c>
      <c r="B62" s="103" t="s">
        <v>100</v>
      </c>
      <c r="C62" s="43" t="s">
        <v>4</v>
      </c>
      <c r="D62" s="44">
        <v>1709983721</v>
      </c>
      <c r="E62" s="43"/>
      <c r="H62" s="43" t="s">
        <v>383</v>
      </c>
      <c r="I62" s="119">
        <v>414595593</v>
      </c>
      <c r="J62" s="119">
        <v>739822740</v>
      </c>
    </row>
    <row r="63" spans="1:10" x14ac:dyDescent="0.3">
      <c r="A63" s="2" t="s">
        <v>19</v>
      </c>
      <c r="B63" s="43">
        <v>1110321</v>
      </c>
      <c r="C63" s="43" t="s">
        <v>13</v>
      </c>
      <c r="D63" s="44">
        <v>114556367</v>
      </c>
      <c r="E63" s="45">
        <f>D63-G42-E57</f>
        <v>0</v>
      </c>
      <c r="F63" s="2" t="s">
        <v>16</v>
      </c>
      <c r="H63" s="43" t="s">
        <v>81</v>
      </c>
      <c r="I63" s="119"/>
      <c r="J63" s="119"/>
    </row>
    <row r="64" spans="1:10" x14ac:dyDescent="0.3">
      <c r="B64" s="43"/>
      <c r="C64" s="43" t="s">
        <v>101</v>
      </c>
      <c r="D64" s="45">
        <f>D62-D63</f>
        <v>1595427354</v>
      </c>
      <c r="E64" s="45">
        <f>D64-E40-C55+G42+E57</f>
        <v>0</v>
      </c>
      <c r="F64" s="2" t="s">
        <v>16</v>
      </c>
      <c r="H64" s="106" t="s">
        <v>82</v>
      </c>
      <c r="I64" s="120">
        <f>I61-I62+I63</f>
        <v>7796237</v>
      </c>
      <c r="J64" s="107">
        <f>J61-J62+J63</f>
        <v>-5141616</v>
      </c>
    </row>
    <row r="66" spans="8:10" x14ac:dyDescent="0.3">
      <c r="H66" s="118" t="s">
        <v>371</v>
      </c>
      <c r="I66" s="118" t="s">
        <v>84</v>
      </c>
      <c r="J66" s="118" t="s">
        <v>78</v>
      </c>
    </row>
    <row r="67" spans="8:10" x14ac:dyDescent="0.3">
      <c r="H67" s="43" t="s">
        <v>377</v>
      </c>
      <c r="I67" s="119">
        <v>70000000</v>
      </c>
      <c r="J67" s="119"/>
    </row>
    <row r="68" spans="8:10" x14ac:dyDescent="0.3">
      <c r="H68" s="43" t="s">
        <v>378</v>
      </c>
      <c r="I68" s="119">
        <v>80000000</v>
      </c>
      <c r="J68" s="119"/>
    </row>
    <row r="69" spans="8:10" x14ac:dyDescent="0.3">
      <c r="H69" s="43" t="s">
        <v>81</v>
      </c>
      <c r="I69" s="119"/>
      <c r="J69" s="119"/>
    </row>
    <row r="70" spans="8:10" x14ac:dyDescent="0.3">
      <c r="H70" s="106" t="s">
        <v>82</v>
      </c>
      <c r="I70" s="120">
        <f>I68+I67</f>
        <v>150000000</v>
      </c>
      <c r="J70" s="107">
        <f>J67-J68+J69</f>
        <v>0</v>
      </c>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2060"/>
  </sheetPr>
  <dimension ref="A2:O64"/>
  <sheetViews>
    <sheetView topLeftCell="B40" zoomScaleNormal="100" workbookViewId="0">
      <selection activeCell="D63" sqref="D63"/>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72</v>
      </c>
      <c r="D11" s="4" t="s">
        <v>75</v>
      </c>
      <c r="E11" s="4" t="s">
        <v>76</v>
      </c>
      <c r="F11" s="4" t="s">
        <v>73</v>
      </c>
      <c r="G11" s="4" t="s">
        <v>74</v>
      </c>
      <c r="H11" s="4" t="s">
        <v>246</v>
      </c>
      <c r="I11" s="4" t="s">
        <v>355</v>
      </c>
      <c r="J11" s="4" t="s">
        <v>362</v>
      </c>
      <c r="K11" s="4" t="s">
        <v>363</v>
      </c>
      <c r="L11" s="73" t="s">
        <v>372</v>
      </c>
      <c r="M11" s="4" t="s">
        <v>379</v>
      </c>
      <c r="N11" s="80" t="s">
        <v>382</v>
      </c>
    </row>
    <row r="12" spans="2:14" x14ac:dyDescent="0.3">
      <c r="B12" s="5" t="s">
        <v>27</v>
      </c>
      <c r="C12" s="6">
        <v>6022453750</v>
      </c>
      <c r="D12" s="6">
        <v>5392409126</v>
      </c>
      <c r="E12" s="6">
        <v>5474074544</v>
      </c>
      <c r="F12" s="6">
        <v>5476373785</v>
      </c>
      <c r="G12" s="6">
        <v>5197654177</v>
      </c>
      <c r="H12" s="6">
        <v>5226625839</v>
      </c>
      <c r="I12" s="6">
        <v>5177507228</v>
      </c>
      <c r="J12" s="6">
        <v>7686782434</v>
      </c>
      <c r="K12" s="6">
        <v>6513914814</v>
      </c>
      <c r="L12" s="74">
        <v>6967970393</v>
      </c>
      <c r="M12" s="6">
        <v>6661971596</v>
      </c>
      <c r="N12" s="81">
        <v>6815296486</v>
      </c>
    </row>
    <row r="13" spans="2:14" x14ac:dyDescent="0.3">
      <c r="B13" s="7" t="s">
        <v>39</v>
      </c>
      <c r="C13" s="6">
        <v>1931837477</v>
      </c>
      <c r="D13" s="6">
        <v>2157847550</v>
      </c>
      <c r="E13" s="6">
        <v>1668750550</v>
      </c>
      <c r="F13" s="6">
        <v>1895954647</v>
      </c>
      <c r="G13" s="6">
        <v>1734563258</v>
      </c>
      <c r="H13" s="6">
        <v>1217048730</v>
      </c>
      <c r="I13" s="6">
        <v>1057246878</v>
      </c>
      <c r="J13" s="6">
        <v>844001742</v>
      </c>
      <c r="K13" s="6">
        <v>1826886285</v>
      </c>
      <c r="L13" s="74">
        <v>1492293396</v>
      </c>
      <c r="M13" s="6">
        <v>1580210690</v>
      </c>
      <c r="N13" s="81">
        <v>1897812424</v>
      </c>
    </row>
    <row r="14" spans="2:14" x14ac:dyDescent="0.3">
      <c r="B14" s="7" t="s">
        <v>92</v>
      </c>
      <c r="C14" s="6">
        <v>395061589</v>
      </c>
      <c r="D14" s="6">
        <v>888545016</v>
      </c>
      <c r="E14" s="6">
        <v>748393419</v>
      </c>
      <c r="F14" s="6">
        <v>979650983</v>
      </c>
      <c r="G14" s="6">
        <v>559786018</v>
      </c>
      <c r="H14" s="6">
        <v>239763111</v>
      </c>
      <c r="I14" s="6">
        <v>311848277</v>
      </c>
      <c r="J14" s="6">
        <v>392955886</v>
      </c>
      <c r="K14" s="6">
        <v>253537343</v>
      </c>
      <c r="L14" s="74">
        <v>417162571</v>
      </c>
      <c r="M14" s="6">
        <v>515963566</v>
      </c>
      <c r="N14" s="81">
        <v>907853734</v>
      </c>
    </row>
    <row r="15" spans="2:14" x14ac:dyDescent="0.3">
      <c r="B15" s="7" t="s">
        <v>30</v>
      </c>
      <c r="C15" s="6">
        <v>380736542</v>
      </c>
      <c r="D15" s="6">
        <v>164002785</v>
      </c>
      <c r="E15" s="6">
        <v>135164026</v>
      </c>
      <c r="F15" s="6">
        <v>446127690</v>
      </c>
      <c r="G15" s="6">
        <v>273503838</v>
      </c>
      <c r="H15" s="6">
        <v>283828249</v>
      </c>
      <c r="I15" s="6">
        <v>134444998</v>
      </c>
      <c r="J15" s="6">
        <v>159098911</v>
      </c>
      <c r="K15" s="6">
        <v>68481932</v>
      </c>
      <c r="L15" s="74">
        <v>13279209</v>
      </c>
      <c r="M15" s="6">
        <v>151736282</v>
      </c>
      <c r="N15" s="81">
        <v>71447359</v>
      </c>
    </row>
    <row r="16" spans="2:14" x14ac:dyDescent="0.3">
      <c r="B16" s="7" t="s">
        <v>32</v>
      </c>
      <c r="C16" s="6">
        <v>55818029</v>
      </c>
      <c r="D16" s="6">
        <v>7084007</v>
      </c>
      <c r="E16" s="6">
        <v>20193132</v>
      </c>
      <c r="F16" s="6">
        <v>35618067</v>
      </c>
      <c r="G16" s="6">
        <v>77613140</v>
      </c>
      <c r="H16" s="6">
        <v>56425025</v>
      </c>
      <c r="I16" s="6">
        <v>58227888</v>
      </c>
      <c r="J16" s="6"/>
      <c r="K16" s="6">
        <v>21947673</v>
      </c>
      <c r="L16" s="74">
        <v>33188303</v>
      </c>
      <c r="M16" s="6">
        <v>13285934</v>
      </c>
      <c r="N16" s="81"/>
    </row>
    <row r="17" spans="2:15" x14ac:dyDescent="0.3">
      <c r="B17" s="7" t="s">
        <v>34</v>
      </c>
      <c r="C17" s="6">
        <v>4916400</v>
      </c>
      <c r="D17" s="6">
        <v>973053</v>
      </c>
      <c r="E17" s="6"/>
      <c r="F17" s="6">
        <v>21323305</v>
      </c>
      <c r="G17" s="6">
        <v>34980053</v>
      </c>
      <c r="H17" s="6">
        <v>56383366</v>
      </c>
      <c r="I17" s="6">
        <v>52313956</v>
      </c>
      <c r="J17" s="6">
        <v>4080600</v>
      </c>
      <c r="K17" s="6"/>
      <c r="L17" s="74">
        <v>23013981</v>
      </c>
      <c r="M17" s="6">
        <v>31912914</v>
      </c>
      <c r="N17" s="81">
        <v>8979292</v>
      </c>
    </row>
    <row r="18" spans="2:15" ht="14.25" thickBot="1" x14ac:dyDescent="0.35">
      <c r="B18" s="8" t="s">
        <v>93</v>
      </c>
      <c r="C18" s="9">
        <v>165776943</v>
      </c>
      <c r="D18" s="9">
        <v>157888843</v>
      </c>
      <c r="E18" s="9">
        <v>132462486</v>
      </c>
      <c r="F18" s="9">
        <v>127164358</v>
      </c>
      <c r="G18" s="9">
        <v>148105707</v>
      </c>
      <c r="H18" s="9">
        <v>127164358</v>
      </c>
      <c r="I18" s="9">
        <v>168559690</v>
      </c>
      <c r="J18" s="9">
        <v>202122554</v>
      </c>
      <c r="K18" s="9">
        <v>172059100</v>
      </c>
      <c r="L18" s="75">
        <v>138693269</v>
      </c>
      <c r="M18" s="9">
        <v>151920823</v>
      </c>
      <c r="N18" s="82">
        <v>185043129</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0.35830039375561828</v>
      </c>
      <c r="D21" s="11">
        <f>IF(IFERROR(E13/D12,0)&gt;1,1,IFERROR(E13/D12,0))</f>
        <v>0.30946289701090457</v>
      </c>
      <c r="E21" s="11">
        <f t="shared" ref="E21:M21" si="0">IF(IFERROR(F13/E12,0)&gt;1,1,IFERROR(F13/E12,0))</f>
        <v>0.3463516310858627</v>
      </c>
      <c r="F21" s="11">
        <f t="shared" si="0"/>
        <v>0.31673573172653702</v>
      </c>
      <c r="G21" s="11">
        <f t="shared" si="0"/>
        <v>0.23415346395793887</v>
      </c>
      <c r="H21" s="11">
        <f t="shared" si="0"/>
        <v>0.2022809572690363</v>
      </c>
      <c r="I21" s="11">
        <f t="shared" si="0"/>
        <v>0.16301314606296094</v>
      </c>
      <c r="J21" s="11">
        <f t="shared" si="0"/>
        <v>0.23766592858402735</v>
      </c>
      <c r="K21" s="11">
        <f t="shared" si="0"/>
        <v>0.22909317033018234</v>
      </c>
      <c r="L21" s="11">
        <f t="shared" si="0"/>
        <v>0.2267820614719423</v>
      </c>
      <c r="M21" s="83">
        <f t="shared" si="0"/>
        <v>0.28487248806937121</v>
      </c>
      <c r="N21" s="84">
        <f>AVERAGE(C21:M21)</f>
        <v>0.26442835175676194</v>
      </c>
      <c r="O21" s="174" t="s">
        <v>58</v>
      </c>
    </row>
    <row r="22" spans="2:15" x14ac:dyDescent="0.3">
      <c r="B22" s="13" t="s">
        <v>61</v>
      </c>
      <c r="C22" s="14">
        <f>IF(IFERROR(D14/C13,0)&gt;1,1,IFERROR(D14/C13,0))</f>
        <v>0.45994812015959247</v>
      </c>
      <c r="D22" s="14">
        <f t="shared" ref="D22:M22" si="1">IF(IFERROR(E14/D13,0)&gt;1,1,IFERROR(E14/D13,0))</f>
        <v>0.34682404649021659</v>
      </c>
      <c r="E22" s="14">
        <f t="shared" si="1"/>
        <v>0.58705657535213995</v>
      </c>
      <c r="F22" s="14">
        <f t="shared" si="1"/>
        <v>0.29525285263851569</v>
      </c>
      <c r="G22" s="14">
        <f t="shared" si="1"/>
        <v>0.13822678988165216</v>
      </c>
      <c r="H22" s="14">
        <f t="shared" si="1"/>
        <v>0.25623318878940859</v>
      </c>
      <c r="I22" s="14">
        <f t="shared" si="1"/>
        <v>0.37167845484051643</v>
      </c>
      <c r="J22" s="14">
        <f t="shared" si="1"/>
        <v>0.30039907547963329</v>
      </c>
      <c r="K22" s="14">
        <f t="shared" si="1"/>
        <v>0.22834621641488759</v>
      </c>
      <c r="L22" s="14">
        <f t="shared" si="1"/>
        <v>0.34575209364526333</v>
      </c>
      <c r="M22" s="85">
        <f t="shared" si="1"/>
        <v>0.57451436048695503</v>
      </c>
      <c r="N22" s="86">
        <f t="shared" ref="N22:N25" si="2">AVERAGE(C22:M22)</f>
        <v>0.35493016128898008</v>
      </c>
      <c r="O22" s="174"/>
    </row>
    <row r="23" spans="2:15" x14ac:dyDescent="0.3">
      <c r="B23" s="13" t="s">
        <v>62</v>
      </c>
      <c r="C23" s="14">
        <f t="shared" ref="C23:M25" si="3">IF(IFERROR(D15/C14,0)&gt;1,1,IFERROR(D15/C14,0))</f>
        <v>0.41513219600805079</v>
      </c>
      <c r="D23" s="14">
        <f t="shared" si="3"/>
        <v>0.15211837730909067</v>
      </c>
      <c r="E23" s="14">
        <f t="shared" si="3"/>
        <v>0.59611386026899305</v>
      </c>
      <c r="F23" s="14">
        <f t="shared" si="3"/>
        <v>0.27918497786063062</v>
      </c>
      <c r="G23" s="14">
        <f t="shared" si="3"/>
        <v>0.50702990048601038</v>
      </c>
      <c r="H23" s="14">
        <f t="shared" si="3"/>
        <v>0.56074096402594642</v>
      </c>
      <c r="I23" s="14">
        <f t="shared" si="3"/>
        <v>0.51018050357866818</v>
      </c>
      <c r="J23" s="14">
        <f t="shared" si="3"/>
        <v>0.17427384202612503</v>
      </c>
      <c r="K23" s="14">
        <f t="shared" si="3"/>
        <v>5.2375752001155899E-2</v>
      </c>
      <c r="L23" s="14">
        <f t="shared" si="3"/>
        <v>0.36373417115602158</v>
      </c>
      <c r="M23" s="85">
        <f t="shared" si="3"/>
        <v>0.1384736514515833</v>
      </c>
      <c r="N23" s="86">
        <f t="shared" si="2"/>
        <v>0.34085074510657054</v>
      </c>
      <c r="O23" s="174"/>
    </row>
    <row r="24" spans="2:15" x14ac:dyDescent="0.3">
      <c r="B24" s="13" t="s">
        <v>63</v>
      </c>
      <c r="C24" s="14">
        <f t="shared" si="3"/>
        <v>1.8606060145390509E-2</v>
      </c>
      <c r="D24" s="14">
        <f t="shared" si="3"/>
        <v>0.12312676275588856</v>
      </c>
      <c r="E24" s="14">
        <f t="shared" si="3"/>
        <v>0.26351735779163604</v>
      </c>
      <c r="F24" s="14">
        <f t="shared" si="3"/>
        <v>0.17397068538830218</v>
      </c>
      <c r="G24" s="14">
        <f t="shared" si="3"/>
        <v>0.20630432615720734</v>
      </c>
      <c r="H24" s="14">
        <f t="shared" si="3"/>
        <v>0.20515184166886785</v>
      </c>
      <c r="I24" s="14">
        <f t="shared" si="3"/>
        <v>0</v>
      </c>
      <c r="J24" s="14">
        <f t="shared" si="3"/>
        <v>0.13794986315148317</v>
      </c>
      <c r="K24" s="14">
        <f t="shared" si="3"/>
        <v>0.48462860247575962</v>
      </c>
      <c r="L24" s="14">
        <f t="shared" si="3"/>
        <v>1</v>
      </c>
      <c r="M24" s="87">
        <f t="shared" si="3"/>
        <v>0</v>
      </c>
      <c r="N24" s="86">
        <f t="shared" si="2"/>
        <v>0.23756868177586685</v>
      </c>
      <c r="O24" s="174"/>
    </row>
    <row r="25" spans="2:15" ht="14.25" thickBot="1" x14ac:dyDescent="0.35">
      <c r="B25" s="15" t="s">
        <v>64</v>
      </c>
      <c r="C25" s="16">
        <f t="shared" si="3"/>
        <v>1.7432593329298675E-2</v>
      </c>
      <c r="D25" s="16">
        <f t="shared" si="3"/>
        <v>0</v>
      </c>
      <c r="E25" s="16">
        <f t="shared" si="3"/>
        <v>1</v>
      </c>
      <c r="F25" s="16">
        <f t="shared" si="3"/>
        <v>0.98208734909729944</v>
      </c>
      <c r="G25" s="16">
        <f t="shared" si="3"/>
        <v>0.72646675550042172</v>
      </c>
      <c r="H25" s="16">
        <f t="shared" si="3"/>
        <v>0.92714103361053013</v>
      </c>
      <c r="I25" s="16">
        <f t="shared" si="3"/>
        <v>7.0079821545304885E-2</v>
      </c>
      <c r="J25" s="16">
        <f t="shared" si="3"/>
        <v>0</v>
      </c>
      <c r="K25" s="16">
        <f t="shared" si="3"/>
        <v>1</v>
      </c>
      <c r="L25" s="16">
        <f t="shared" si="3"/>
        <v>0.96157112944280398</v>
      </c>
      <c r="M25" s="88">
        <f t="shared" si="3"/>
        <v>0.67584951121991121</v>
      </c>
      <c r="N25" s="89">
        <f t="shared" si="2"/>
        <v>0.57823892670414268</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380</v>
      </c>
      <c r="D32" s="91" t="s">
        <v>380</v>
      </c>
      <c r="E32" s="92" t="s">
        <v>380</v>
      </c>
      <c r="F32" s="93" t="s">
        <v>380</v>
      </c>
      <c r="G32" s="56" t="s">
        <v>380</v>
      </c>
      <c r="I32" s="108"/>
      <c r="J32" s="108"/>
      <c r="K32" s="108"/>
    </row>
    <row r="33" spans="2:11" x14ac:dyDescent="0.3">
      <c r="B33" s="20" t="s">
        <v>26</v>
      </c>
      <c r="C33" s="94">
        <f t="shared" ref="C33:C39" si="4">N12</f>
        <v>6815296486</v>
      </c>
      <c r="D33" s="50">
        <f>C48</f>
        <v>0</v>
      </c>
      <c r="E33" s="95">
        <f>C33-D33</f>
        <v>6815296486</v>
      </c>
      <c r="F33" s="63">
        <f>PRODUCT(N21:$N$25)</f>
        <v>4.3945224224108074E-3</v>
      </c>
      <c r="G33" s="57">
        <f>ROUND(E33*F33,)</f>
        <v>29949973</v>
      </c>
      <c r="I33" s="108"/>
      <c r="J33" s="108"/>
      <c r="K33" s="108"/>
    </row>
    <row r="34" spans="2:11" x14ac:dyDescent="0.3">
      <c r="B34" s="22" t="s">
        <v>38</v>
      </c>
      <c r="C34" s="96">
        <f t="shared" si="4"/>
        <v>1897812424</v>
      </c>
      <c r="D34" s="52">
        <f t="shared" ref="D34:D39" si="5">C49</f>
        <v>0</v>
      </c>
      <c r="E34" s="97">
        <f t="shared" ref="E34:E39" si="6">C34-D34</f>
        <v>1897812424</v>
      </c>
      <c r="F34" s="64">
        <f>PRODUCT(N22:$N$25)</f>
        <v>1.6618953274924051E-2</v>
      </c>
      <c r="G34" s="58">
        <f t="shared" ref="G34:G39" si="7">ROUND(E34*F34,)</f>
        <v>31539656</v>
      </c>
      <c r="I34" s="108"/>
      <c r="J34" s="108"/>
      <c r="K34" s="108"/>
    </row>
    <row r="35" spans="2:11" x14ac:dyDescent="0.3">
      <c r="B35" s="22" t="s">
        <v>28</v>
      </c>
      <c r="C35" s="96">
        <f t="shared" si="4"/>
        <v>907853734</v>
      </c>
      <c r="D35" s="52">
        <f t="shared" si="5"/>
        <v>0</v>
      </c>
      <c r="E35" s="97">
        <f t="shared" si="6"/>
        <v>907853734</v>
      </c>
      <c r="F35" s="64">
        <f>PRODUCT(N23:$N$25)</f>
        <v>4.6823164350332826E-2</v>
      </c>
      <c r="G35" s="58">
        <f t="shared" si="7"/>
        <v>42508585</v>
      </c>
      <c r="I35" s="108"/>
      <c r="J35" s="108"/>
      <c r="K35" s="108"/>
    </row>
    <row r="36" spans="2:11" x14ac:dyDescent="0.3">
      <c r="B36" s="22" t="s">
        <v>29</v>
      </c>
      <c r="C36" s="96">
        <f t="shared" si="4"/>
        <v>71447359</v>
      </c>
      <c r="D36" s="52">
        <f t="shared" si="5"/>
        <v>0</v>
      </c>
      <c r="E36" s="97">
        <f t="shared" si="6"/>
        <v>71447359</v>
      </c>
      <c r="F36" s="64">
        <f>PRODUCT(N24:$N$25)</f>
        <v>0.13737145956859526</v>
      </c>
      <c r="G36" s="58">
        <f t="shared" si="7"/>
        <v>9814828</v>
      </c>
      <c r="I36" s="108"/>
      <c r="J36" s="108"/>
      <c r="K36" s="108"/>
    </row>
    <row r="37" spans="2:11" ht="14.25" thickBot="1" x14ac:dyDescent="0.35">
      <c r="B37" s="25" t="s">
        <v>31</v>
      </c>
      <c r="C37" s="98">
        <f t="shared" si="4"/>
        <v>0</v>
      </c>
      <c r="D37" s="55">
        <f t="shared" si="5"/>
        <v>0</v>
      </c>
      <c r="E37" s="99">
        <f t="shared" si="6"/>
        <v>0</v>
      </c>
      <c r="F37" s="67">
        <f>PRODUCT(N25:$N$25)</f>
        <v>0.57823892670414268</v>
      </c>
      <c r="G37" s="59">
        <f t="shared" si="7"/>
        <v>0</v>
      </c>
      <c r="I37" s="108"/>
      <c r="J37" s="108"/>
      <c r="K37" s="108"/>
    </row>
    <row r="38" spans="2:11" x14ac:dyDescent="0.3">
      <c r="B38" s="27" t="s">
        <v>33</v>
      </c>
      <c r="C38" s="94">
        <f t="shared" si="4"/>
        <v>8979292</v>
      </c>
      <c r="D38" s="50">
        <f t="shared" si="5"/>
        <v>0</v>
      </c>
      <c r="E38" s="29">
        <f t="shared" si="6"/>
        <v>8979292</v>
      </c>
      <c r="F38" s="100">
        <v>1</v>
      </c>
      <c r="G38" s="60">
        <f t="shared" si="7"/>
        <v>8979292</v>
      </c>
      <c r="I38" s="108"/>
      <c r="J38" s="108"/>
      <c r="K38" s="108"/>
    </row>
    <row r="39" spans="2:11" ht="14.25" thickBot="1" x14ac:dyDescent="0.35">
      <c r="B39" s="30" t="s">
        <v>35</v>
      </c>
      <c r="C39" s="98">
        <f t="shared" si="4"/>
        <v>185043129</v>
      </c>
      <c r="D39" s="55">
        <f t="shared" si="5"/>
        <v>27647453</v>
      </c>
      <c r="E39" s="32">
        <f t="shared" si="6"/>
        <v>157395676</v>
      </c>
      <c r="F39" s="67">
        <v>1</v>
      </c>
      <c r="G39" s="61">
        <f t="shared" si="7"/>
        <v>157395676</v>
      </c>
      <c r="I39" s="108"/>
      <c r="J39" s="108"/>
      <c r="K39" s="108"/>
    </row>
    <row r="40" spans="2:11" ht="14.25" thickBot="1" x14ac:dyDescent="0.35">
      <c r="B40" s="30" t="s">
        <v>41</v>
      </c>
      <c r="C40" s="101">
        <f>SUM(C33:C39)</f>
        <v>9886432424</v>
      </c>
      <c r="D40" s="101">
        <f>SUM(D33:D39)</f>
        <v>27647453</v>
      </c>
      <c r="E40" s="102">
        <f>SUM(E33:E39)</f>
        <v>9858784971</v>
      </c>
      <c r="F40" s="67"/>
      <c r="G40" s="61">
        <f>SUM(G33:G39)</f>
        <v>280188010</v>
      </c>
      <c r="H40" s="108"/>
      <c r="I40" s="108"/>
      <c r="J40" s="108"/>
      <c r="K40" s="108"/>
    </row>
    <row r="41" spans="2:11" ht="14.25" thickBot="1" x14ac:dyDescent="0.35">
      <c r="B41" s="108"/>
      <c r="E41" s="109"/>
      <c r="F41" s="110"/>
      <c r="G41" s="115"/>
      <c r="H41" s="108"/>
      <c r="I41" s="108"/>
      <c r="J41" s="108"/>
      <c r="K41" s="108"/>
    </row>
    <row r="42" spans="2:11" ht="14.25" thickBot="1" x14ac:dyDescent="0.35">
      <c r="G42" s="33">
        <f>G40</f>
        <v>280188010</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17" t="s">
        <v>380</v>
      </c>
      <c r="D47" s="19" t="s">
        <v>380</v>
      </c>
    </row>
    <row r="48" spans="2:11" x14ac:dyDescent="0.3">
      <c r="B48" s="20" t="s">
        <v>26</v>
      </c>
      <c r="C48" s="34">
        <v>0</v>
      </c>
      <c r="D48" s="35">
        <v>0</v>
      </c>
      <c r="F48" s="173" t="s">
        <v>85</v>
      </c>
      <c r="G48" s="173"/>
      <c r="H48" s="173"/>
      <c r="I48" s="173"/>
    </row>
    <row r="49" spans="1:10" x14ac:dyDescent="0.3">
      <c r="B49" s="22" t="s">
        <v>38</v>
      </c>
      <c r="C49" s="36">
        <v>0</v>
      </c>
      <c r="D49" s="37">
        <v>0</v>
      </c>
      <c r="F49" s="104" t="s">
        <v>90</v>
      </c>
      <c r="G49" s="105">
        <v>27647453</v>
      </c>
      <c r="H49" s="104"/>
      <c r="I49" s="105"/>
    </row>
    <row r="50" spans="1:10" x14ac:dyDescent="0.3">
      <c r="B50" s="22" t="s">
        <v>28</v>
      </c>
      <c r="C50" s="36">
        <v>0</v>
      </c>
      <c r="D50" s="37">
        <v>0</v>
      </c>
      <c r="F50" s="104"/>
      <c r="G50" s="105"/>
      <c r="H50" s="104"/>
      <c r="I50" s="105"/>
    </row>
    <row r="51" spans="1:10" x14ac:dyDescent="0.3">
      <c r="B51" s="22" t="s">
        <v>29</v>
      </c>
      <c r="C51" s="36">
        <v>0</v>
      </c>
      <c r="D51" s="37">
        <v>0</v>
      </c>
      <c r="F51" s="104"/>
      <c r="G51" s="105"/>
      <c r="H51" s="106"/>
      <c r="I51" s="106"/>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27647453</v>
      </c>
      <c r="D54" s="41">
        <f>C54</f>
        <v>27647453</v>
      </c>
    </row>
    <row r="55" spans="1:10" ht="14.25" thickBot="1" x14ac:dyDescent="0.35">
      <c r="B55" s="46" t="s">
        <v>11</v>
      </c>
      <c r="C55" s="47">
        <f>SUM(C48:C54)</f>
        <v>27647453</v>
      </c>
      <c r="D55" s="48">
        <f>SUM(D48:D54)</f>
        <v>27647453</v>
      </c>
    </row>
    <row r="56" spans="1:10" ht="14.25" thickBot="1" x14ac:dyDescent="0.35"/>
    <row r="57" spans="1:10" ht="14.25" thickBot="1" x14ac:dyDescent="0.35">
      <c r="E57" s="33">
        <f>D55</f>
        <v>27647453</v>
      </c>
      <c r="F57" s="2" t="s">
        <v>51</v>
      </c>
    </row>
    <row r="59" spans="1:10" x14ac:dyDescent="0.3">
      <c r="B59" s="111" t="s">
        <v>12</v>
      </c>
    </row>
    <row r="60" spans="1:10" x14ac:dyDescent="0.3">
      <c r="B60" s="2" t="s">
        <v>20</v>
      </c>
      <c r="H60" s="118"/>
      <c r="I60" s="118"/>
      <c r="J60" s="118"/>
    </row>
    <row r="61" spans="1:10" x14ac:dyDescent="0.3">
      <c r="B61" s="42" t="s">
        <v>14</v>
      </c>
      <c r="C61" s="42" t="s">
        <v>15</v>
      </c>
      <c r="D61" s="42" t="s">
        <v>98</v>
      </c>
      <c r="E61" s="42" t="s">
        <v>52</v>
      </c>
      <c r="H61" s="43"/>
      <c r="I61" s="119"/>
      <c r="J61" s="119"/>
    </row>
    <row r="62" spans="1:10" x14ac:dyDescent="0.3">
      <c r="A62" s="2" t="s">
        <v>18</v>
      </c>
      <c r="B62" s="103" t="s">
        <v>100</v>
      </c>
      <c r="C62" s="43" t="s">
        <v>4</v>
      </c>
      <c r="D62" s="44">
        <v>9886432424</v>
      </c>
      <c r="E62" s="43"/>
      <c r="H62" s="43"/>
      <c r="I62" s="119"/>
      <c r="J62" s="119"/>
    </row>
    <row r="63" spans="1:10" x14ac:dyDescent="0.3">
      <c r="A63" s="2" t="s">
        <v>19</v>
      </c>
      <c r="B63" s="43">
        <v>1110321</v>
      </c>
      <c r="C63" s="43" t="s">
        <v>13</v>
      </c>
      <c r="D63" s="44">
        <v>307835463</v>
      </c>
      <c r="E63" s="45">
        <f>D63-G42-E57</f>
        <v>0</v>
      </c>
      <c r="F63" s="2" t="s">
        <v>16</v>
      </c>
      <c r="H63" s="43"/>
      <c r="I63" s="119"/>
      <c r="J63" s="119"/>
    </row>
    <row r="64" spans="1:10" x14ac:dyDescent="0.3">
      <c r="B64" s="43"/>
      <c r="C64" s="43" t="s">
        <v>101</v>
      </c>
      <c r="D64" s="45">
        <f>D62-D63</f>
        <v>9578596961</v>
      </c>
      <c r="E64" s="45">
        <f>D64-E40-C55+G42+E57</f>
        <v>0</v>
      </c>
      <c r="F64" s="2" t="s">
        <v>16</v>
      </c>
      <c r="H64" s="106"/>
      <c r="I64" s="120"/>
      <c r="J64" s="107"/>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2060"/>
  </sheetPr>
  <dimension ref="A2:O70"/>
  <sheetViews>
    <sheetView topLeftCell="C40" zoomScaleNormal="100" workbookViewId="0">
      <selection activeCell="I61" sqref="I61:I62"/>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75</v>
      </c>
      <c r="D11" s="4" t="s">
        <v>76</v>
      </c>
      <c r="E11" s="4" t="s">
        <v>73</v>
      </c>
      <c r="F11" s="4" t="s">
        <v>74</v>
      </c>
      <c r="G11" s="4" t="s">
        <v>246</v>
      </c>
      <c r="H11" s="4" t="s">
        <v>355</v>
      </c>
      <c r="I11" s="4" t="s">
        <v>362</v>
      </c>
      <c r="J11" s="4" t="s">
        <v>363</v>
      </c>
      <c r="K11" s="4" t="s">
        <v>372</v>
      </c>
      <c r="L11" s="73" t="s">
        <v>379</v>
      </c>
      <c r="M11" s="4" t="s">
        <v>380</v>
      </c>
      <c r="N11" s="80" t="s">
        <v>385</v>
      </c>
    </row>
    <row r="12" spans="2:14" x14ac:dyDescent="0.3">
      <c r="B12" s="5" t="s">
        <v>27</v>
      </c>
      <c r="C12" s="6">
        <v>2092236726</v>
      </c>
      <c r="D12" s="6">
        <v>2125383029</v>
      </c>
      <c r="E12" s="6">
        <v>1838003129</v>
      </c>
      <c r="F12" s="6">
        <v>2474596079</v>
      </c>
      <c r="G12" s="6">
        <v>2202685666</v>
      </c>
      <c r="H12" s="6">
        <v>2448094402</v>
      </c>
      <c r="I12" s="6">
        <v>2436043383</v>
      </c>
      <c r="J12" s="6">
        <v>2452539804</v>
      </c>
      <c r="K12" s="6">
        <v>1715641447</v>
      </c>
      <c r="L12" s="74">
        <v>1962667876</v>
      </c>
      <c r="M12" s="6">
        <v>1587555486</v>
      </c>
      <c r="N12" s="81">
        <v>1852826474</v>
      </c>
    </row>
    <row r="13" spans="2:14" x14ac:dyDescent="0.3">
      <c r="B13" s="7" t="s">
        <v>39</v>
      </c>
      <c r="C13" s="6">
        <v>100426870</v>
      </c>
      <c r="D13" s="6">
        <v>274267577</v>
      </c>
      <c r="E13" s="6">
        <v>238208478</v>
      </c>
      <c r="F13" s="6">
        <v>167868169</v>
      </c>
      <c r="G13" s="6">
        <v>112476407</v>
      </c>
      <c r="H13" s="6">
        <v>46121428</v>
      </c>
      <c r="I13" s="6">
        <v>45386643</v>
      </c>
      <c r="J13" s="6">
        <v>166622154</v>
      </c>
      <c r="K13" s="6">
        <v>161509038</v>
      </c>
      <c r="L13" s="74">
        <v>102054537</v>
      </c>
      <c r="M13" s="6">
        <v>7902115</v>
      </c>
      <c r="N13" s="81">
        <v>60538016</v>
      </c>
    </row>
    <row r="14" spans="2:14" x14ac:dyDescent="0.3">
      <c r="B14" s="7" t="s">
        <v>92</v>
      </c>
      <c r="C14" s="6">
        <v>15932348</v>
      </c>
      <c r="D14" s="6">
        <v>5500521</v>
      </c>
      <c r="E14" s="6"/>
      <c r="F14" s="6">
        <v>73921998</v>
      </c>
      <c r="G14" s="6"/>
      <c r="H14" s="6">
        <v>1992302</v>
      </c>
      <c r="I14" s="6"/>
      <c r="J14" s="6"/>
      <c r="K14" s="6"/>
      <c r="L14" s="74">
        <v>20356752</v>
      </c>
      <c r="M14" s="6"/>
      <c r="N14" s="81"/>
    </row>
    <row r="15" spans="2:14" x14ac:dyDescent="0.3">
      <c r="B15" s="7" t="s">
        <v>30</v>
      </c>
      <c r="C15" s="6"/>
      <c r="D15" s="6">
        <v>3905000</v>
      </c>
      <c r="E15" s="6"/>
      <c r="F15" s="6"/>
      <c r="G15" s="6">
        <v>63921998</v>
      </c>
      <c r="H15" s="6"/>
      <c r="I15" s="6">
        <v>1992302</v>
      </c>
      <c r="J15" s="6"/>
      <c r="K15" s="6"/>
      <c r="L15" s="74"/>
      <c r="M15" s="6"/>
      <c r="N15" s="81"/>
    </row>
    <row r="16" spans="2:14" x14ac:dyDescent="0.3">
      <c r="B16" s="7" t="s">
        <v>32</v>
      </c>
      <c r="C16" s="6">
        <v>45408000</v>
      </c>
      <c r="D16" s="6"/>
      <c r="E16" s="6"/>
      <c r="F16" s="6"/>
      <c r="G16" s="6"/>
      <c r="H16" s="6">
        <v>61921998</v>
      </c>
      <c r="I16" s="6"/>
      <c r="J16" s="6">
        <v>204802</v>
      </c>
      <c r="K16" s="6"/>
      <c r="L16" s="74"/>
      <c r="M16" s="6"/>
      <c r="N16" s="81"/>
    </row>
    <row r="17" spans="2:15" x14ac:dyDescent="0.3">
      <c r="B17" s="7" t="s">
        <v>34</v>
      </c>
      <c r="C17" s="6"/>
      <c r="D17" s="6"/>
      <c r="E17" s="6"/>
      <c r="F17" s="6"/>
      <c r="G17" s="6"/>
      <c r="H17" s="6"/>
      <c r="I17" s="6">
        <v>53327600</v>
      </c>
      <c r="J17" s="6"/>
      <c r="K17" s="6">
        <v>204802</v>
      </c>
      <c r="L17" s="74"/>
      <c r="M17" s="6"/>
      <c r="N17" s="81"/>
    </row>
    <row r="18" spans="2:15" ht="14.25" thickBot="1" x14ac:dyDescent="0.35">
      <c r="B18" s="8" t="s">
        <v>93</v>
      </c>
      <c r="C18" s="9">
        <v>880558362</v>
      </c>
      <c r="D18" s="9">
        <v>880558362</v>
      </c>
      <c r="E18" s="9">
        <v>414321318</v>
      </c>
      <c r="F18" s="9">
        <v>414321318</v>
      </c>
      <c r="G18" s="9">
        <v>414321318</v>
      </c>
      <c r="H18" s="9">
        <v>414321318</v>
      </c>
      <c r="I18" s="9">
        <v>414321318</v>
      </c>
      <c r="J18" s="9">
        <v>467648918</v>
      </c>
      <c r="K18" s="9">
        <v>414321318</v>
      </c>
      <c r="L18" s="75">
        <v>114526120</v>
      </c>
      <c r="M18" s="9">
        <v>114526120</v>
      </c>
      <c r="N18" s="82">
        <v>114526120</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0.13108821463255396</v>
      </c>
      <c r="D21" s="11">
        <f>IF(IFERROR(E13/D12,0)&gt;1,1,IFERROR(E13/D12,0))</f>
        <v>0.11207790537034537</v>
      </c>
      <c r="E21" s="11">
        <f t="shared" ref="E21:M21" si="0">IF(IFERROR(F13/E12,0)&gt;1,1,IFERROR(F13/E12,0))</f>
        <v>9.1331818945994847E-2</v>
      </c>
      <c r="F21" s="11">
        <f t="shared" si="0"/>
        <v>4.5452430784361557E-2</v>
      </c>
      <c r="G21" s="11">
        <f t="shared" si="0"/>
        <v>2.0938724354508057E-2</v>
      </c>
      <c r="H21" s="11">
        <f t="shared" si="0"/>
        <v>1.8539580402994606E-2</v>
      </c>
      <c r="I21" s="11">
        <f t="shared" si="0"/>
        <v>6.8398680894920669E-2</v>
      </c>
      <c r="J21" s="11">
        <f t="shared" si="0"/>
        <v>6.585378868737822E-2</v>
      </c>
      <c r="K21" s="11">
        <f t="shared" si="0"/>
        <v>5.9484770071540481E-2</v>
      </c>
      <c r="L21" s="11">
        <f t="shared" si="0"/>
        <v>4.02621100423004E-3</v>
      </c>
      <c r="M21" s="83">
        <f t="shared" si="0"/>
        <v>3.8132850494902323E-2</v>
      </c>
      <c r="N21" s="84">
        <f>AVERAGE(C21:M21)</f>
        <v>5.957499778579365E-2</v>
      </c>
      <c r="O21" s="174" t="s">
        <v>58</v>
      </c>
    </row>
    <row r="22" spans="2:15" x14ac:dyDescent="0.3">
      <c r="B22" s="13" t="s">
        <v>61</v>
      </c>
      <c r="C22" s="14">
        <f>IF(IFERROR(D14/C13,0)&gt;1,1,IFERROR(D14/C13,0))</f>
        <v>5.4771407293685445E-2</v>
      </c>
      <c r="D22" s="14">
        <f t="shared" ref="D22:M22" si="1">IF(IFERROR(E14/D13,0)&gt;1,1,IFERROR(E14/D13,0))</f>
        <v>0</v>
      </c>
      <c r="E22" s="14">
        <f t="shared" si="1"/>
        <v>0.31032479876723784</v>
      </c>
      <c r="F22" s="14">
        <f t="shared" si="1"/>
        <v>0</v>
      </c>
      <c r="G22" s="14">
        <f t="shared" si="1"/>
        <v>1.7713065816549422E-2</v>
      </c>
      <c r="H22" s="14">
        <f t="shared" si="1"/>
        <v>0</v>
      </c>
      <c r="I22" s="14">
        <f t="shared" si="1"/>
        <v>0</v>
      </c>
      <c r="J22" s="14">
        <f t="shared" si="1"/>
        <v>0</v>
      </c>
      <c r="K22" s="14">
        <f t="shared" si="1"/>
        <v>0.12604094638963795</v>
      </c>
      <c r="L22" s="14">
        <f t="shared" si="1"/>
        <v>0</v>
      </c>
      <c r="M22" s="85">
        <f t="shared" si="1"/>
        <v>0</v>
      </c>
      <c r="N22" s="86">
        <f t="shared" ref="N22:N25" si="2">AVERAGE(C22:M22)</f>
        <v>4.6259110751555511E-2</v>
      </c>
      <c r="O22" s="174"/>
    </row>
    <row r="23" spans="2:15" x14ac:dyDescent="0.3">
      <c r="B23" s="13" t="s">
        <v>62</v>
      </c>
      <c r="C23" s="14">
        <f t="shared" ref="C23:M25" si="3">IF(IFERROR(D15/C14,0)&gt;1,1,IFERROR(D15/C14,0))</f>
        <v>0.24509883916670663</v>
      </c>
      <c r="D23" s="14">
        <f t="shared" si="3"/>
        <v>0</v>
      </c>
      <c r="E23" s="14">
        <f t="shared" si="3"/>
        <v>0</v>
      </c>
      <c r="F23" s="14">
        <f t="shared" si="3"/>
        <v>0.86472227117021372</v>
      </c>
      <c r="G23" s="14">
        <f t="shared" si="3"/>
        <v>0</v>
      </c>
      <c r="H23" s="14">
        <f t="shared" si="3"/>
        <v>1</v>
      </c>
      <c r="I23" s="14">
        <f t="shared" si="3"/>
        <v>0</v>
      </c>
      <c r="J23" s="14">
        <f t="shared" si="3"/>
        <v>0</v>
      </c>
      <c r="K23" s="14">
        <f t="shared" si="3"/>
        <v>0</v>
      </c>
      <c r="L23" s="14">
        <f t="shared" si="3"/>
        <v>0</v>
      </c>
      <c r="M23" s="85">
        <f t="shared" si="3"/>
        <v>0</v>
      </c>
      <c r="N23" s="86">
        <f t="shared" si="2"/>
        <v>0.19180191912153821</v>
      </c>
      <c r="O23" s="174"/>
    </row>
    <row r="24" spans="2:15" x14ac:dyDescent="0.3">
      <c r="B24" s="13" t="s">
        <v>63</v>
      </c>
      <c r="C24" s="14">
        <f t="shared" si="3"/>
        <v>0</v>
      </c>
      <c r="D24" s="14">
        <f t="shared" si="3"/>
        <v>0</v>
      </c>
      <c r="E24" s="14">
        <f t="shared" si="3"/>
        <v>0</v>
      </c>
      <c r="F24" s="14">
        <f t="shared" si="3"/>
        <v>0</v>
      </c>
      <c r="G24" s="14">
        <f t="shared" si="3"/>
        <v>0.96871186660967634</v>
      </c>
      <c r="H24" s="14">
        <f t="shared" si="3"/>
        <v>0</v>
      </c>
      <c r="I24" s="14">
        <f t="shared" si="3"/>
        <v>0.10279666436112597</v>
      </c>
      <c r="J24" s="14">
        <f t="shared" si="3"/>
        <v>0</v>
      </c>
      <c r="K24" s="14">
        <f t="shared" si="3"/>
        <v>0</v>
      </c>
      <c r="L24" s="14">
        <f t="shared" si="3"/>
        <v>0</v>
      </c>
      <c r="M24" s="87">
        <f t="shared" si="3"/>
        <v>0</v>
      </c>
      <c r="N24" s="86">
        <f t="shared" si="2"/>
        <v>9.7409866451891119E-2</v>
      </c>
      <c r="O24" s="174"/>
    </row>
    <row r="25" spans="2:15" ht="14.25" thickBot="1" x14ac:dyDescent="0.35">
      <c r="B25" s="15" t="s">
        <v>64</v>
      </c>
      <c r="C25" s="16">
        <f t="shared" si="3"/>
        <v>0</v>
      </c>
      <c r="D25" s="16">
        <f t="shared" si="3"/>
        <v>0</v>
      </c>
      <c r="E25" s="16">
        <f t="shared" si="3"/>
        <v>0</v>
      </c>
      <c r="F25" s="16">
        <f t="shared" si="3"/>
        <v>0</v>
      </c>
      <c r="G25" s="16">
        <f t="shared" si="3"/>
        <v>0</v>
      </c>
      <c r="H25" s="16">
        <f t="shared" si="3"/>
        <v>0.86120606121268894</v>
      </c>
      <c r="I25" s="16">
        <f t="shared" si="3"/>
        <v>0</v>
      </c>
      <c r="J25" s="16">
        <f t="shared" si="3"/>
        <v>1</v>
      </c>
      <c r="K25" s="16">
        <f t="shared" si="3"/>
        <v>0</v>
      </c>
      <c r="L25" s="16">
        <f t="shared" si="3"/>
        <v>0</v>
      </c>
      <c r="M25" s="88">
        <f t="shared" si="3"/>
        <v>0</v>
      </c>
      <c r="N25" s="89">
        <f t="shared" si="2"/>
        <v>0.16920055101933534</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386</v>
      </c>
      <c r="D32" s="91" t="s">
        <v>385</v>
      </c>
      <c r="E32" s="92" t="s">
        <v>387</v>
      </c>
      <c r="F32" s="93" t="s">
        <v>385</v>
      </c>
      <c r="G32" s="56" t="s">
        <v>386</v>
      </c>
      <c r="I32" s="108"/>
      <c r="J32" s="108"/>
      <c r="K32" s="108"/>
    </row>
    <row r="33" spans="2:11" x14ac:dyDescent="0.3">
      <c r="B33" s="20" t="s">
        <v>26</v>
      </c>
      <c r="C33" s="94">
        <f t="shared" ref="C33:C39" si="4">N12</f>
        <v>1852826474</v>
      </c>
      <c r="D33" s="50">
        <f>C48</f>
        <v>0</v>
      </c>
      <c r="E33" s="95">
        <f>C33-D33</f>
        <v>1852826474</v>
      </c>
      <c r="F33" s="63">
        <f>PRODUCT(N21:$N$25)</f>
        <v>8.7120224146427387E-6</v>
      </c>
      <c r="G33" s="57">
        <f>ROUND(E33*F33,)</f>
        <v>16142</v>
      </c>
      <c r="I33" s="108"/>
      <c r="J33" s="108"/>
      <c r="K33" s="108"/>
    </row>
    <row r="34" spans="2:11" x14ac:dyDescent="0.3">
      <c r="B34" s="22" t="s">
        <v>38</v>
      </c>
      <c r="C34" s="96">
        <f t="shared" si="4"/>
        <v>60538016</v>
      </c>
      <c r="D34" s="52">
        <f t="shared" ref="D34:D39" si="5">C49</f>
        <v>0</v>
      </c>
      <c r="E34" s="97">
        <f t="shared" ref="E34:E39" si="6">C34-D34</f>
        <v>60538016</v>
      </c>
      <c r="F34" s="64">
        <f>PRODUCT(N22:$N$25)</f>
        <v>1.4623621885757285E-4</v>
      </c>
      <c r="G34" s="58">
        <f t="shared" ref="G34:G37" si="7">ROUND(E34*F34,)</f>
        <v>8853</v>
      </c>
      <c r="I34" s="108"/>
      <c r="J34" s="108"/>
      <c r="K34" s="108"/>
    </row>
    <row r="35" spans="2:11" x14ac:dyDescent="0.3">
      <c r="B35" s="22" t="s">
        <v>28</v>
      </c>
      <c r="C35" s="96">
        <f t="shared" si="4"/>
        <v>0</v>
      </c>
      <c r="D35" s="52">
        <f t="shared" si="5"/>
        <v>0</v>
      </c>
      <c r="E35" s="97">
        <f t="shared" si="6"/>
        <v>0</v>
      </c>
      <c r="F35" s="64">
        <f>PRODUCT(N23:$N$25)</f>
        <v>3.1612414610165309E-3</v>
      </c>
      <c r="G35" s="58">
        <f t="shared" si="7"/>
        <v>0</v>
      </c>
      <c r="I35" s="108"/>
      <c r="J35" s="108"/>
      <c r="K35" s="108"/>
    </row>
    <row r="36" spans="2:11" x14ac:dyDescent="0.3">
      <c r="B36" s="22" t="s">
        <v>29</v>
      </c>
      <c r="C36" s="96">
        <f t="shared" si="4"/>
        <v>0</v>
      </c>
      <c r="D36" s="52">
        <f>C51</f>
        <v>0</v>
      </c>
      <c r="E36" s="97">
        <f t="shared" si="6"/>
        <v>0</v>
      </c>
      <c r="F36" s="64">
        <f>PRODUCT(N24:$N$25)</f>
        <v>1.6481803078379844E-2</v>
      </c>
      <c r="G36" s="58">
        <f t="shared" si="7"/>
        <v>0</v>
      </c>
      <c r="I36" s="108"/>
      <c r="J36" s="108"/>
      <c r="K36" s="108"/>
    </row>
    <row r="37" spans="2:11" ht="14.25" thickBot="1" x14ac:dyDescent="0.35">
      <c r="B37" s="25" t="s">
        <v>31</v>
      </c>
      <c r="C37" s="98">
        <f t="shared" si="4"/>
        <v>0</v>
      </c>
      <c r="D37" s="55">
        <f t="shared" si="5"/>
        <v>0</v>
      </c>
      <c r="E37" s="99">
        <f t="shared" si="6"/>
        <v>0</v>
      </c>
      <c r="F37" s="67">
        <f>PRODUCT(N25:$N$25)</f>
        <v>0.16920055101933534</v>
      </c>
      <c r="G37" s="59">
        <f t="shared" si="7"/>
        <v>0</v>
      </c>
      <c r="I37" s="108"/>
      <c r="J37" s="108"/>
      <c r="K37" s="108"/>
    </row>
    <row r="38" spans="2:11" x14ac:dyDescent="0.3">
      <c r="B38" s="27" t="s">
        <v>33</v>
      </c>
      <c r="C38" s="94">
        <f t="shared" si="4"/>
        <v>0</v>
      </c>
      <c r="D38" s="50">
        <f t="shared" si="5"/>
        <v>0</v>
      </c>
      <c r="E38" s="29">
        <f t="shared" si="6"/>
        <v>0</v>
      </c>
      <c r="F38" s="100">
        <v>1</v>
      </c>
      <c r="G38" s="60">
        <f>ROUND(E38*F38,)</f>
        <v>0</v>
      </c>
      <c r="I38" s="108"/>
      <c r="J38" s="108"/>
      <c r="K38" s="108"/>
    </row>
    <row r="39" spans="2:11" ht="14.25" thickBot="1" x14ac:dyDescent="0.35">
      <c r="B39" s="30" t="s">
        <v>35</v>
      </c>
      <c r="C39" s="98">
        <f t="shared" si="4"/>
        <v>114526120</v>
      </c>
      <c r="D39" s="55">
        <f t="shared" si="5"/>
        <v>114321318</v>
      </c>
      <c r="E39" s="32">
        <f t="shared" si="6"/>
        <v>204802</v>
      </c>
      <c r="F39" s="67">
        <v>1</v>
      </c>
      <c r="G39" s="61">
        <f>ROUND(E39*F39,)</f>
        <v>204802</v>
      </c>
      <c r="I39" s="108"/>
      <c r="J39" s="108"/>
      <c r="K39" s="108"/>
    </row>
    <row r="40" spans="2:11" ht="14.25" thickBot="1" x14ac:dyDescent="0.35">
      <c r="B40" s="30" t="s">
        <v>41</v>
      </c>
      <c r="C40" s="101">
        <f>SUM(C33:C39)</f>
        <v>2027890610</v>
      </c>
      <c r="D40" s="101">
        <f>SUM(D33:D39)</f>
        <v>114321318</v>
      </c>
      <c r="E40" s="102">
        <f>SUM(E33:E39)</f>
        <v>1913569292</v>
      </c>
      <c r="F40" s="67"/>
      <c r="G40" s="61">
        <f>SUM(G33:G39)</f>
        <v>229797</v>
      </c>
      <c r="H40" s="108"/>
      <c r="I40" s="108"/>
      <c r="J40" s="108"/>
      <c r="K40" s="108"/>
    </row>
    <row r="41" spans="2:11" ht="14.25" thickBot="1" x14ac:dyDescent="0.35">
      <c r="B41" s="108"/>
      <c r="E41" s="109"/>
      <c r="F41" s="110"/>
      <c r="G41" s="115"/>
      <c r="H41" s="108"/>
      <c r="I41" s="108"/>
      <c r="J41" s="108"/>
      <c r="K41" s="108"/>
    </row>
    <row r="42" spans="2:11" ht="14.25" thickBot="1" x14ac:dyDescent="0.35">
      <c r="G42" s="33">
        <f>G40</f>
        <v>229797</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17" t="s">
        <v>386</v>
      </c>
      <c r="D47" s="19" t="s">
        <v>386</v>
      </c>
    </row>
    <row r="48" spans="2:11" x14ac:dyDescent="0.3">
      <c r="B48" s="20" t="s">
        <v>26</v>
      </c>
      <c r="C48" s="34">
        <v>0</v>
      </c>
      <c r="D48" s="35">
        <v>0</v>
      </c>
      <c r="F48" s="173" t="s">
        <v>85</v>
      </c>
      <c r="G48" s="173"/>
      <c r="H48" s="173"/>
      <c r="I48" s="173"/>
    </row>
    <row r="49" spans="1:10" x14ac:dyDescent="0.3">
      <c r="B49" s="22" t="s">
        <v>38</v>
      </c>
      <c r="C49" s="36">
        <v>0</v>
      </c>
      <c r="D49" s="37">
        <v>0</v>
      </c>
      <c r="F49" s="104" t="s">
        <v>86</v>
      </c>
      <c r="G49" s="105">
        <v>27256788</v>
      </c>
      <c r="H49" s="104" t="s">
        <v>87</v>
      </c>
      <c r="I49" s="105">
        <v>49060000</v>
      </c>
    </row>
    <row r="50" spans="1:10" x14ac:dyDescent="0.3">
      <c r="B50" s="22" t="s">
        <v>28</v>
      </c>
      <c r="C50" s="36">
        <v>0</v>
      </c>
      <c r="D50" s="37">
        <v>0</v>
      </c>
      <c r="F50" s="104" t="s">
        <v>88</v>
      </c>
      <c r="G50" s="105">
        <v>3228130</v>
      </c>
      <c r="H50" s="104" t="s">
        <v>89</v>
      </c>
      <c r="I50" s="105">
        <v>12000000</v>
      </c>
    </row>
    <row r="51" spans="1:10" x14ac:dyDescent="0.3">
      <c r="B51" s="22" t="s">
        <v>29</v>
      </c>
      <c r="C51" s="36">
        <v>0</v>
      </c>
      <c r="D51" s="37">
        <v>0</v>
      </c>
      <c r="F51" s="104" t="s">
        <v>354</v>
      </c>
      <c r="G51" s="105">
        <v>22776400</v>
      </c>
      <c r="H51" s="106"/>
      <c r="I51" s="105"/>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114321318</v>
      </c>
      <c r="D54" s="41">
        <f>C54</f>
        <v>114321318</v>
      </c>
    </row>
    <row r="55" spans="1:10" ht="14.25" thickBot="1" x14ac:dyDescent="0.35">
      <c r="B55" s="46" t="s">
        <v>11</v>
      </c>
      <c r="C55" s="47">
        <f>SUM(C48:C54)</f>
        <v>114321318</v>
      </c>
      <c r="D55" s="48">
        <f>SUM(D48:D54)</f>
        <v>114321318</v>
      </c>
    </row>
    <row r="56" spans="1:10" ht="14.25" thickBot="1" x14ac:dyDescent="0.35"/>
    <row r="57" spans="1:10" ht="14.25" thickBot="1" x14ac:dyDescent="0.35">
      <c r="E57" s="33">
        <f>D55</f>
        <v>114321318</v>
      </c>
      <c r="F57" s="2" t="s">
        <v>51</v>
      </c>
    </row>
    <row r="59" spans="1:10" x14ac:dyDescent="0.3">
      <c r="B59" s="111" t="s">
        <v>12</v>
      </c>
    </row>
    <row r="60" spans="1:10" x14ac:dyDescent="0.3">
      <c r="B60" s="2" t="s">
        <v>20</v>
      </c>
      <c r="H60" s="118" t="s">
        <v>370</v>
      </c>
      <c r="I60" s="118" t="s">
        <v>84</v>
      </c>
      <c r="J60" s="118" t="s">
        <v>78</v>
      </c>
    </row>
    <row r="61" spans="1:10" x14ac:dyDescent="0.3">
      <c r="B61" s="42" t="s">
        <v>14</v>
      </c>
      <c r="C61" s="42" t="s">
        <v>15</v>
      </c>
      <c r="D61" s="42" t="s">
        <v>98</v>
      </c>
      <c r="E61" s="42" t="s">
        <v>52</v>
      </c>
      <c r="H61" s="43" t="s">
        <v>388</v>
      </c>
      <c r="I61" s="119">
        <f>D63+'전이율 적용(2022.2Q)-수출'!D63</f>
        <v>505762865</v>
      </c>
      <c r="J61" s="119">
        <v>691984473</v>
      </c>
    </row>
    <row r="62" spans="1:10" x14ac:dyDescent="0.3">
      <c r="A62" s="2" t="s">
        <v>18</v>
      </c>
      <c r="B62" s="103" t="s">
        <v>100</v>
      </c>
      <c r="C62" s="43" t="s">
        <v>4</v>
      </c>
      <c r="D62" s="44">
        <v>2027890610</v>
      </c>
      <c r="E62" s="43"/>
      <c r="H62" s="43" t="s">
        <v>389</v>
      </c>
      <c r="I62" s="119">
        <v>422391830</v>
      </c>
      <c r="J62" s="119">
        <v>734681124</v>
      </c>
    </row>
    <row r="63" spans="1:10" x14ac:dyDescent="0.3">
      <c r="A63" s="2" t="s">
        <v>19</v>
      </c>
      <c r="B63" s="43">
        <v>1110321</v>
      </c>
      <c r="C63" s="43" t="s">
        <v>13</v>
      </c>
      <c r="D63" s="44">
        <v>114551115</v>
      </c>
      <c r="E63" s="45">
        <f>D63-G42-E57</f>
        <v>0</v>
      </c>
      <c r="F63" s="2" t="s">
        <v>16</v>
      </c>
      <c r="H63" s="43" t="s">
        <v>81</v>
      </c>
      <c r="I63" s="119"/>
      <c r="J63" s="119"/>
    </row>
    <row r="64" spans="1:10" x14ac:dyDescent="0.3">
      <c r="B64" s="43"/>
      <c r="C64" s="43" t="s">
        <v>101</v>
      </c>
      <c r="D64" s="45">
        <f>D62-D63</f>
        <v>1913339495</v>
      </c>
      <c r="E64" s="45">
        <f>D64-E40-C55+G42+E57</f>
        <v>0</v>
      </c>
      <c r="F64" s="2" t="s">
        <v>16</v>
      </c>
      <c r="H64" s="106" t="s">
        <v>82</v>
      </c>
      <c r="I64" s="120">
        <f>I61-I62+I63</f>
        <v>83371035</v>
      </c>
      <c r="J64" s="107">
        <f>J61-J62+J63</f>
        <v>-42696651</v>
      </c>
    </row>
    <row r="66" spans="8:10" x14ac:dyDescent="0.3">
      <c r="H66" s="118" t="s">
        <v>371</v>
      </c>
      <c r="I66" s="118" t="s">
        <v>84</v>
      </c>
      <c r="J66" s="118" t="s">
        <v>78</v>
      </c>
    </row>
    <row r="67" spans="8:10" x14ac:dyDescent="0.3">
      <c r="H67" s="43" t="s">
        <v>377</v>
      </c>
      <c r="I67" s="119">
        <v>70000000</v>
      </c>
      <c r="J67" s="119"/>
    </row>
    <row r="68" spans="8:10" x14ac:dyDescent="0.3">
      <c r="H68" s="43" t="s">
        <v>378</v>
      </c>
      <c r="I68" s="119">
        <v>80000000</v>
      </c>
      <c r="J68" s="119"/>
    </row>
    <row r="69" spans="8:10" x14ac:dyDescent="0.3">
      <c r="H69" s="43" t="s">
        <v>81</v>
      </c>
      <c r="I69" s="119"/>
      <c r="J69" s="119"/>
    </row>
    <row r="70" spans="8:10" x14ac:dyDescent="0.3">
      <c r="H70" s="106" t="s">
        <v>82</v>
      </c>
      <c r="I70" s="120">
        <f>I68+I67</f>
        <v>150000000</v>
      </c>
      <c r="J70" s="107">
        <f>J67-J68+J69</f>
        <v>0</v>
      </c>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2060"/>
  </sheetPr>
  <dimension ref="A2:O64"/>
  <sheetViews>
    <sheetView zoomScaleNormal="100" workbookViewId="0">
      <selection activeCell="E57" sqref="E57:E58"/>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75</v>
      </c>
      <c r="D11" s="4" t="s">
        <v>76</v>
      </c>
      <c r="E11" s="4" t="s">
        <v>73</v>
      </c>
      <c r="F11" s="4" t="s">
        <v>74</v>
      </c>
      <c r="G11" s="4" t="s">
        <v>246</v>
      </c>
      <c r="H11" s="4" t="s">
        <v>355</v>
      </c>
      <c r="I11" s="4" t="s">
        <v>362</v>
      </c>
      <c r="J11" s="4" t="s">
        <v>363</v>
      </c>
      <c r="K11" s="4" t="s">
        <v>372</v>
      </c>
      <c r="L11" s="73" t="s">
        <v>379</v>
      </c>
      <c r="M11" s="4" t="s">
        <v>380</v>
      </c>
      <c r="N11" s="80" t="s">
        <v>385</v>
      </c>
    </row>
    <row r="12" spans="2:14" x14ac:dyDescent="0.3">
      <c r="B12" s="5" t="s">
        <v>27</v>
      </c>
      <c r="C12" s="6">
        <v>5392409126</v>
      </c>
      <c r="D12" s="6">
        <v>5474074544</v>
      </c>
      <c r="E12" s="6">
        <v>5476373785</v>
      </c>
      <c r="F12" s="6">
        <v>5197654177</v>
      </c>
      <c r="G12" s="6">
        <v>5226625839</v>
      </c>
      <c r="H12" s="6">
        <v>5177507228</v>
      </c>
      <c r="I12" s="6">
        <v>7686782434</v>
      </c>
      <c r="J12" s="6">
        <v>6513914814</v>
      </c>
      <c r="K12" s="6">
        <v>6967970393</v>
      </c>
      <c r="L12" s="74">
        <v>6661971596</v>
      </c>
      <c r="M12" s="6">
        <v>6815296486</v>
      </c>
      <c r="N12" s="81">
        <v>6608289603</v>
      </c>
    </row>
    <row r="13" spans="2:14" x14ac:dyDescent="0.3">
      <c r="B13" s="7" t="s">
        <v>39</v>
      </c>
      <c r="C13" s="6">
        <v>2157847550</v>
      </c>
      <c r="D13" s="6">
        <v>1668750550</v>
      </c>
      <c r="E13" s="6">
        <v>1895954647</v>
      </c>
      <c r="F13" s="6">
        <v>1734563258</v>
      </c>
      <c r="G13" s="6">
        <v>1217048730</v>
      </c>
      <c r="H13" s="6">
        <v>1057246878</v>
      </c>
      <c r="I13" s="6">
        <v>844001742</v>
      </c>
      <c r="J13" s="6">
        <v>1826886285</v>
      </c>
      <c r="K13" s="6">
        <v>1492293396</v>
      </c>
      <c r="L13" s="74">
        <v>1580210690</v>
      </c>
      <c r="M13" s="6">
        <v>1897812424</v>
      </c>
      <c r="N13" s="81">
        <v>2068394905</v>
      </c>
    </row>
    <row r="14" spans="2:14" x14ac:dyDescent="0.3">
      <c r="B14" s="7" t="s">
        <v>92</v>
      </c>
      <c r="C14" s="6">
        <v>888545016</v>
      </c>
      <c r="D14" s="6">
        <v>748393419</v>
      </c>
      <c r="E14" s="6">
        <v>979650983</v>
      </c>
      <c r="F14" s="6">
        <v>559786018</v>
      </c>
      <c r="G14" s="6">
        <v>239763111</v>
      </c>
      <c r="H14" s="6">
        <v>311848277</v>
      </c>
      <c r="I14" s="6">
        <v>392955886</v>
      </c>
      <c r="J14" s="6">
        <v>253537343</v>
      </c>
      <c r="K14" s="6">
        <v>417162571</v>
      </c>
      <c r="L14" s="74">
        <v>515963566</v>
      </c>
      <c r="M14" s="6">
        <v>907853734</v>
      </c>
      <c r="N14" s="81">
        <v>1477183747</v>
      </c>
    </row>
    <row r="15" spans="2:14" x14ac:dyDescent="0.3">
      <c r="B15" s="7" t="s">
        <v>30</v>
      </c>
      <c r="C15" s="6">
        <v>164002785</v>
      </c>
      <c r="D15" s="6">
        <v>135164026</v>
      </c>
      <c r="E15" s="6">
        <v>446127690</v>
      </c>
      <c r="F15" s="6">
        <v>273503838</v>
      </c>
      <c r="G15" s="6">
        <v>283828249</v>
      </c>
      <c r="H15" s="6">
        <v>134444998</v>
      </c>
      <c r="I15" s="6">
        <v>159098911</v>
      </c>
      <c r="J15" s="6">
        <v>68481932</v>
      </c>
      <c r="K15" s="6">
        <v>13279209</v>
      </c>
      <c r="L15" s="74">
        <v>151736282</v>
      </c>
      <c r="M15" s="6">
        <v>71447359</v>
      </c>
      <c r="N15" s="81">
        <v>408606940</v>
      </c>
    </row>
    <row r="16" spans="2:14" x14ac:dyDescent="0.3">
      <c r="B16" s="7" t="s">
        <v>32</v>
      </c>
      <c r="C16" s="6">
        <v>7084007</v>
      </c>
      <c r="D16" s="6">
        <v>20193132</v>
      </c>
      <c r="E16" s="6">
        <v>35618067</v>
      </c>
      <c r="F16" s="6">
        <v>77613140</v>
      </c>
      <c r="G16" s="6">
        <v>56425025</v>
      </c>
      <c r="H16" s="6">
        <v>58227888</v>
      </c>
      <c r="I16" s="6"/>
      <c r="J16" s="6">
        <v>21947673</v>
      </c>
      <c r="K16" s="6">
        <v>33188303</v>
      </c>
      <c r="L16" s="74">
        <v>13285934</v>
      </c>
      <c r="M16" s="6"/>
      <c r="N16" s="81"/>
    </row>
    <row r="17" spans="2:15" x14ac:dyDescent="0.3">
      <c r="B17" s="7" t="s">
        <v>34</v>
      </c>
      <c r="C17" s="6">
        <v>973053</v>
      </c>
      <c r="D17" s="6"/>
      <c r="E17" s="6">
        <v>21323305</v>
      </c>
      <c r="F17" s="6">
        <v>34980053</v>
      </c>
      <c r="G17" s="6">
        <v>56383366</v>
      </c>
      <c r="H17" s="6">
        <v>52313956</v>
      </c>
      <c r="I17" s="6">
        <v>4080600</v>
      </c>
      <c r="J17" s="6"/>
      <c r="K17" s="6">
        <v>23013981</v>
      </c>
      <c r="L17" s="74">
        <v>31912914</v>
      </c>
      <c r="M17" s="6">
        <v>8979292</v>
      </c>
      <c r="N17" s="81"/>
    </row>
    <row r="18" spans="2:15" ht="14.25" thickBot="1" x14ac:dyDescent="0.35">
      <c r="B18" s="8" t="s">
        <v>93</v>
      </c>
      <c r="C18" s="9">
        <v>157888843</v>
      </c>
      <c r="D18" s="9">
        <v>132462486</v>
      </c>
      <c r="E18" s="9">
        <v>127164358</v>
      </c>
      <c r="F18" s="9">
        <v>148105707</v>
      </c>
      <c r="G18" s="9">
        <v>127164358</v>
      </c>
      <c r="H18" s="9">
        <v>168559690</v>
      </c>
      <c r="I18" s="9">
        <v>202122554</v>
      </c>
      <c r="J18" s="9">
        <v>172059100</v>
      </c>
      <c r="K18" s="9">
        <v>138693269</v>
      </c>
      <c r="L18" s="75">
        <v>151920823</v>
      </c>
      <c r="M18" s="9">
        <v>185043129</v>
      </c>
      <c r="N18" s="82">
        <v>198555826</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0.30946289701090457</v>
      </c>
      <c r="D21" s="11">
        <f>IF(IFERROR(E13/D12,0)&gt;1,1,IFERROR(E13/D12,0))</f>
        <v>0.3463516310858627</v>
      </c>
      <c r="E21" s="11">
        <f t="shared" ref="E21:M21" si="0">IF(IFERROR(F13/E12,0)&gt;1,1,IFERROR(F13/E12,0))</f>
        <v>0.31673573172653702</v>
      </c>
      <c r="F21" s="11">
        <f t="shared" si="0"/>
        <v>0.23415346395793887</v>
      </c>
      <c r="G21" s="11">
        <f t="shared" si="0"/>
        <v>0.2022809572690363</v>
      </c>
      <c r="H21" s="11">
        <f t="shared" si="0"/>
        <v>0.16301314606296094</v>
      </c>
      <c r="I21" s="11">
        <f t="shared" si="0"/>
        <v>0.23766592858402735</v>
      </c>
      <c r="J21" s="11">
        <f t="shared" si="0"/>
        <v>0.22909317033018234</v>
      </c>
      <c r="K21" s="11">
        <f t="shared" si="0"/>
        <v>0.2267820614719423</v>
      </c>
      <c r="L21" s="11">
        <f t="shared" si="0"/>
        <v>0.28487248806937121</v>
      </c>
      <c r="M21" s="83">
        <f t="shared" si="0"/>
        <v>0.30349301886556251</v>
      </c>
      <c r="N21" s="84">
        <f>AVERAGE(C21:M21)</f>
        <v>0.25944586313039325</v>
      </c>
      <c r="O21" s="174" t="s">
        <v>58</v>
      </c>
    </row>
    <row r="22" spans="2:15" x14ac:dyDescent="0.3">
      <c r="B22" s="13" t="s">
        <v>61</v>
      </c>
      <c r="C22" s="14">
        <f>IF(IFERROR(D14/C13,0)&gt;1,1,IFERROR(D14/C13,0))</f>
        <v>0.34682404649021659</v>
      </c>
      <c r="D22" s="14">
        <f t="shared" ref="D22:M22" si="1">IF(IFERROR(E14/D13,0)&gt;1,1,IFERROR(E14/D13,0))</f>
        <v>0.58705657535213995</v>
      </c>
      <c r="E22" s="14">
        <f t="shared" si="1"/>
        <v>0.29525285263851569</v>
      </c>
      <c r="F22" s="14">
        <f t="shared" si="1"/>
        <v>0.13822678988165216</v>
      </c>
      <c r="G22" s="14">
        <f t="shared" si="1"/>
        <v>0.25623318878940859</v>
      </c>
      <c r="H22" s="14">
        <f t="shared" si="1"/>
        <v>0.37167845484051643</v>
      </c>
      <c r="I22" s="14">
        <f t="shared" si="1"/>
        <v>0.30039907547963329</v>
      </c>
      <c r="J22" s="14">
        <f t="shared" si="1"/>
        <v>0.22834621641488759</v>
      </c>
      <c r="K22" s="14">
        <f t="shared" si="1"/>
        <v>0.34575209364526333</v>
      </c>
      <c r="L22" s="14">
        <f t="shared" si="1"/>
        <v>0.57451436048695503</v>
      </c>
      <c r="M22" s="85">
        <f t="shared" si="1"/>
        <v>0.77836130078996679</v>
      </c>
      <c r="N22" s="86">
        <f t="shared" ref="N22:N25" si="2">AVERAGE(C22:M22)</f>
        <v>0.38387681407355956</v>
      </c>
      <c r="O22" s="174"/>
    </row>
    <row r="23" spans="2:15" x14ac:dyDescent="0.3">
      <c r="B23" s="13" t="s">
        <v>62</v>
      </c>
      <c r="C23" s="14">
        <f t="shared" ref="C23:M25" si="3">IF(IFERROR(D15/C14,0)&gt;1,1,IFERROR(D15/C14,0))</f>
        <v>0.15211837730909067</v>
      </c>
      <c r="D23" s="14">
        <f t="shared" si="3"/>
        <v>0.59611386026899305</v>
      </c>
      <c r="E23" s="14">
        <f t="shared" si="3"/>
        <v>0.27918497786063062</v>
      </c>
      <c r="F23" s="14">
        <f t="shared" si="3"/>
        <v>0.50702990048601038</v>
      </c>
      <c r="G23" s="14">
        <f t="shared" si="3"/>
        <v>0.56074096402594642</v>
      </c>
      <c r="H23" s="14">
        <f t="shared" si="3"/>
        <v>0.51018050357866818</v>
      </c>
      <c r="I23" s="14">
        <f t="shared" si="3"/>
        <v>0.17427384202612503</v>
      </c>
      <c r="J23" s="14">
        <f t="shared" si="3"/>
        <v>5.2375752001155899E-2</v>
      </c>
      <c r="K23" s="14">
        <f t="shared" si="3"/>
        <v>0.36373417115602158</v>
      </c>
      <c r="L23" s="14">
        <f t="shared" si="3"/>
        <v>0.1384736514515833</v>
      </c>
      <c r="M23" s="85">
        <f t="shared" si="3"/>
        <v>0.45008014473838137</v>
      </c>
      <c r="N23" s="86">
        <f t="shared" si="2"/>
        <v>0.34402783135478249</v>
      </c>
      <c r="O23" s="174"/>
    </row>
    <row r="24" spans="2:15" x14ac:dyDescent="0.3">
      <c r="B24" s="13" t="s">
        <v>63</v>
      </c>
      <c r="C24" s="14">
        <f t="shared" si="3"/>
        <v>0.12312676275588856</v>
      </c>
      <c r="D24" s="14">
        <f t="shared" si="3"/>
        <v>0.26351735779163604</v>
      </c>
      <c r="E24" s="14">
        <f t="shared" si="3"/>
        <v>0.17397068538830218</v>
      </c>
      <c r="F24" s="14">
        <f t="shared" si="3"/>
        <v>0.20630432615720734</v>
      </c>
      <c r="G24" s="14">
        <f t="shared" si="3"/>
        <v>0.20515184166886785</v>
      </c>
      <c r="H24" s="14">
        <f t="shared" si="3"/>
        <v>0</v>
      </c>
      <c r="I24" s="14">
        <f t="shared" si="3"/>
        <v>0.13794986315148317</v>
      </c>
      <c r="J24" s="14">
        <f t="shared" si="3"/>
        <v>0.48462860247575962</v>
      </c>
      <c r="K24" s="14">
        <f t="shared" si="3"/>
        <v>1</v>
      </c>
      <c r="L24" s="14">
        <f t="shared" si="3"/>
        <v>0</v>
      </c>
      <c r="M24" s="87">
        <f t="shared" si="3"/>
        <v>0</v>
      </c>
      <c r="N24" s="86">
        <f t="shared" si="2"/>
        <v>0.23587722176264955</v>
      </c>
      <c r="O24" s="174"/>
    </row>
    <row r="25" spans="2:15" ht="14.25" thickBot="1" x14ac:dyDescent="0.35">
      <c r="B25" s="15" t="s">
        <v>64</v>
      </c>
      <c r="C25" s="16">
        <f t="shared" si="3"/>
        <v>0</v>
      </c>
      <c r="D25" s="16">
        <f t="shared" si="3"/>
        <v>1</v>
      </c>
      <c r="E25" s="16">
        <f t="shared" si="3"/>
        <v>0.98208734909729944</v>
      </c>
      <c r="F25" s="16">
        <f t="shared" si="3"/>
        <v>0.72646675550042172</v>
      </c>
      <c r="G25" s="16">
        <f t="shared" si="3"/>
        <v>0.92714103361053013</v>
      </c>
      <c r="H25" s="16">
        <f t="shared" si="3"/>
        <v>7.0079821545304885E-2</v>
      </c>
      <c r="I25" s="16">
        <f t="shared" si="3"/>
        <v>0</v>
      </c>
      <c r="J25" s="16">
        <f t="shared" si="3"/>
        <v>1</v>
      </c>
      <c r="K25" s="16">
        <f t="shared" si="3"/>
        <v>0.96157112944280398</v>
      </c>
      <c r="L25" s="16">
        <f t="shared" si="3"/>
        <v>0.67584951121991121</v>
      </c>
      <c r="M25" s="88">
        <f t="shared" si="3"/>
        <v>0</v>
      </c>
      <c r="N25" s="89">
        <f t="shared" si="2"/>
        <v>0.57665414549238836</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385</v>
      </c>
      <c r="D32" s="90" t="s">
        <v>385</v>
      </c>
      <c r="E32" s="90" t="s">
        <v>385</v>
      </c>
      <c r="F32" s="90" t="s">
        <v>385</v>
      </c>
      <c r="G32" s="90" t="s">
        <v>391</v>
      </c>
      <c r="I32" s="108"/>
      <c r="J32" s="108"/>
      <c r="K32" s="108"/>
    </row>
    <row r="33" spans="2:11" x14ac:dyDescent="0.3">
      <c r="B33" s="20" t="s">
        <v>26</v>
      </c>
      <c r="C33" s="94">
        <f t="shared" ref="C33:C39" si="4">N12</f>
        <v>6608289603</v>
      </c>
      <c r="D33" s="50">
        <f>C48</f>
        <v>0</v>
      </c>
      <c r="E33" s="95">
        <f>C33-D33</f>
        <v>6608289603</v>
      </c>
      <c r="F33" s="63">
        <f>PRODUCT(N21:$N$25)</f>
        <v>4.6605120174107511E-3</v>
      </c>
      <c r="G33" s="57">
        <f>ROUND(E33*F33,)</f>
        <v>30798013</v>
      </c>
      <c r="I33" s="108"/>
      <c r="J33" s="108"/>
      <c r="K33" s="108"/>
    </row>
    <row r="34" spans="2:11" x14ac:dyDescent="0.3">
      <c r="B34" s="22" t="s">
        <v>38</v>
      </c>
      <c r="C34" s="96">
        <f t="shared" si="4"/>
        <v>2068394905</v>
      </c>
      <c r="D34" s="52">
        <f t="shared" ref="D34:D39" si="5">C49</f>
        <v>0</v>
      </c>
      <c r="E34" s="97">
        <f t="shared" ref="E34:E39" si="6">C34-D34</f>
        <v>2068394905</v>
      </c>
      <c r="F34" s="64">
        <f>PRODUCT(N22:$N$25)</f>
        <v>1.7963331390905449E-2</v>
      </c>
      <c r="G34" s="58">
        <f t="shared" ref="G34:G39" si="7">ROUND(E34*F34,)</f>
        <v>37155263</v>
      </c>
      <c r="I34" s="108"/>
      <c r="J34" s="108"/>
      <c r="K34" s="108"/>
    </row>
    <row r="35" spans="2:11" x14ac:dyDescent="0.3">
      <c r="B35" s="22" t="s">
        <v>28</v>
      </c>
      <c r="C35" s="96">
        <f t="shared" si="4"/>
        <v>1477183747</v>
      </c>
      <c r="D35" s="52">
        <f t="shared" si="5"/>
        <v>0</v>
      </c>
      <c r="E35" s="97">
        <f t="shared" si="6"/>
        <v>1477183747</v>
      </c>
      <c r="F35" s="64">
        <f>PRODUCT(N23:$N$25)</f>
        <v>4.6794520357416693E-2</v>
      </c>
      <c r="G35" s="58">
        <f t="shared" si="7"/>
        <v>69124105</v>
      </c>
      <c r="I35" s="108"/>
      <c r="J35" s="108"/>
      <c r="K35" s="108"/>
    </row>
    <row r="36" spans="2:11" x14ac:dyDescent="0.3">
      <c r="B36" s="22" t="s">
        <v>29</v>
      </c>
      <c r="C36" s="96">
        <f t="shared" si="4"/>
        <v>408606940</v>
      </c>
      <c r="D36" s="52">
        <f t="shared" si="5"/>
        <v>0</v>
      </c>
      <c r="E36" s="97">
        <f t="shared" si="6"/>
        <v>408606940</v>
      </c>
      <c r="F36" s="64">
        <f>PRODUCT(N24:$N$25)</f>
        <v>0.13601957775665927</v>
      </c>
      <c r="G36" s="58">
        <f t="shared" si="7"/>
        <v>55578543</v>
      </c>
      <c r="I36" s="108"/>
      <c r="J36" s="108"/>
      <c r="K36" s="108"/>
    </row>
    <row r="37" spans="2:11" ht="14.25" thickBot="1" x14ac:dyDescent="0.35">
      <c r="B37" s="25" t="s">
        <v>31</v>
      </c>
      <c r="C37" s="98">
        <f t="shared" si="4"/>
        <v>0</v>
      </c>
      <c r="D37" s="55">
        <f t="shared" si="5"/>
        <v>0</v>
      </c>
      <c r="E37" s="99">
        <f t="shared" si="6"/>
        <v>0</v>
      </c>
      <c r="F37" s="67">
        <f>PRODUCT(N25:$N$25)</f>
        <v>0.57665414549238836</v>
      </c>
      <c r="G37" s="59">
        <f t="shared" si="7"/>
        <v>0</v>
      </c>
      <c r="I37" s="108"/>
      <c r="J37" s="108"/>
      <c r="K37" s="108"/>
    </row>
    <row r="38" spans="2:11" x14ac:dyDescent="0.3">
      <c r="B38" s="27" t="s">
        <v>33</v>
      </c>
      <c r="C38" s="94">
        <f t="shared" si="4"/>
        <v>0</v>
      </c>
      <c r="D38" s="50">
        <f t="shared" si="5"/>
        <v>0</v>
      </c>
      <c r="E38" s="29">
        <f t="shared" si="6"/>
        <v>0</v>
      </c>
      <c r="F38" s="100">
        <v>1</v>
      </c>
      <c r="G38" s="60">
        <f t="shared" si="7"/>
        <v>0</v>
      </c>
      <c r="I38" s="108"/>
      <c r="J38" s="108"/>
      <c r="K38" s="108"/>
    </row>
    <row r="39" spans="2:11" ht="14.25" thickBot="1" x14ac:dyDescent="0.35">
      <c r="B39" s="30" t="s">
        <v>35</v>
      </c>
      <c r="C39" s="98">
        <f t="shared" si="4"/>
        <v>198555826</v>
      </c>
      <c r="D39" s="55">
        <f t="shared" si="5"/>
        <v>27647453</v>
      </c>
      <c r="E39" s="32">
        <f t="shared" si="6"/>
        <v>170908373</v>
      </c>
      <c r="F39" s="67">
        <v>1</v>
      </c>
      <c r="G39" s="61">
        <f t="shared" si="7"/>
        <v>170908373</v>
      </c>
      <c r="I39" s="108"/>
      <c r="J39" s="108"/>
      <c r="K39" s="108"/>
    </row>
    <row r="40" spans="2:11" ht="14.25" thickBot="1" x14ac:dyDescent="0.35">
      <c r="B40" s="30" t="s">
        <v>41</v>
      </c>
      <c r="C40" s="101">
        <f>SUM(C33:C39)</f>
        <v>10761031021</v>
      </c>
      <c r="D40" s="101">
        <f>SUM(D33:D39)</f>
        <v>27647453</v>
      </c>
      <c r="E40" s="102">
        <f>SUM(E33:E39)</f>
        <v>10733383568</v>
      </c>
      <c r="F40" s="67"/>
      <c r="G40" s="61">
        <f>SUM(G33:G39)</f>
        <v>363564297</v>
      </c>
      <c r="H40" s="108"/>
      <c r="I40" s="108"/>
      <c r="J40" s="108"/>
      <c r="K40" s="108"/>
    </row>
    <row r="41" spans="2:11" ht="14.25" thickBot="1" x14ac:dyDescent="0.35">
      <c r="B41" s="108"/>
      <c r="E41" s="109"/>
      <c r="F41" s="110"/>
      <c r="G41" s="115"/>
      <c r="H41" s="108"/>
      <c r="I41" s="108"/>
      <c r="J41" s="108"/>
      <c r="K41" s="108"/>
    </row>
    <row r="42" spans="2:11" ht="14.25" thickBot="1" x14ac:dyDescent="0.35">
      <c r="G42" s="33">
        <f>G40</f>
        <v>363564297</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90" t="s">
        <v>385</v>
      </c>
      <c r="D47" s="90" t="s">
        <v>390</v>
      </c>
    </row>
    <row r="48" spans="2:11" x14ac:dyDescent="0.3">
      <c r="B48" s="20" t="s">
        <v>26</v>
      </c>
      <c r="C48" s="34">
        <v>0</v>
      </c>
      <c r="D48" s="35">
        <v>0</v>
      </c>
      <c r="F48" s="173" t="s">
        <v>85</v>
      </c>
      <c r="G48" s="173"/>
      <c r="H48" s="173"/>
      <c r="I48" s="173"/>
    </row>
    <row r="49" spans="1:10" x14ac:dyDescent="0.3">
      <c r="B49" s="22" t="s">
        <v>38</v>
      </c>
      <c r="C49" s="36">
        <v>0</v>
      </c>
      <c r="D49" s="37">
        <v>0</v>
      </c>
      <c r="F49" s="104" t="s">
        <v>90</v>
      </c>
      <c r="G49" s="105">
        <v>27647453</v>
      </c>
      <c r="H49" s="104"/>
      <c r="I49" s="105"/>
    </row>
    <row r="50" spans="1:10" x14ac:dyDescent="0.3">
      <c r="B50" s="22" t="s">
        <v>28</v>
      </c>
      <c r="C50" s="36">
        <v>0</v>
      </c>
      <c r="D50" s="37">
        <v>0</v>
      </c>
      <c r="F50" s="104"/>
      <c r="G50" s="105"/>
      <c r="H50" s="104"/>
      <c r="I50" s="105"/>
    </row>
    <row r="51" spans="1:10" x14ac:dyDescent="0.3">
      <c r="B51" s="22" t="s">
        <v>29</v>
      </c>
      <c r="C51" s="36">
        <v>0</v>
      </c>
      <c r="D51" s="37">
        <v>0</v>
      </c>
      <c r="F51" s="104"/>
      <c r="G51" s="105"/>
      <c r="H51" s="106"/>
      <c r="I51" s="106"/>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27647453</v>
      </c>
      <c r="D54" s="41">
        <f>C54</f>
        <v>27647453</v>
      </c>
    </row>
    <row r="55" spans="1:10" ht="14.25" thickBot="1" x14ac:dyDescent="0.35">
      <c r="B55" s="46" t="s">
        <v>11</v>
      </c>
      <c r="C55" s="47">
        <f>SUM(C48:C54)</f>
        <v>27647453</v>
      </c>
      <c r="D55" s="48">
        <f>SUM(D48:D54)</f>
        <v>27647453</v>
      </c>
    </row>
    <row r="56" spans="1:10" ht="14.25" thickBot="1" x14ac:dyDescent="0.35"/>
    <row r="57" spans="1:10" ht="14.25" thickBot="1" x14ac:dyDescent="0.35">
      <c r="E57" s="33">
        <f>D55</f>
        <v>27647453</v>
      </c>
      <c r="F57" s="2" t="s">
        <v>51</v>
      </c>
    </row>
    <row r="59" spans="1:10" x14ac:dyDescent="0.3">
      <c r="B59" s="111" t="s">
        <v>12</v>
      </c>
    </row>
    <row r="60" spans="1:10" x14ac:dyDescent="0.3">
      <c r="B60" s="2" t="s">
        <v>20</v>
      </c>
      <c r="H60" s="118"/>
      <c r="I60" s="118"/>
      <c r="J60" s="118"/>
    </row>
    <row r="61" spans="1:10" x14ac:dyDescent="0.3">
      <c r="B61" s="42" t="s">
        <v>14</v>
      </c>
      <c r="C61" s="42" t="s">
        <v>15</v>
      </c>
      <c r="D61" s="42" t="s">
        <v>98</v>
      </c>
      <c r="E61" s="42" t="s">
        <v>52</v>
      </c>
      <c r="H61" s="43"/>
      <c r="I61" s="119"/>
      <c r="J61" s="119"/>
    </row>
    <row r="62" spans="1:10" x14ac:dyDescent="0.3">
      <c r="A62" s="2" t="s">
        <v>18</v>
      </c>
      <c r="B62" s="103" t="s">
        <v>100</v>
      </c>
      <c r="C62" s="43" t="s">
        <v>4</v>
      </c>
      <c r="D62" s="44">
        <v>10761031021</v>
      </c>
      <c r="E62" s="43"/>
      <c r="H62" s="43"/>
      <c r="I62" s="119"/>
      <c r="J62" s="119"/>
    </row>
    <row r="63" spans="1:10" x14ac:dyDescent="0.3">
      <c r="A63" s="2" t="s">
        <v>19</v>
      </c>
      <c r="B63" s="43">
        <v>1110321</v>
      </c>
      <c r="C63" s="43" t="s">
        <v>13</v>
      </c>
      <c r="D63" s="44">
        <v>391211750</v>
      </c>
      <c r="E63" s="45">
        <f>D63-G42-E57</f>
        <v>0</v>
      </c>
      <c r="F63" s="2" t="s">
        <v>16</v>
      </c>
      <c r="H63" s="43"/>
      <c r="I63" s="119"/>
      <c r="J63" s="119"/>
    </row>
    <row r="64" spans="1:10" x14ac:dyDescent="0.3">
      <c r="B64" s="43"/>
      <c r="C64" s="43" t="s">
        <v>101</v>
      </c>
      <c r="D64" s="45">
        <f>D62-D63</f>
        <v>10369819271</v>
      </c>
      <c r="E64" s="45">
        <f>D64-E40-C55+G42+E57</f>
        <v>0</v>
      </c>
      <c r="F64" s="2" t="s">
        <v>16</v>
      </c>
      <c r="H64" s="106"/>
      <c r="I64" s="120"/>
      <c r="J64" s="107"/>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2060"/>
  </sheetPr>
  <dimension ref="A2:O70"/>
  <sheetViews>
    <sheetView topLeftCell="A43" zoomScaleNormal="100" workbookViewId="0">
      <selection activeCell="I61" sqref="I61"/>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401</v>
      </c>
    </row>
    <row r="3" spans="2:14" ht="14.25" thickBot="1" x14ac:dyDescent="0.35"/>
    <row r="4" spans="2:14" ht="14.25" thickBot="1" x14ac:dyDescent="0.35">
      <c r="C4" s="1"/>
      <c r="D4" s="2" t="s">
        <v>402</v>
      </c>
      <c r="E4" s="116"/>
      <c r="F4" s="2" t="s">
        <v>23</v>
      </c>
    </row>
    <row r="6" spans="2:14" x14ac:dyDescent="0.3">
      <c r="B6" s="111" t="s">
        <v>24</v>
      </c>
    </row>
    <row r="7" spans="2:14" x14ac:dyDescent="0.3">
      <c r="B7" s="111"/>
    </row>
    <row r="8" spans="2:14" x14ac:dyDescent="0.3">
      <c r="B8" s="111" t="s">
        <v>403</v>
      </c>
    </row>
    <row r="9" spans="2:14" x14ac:dyDescent="0.3">
      <c r="B9" s="2" t="s">
        <v>43</v>
      </c>
    </row>
    <row r="10" spans="2:14" ht="14.25" thickBot="1" x14ac:dyDescent="0.35"/>
    <row r="11" spans="2:14" x14ac:dyDescent="0.3">
      <c r="B11" s="3" t="s">
        <v>0</v>
      </c>
      <c r="C11" s="4" t="s">
        <v>76</v>
      </c>
      <c r="D11" s="4" t="s">
        <v>73</v>
      </c>
      <c r="E11" s="4" t="s">
        <v>74</v>
      </c>
      <c r="F11" s="4" t="s">
        <v>246</v>
      </c>
      <c r="G11" s="4" t="s">
        <v>355</v>
      </c>
      <c r="H11" s="4" t="s">
        <v>362</v>
      </c>
      <c r="I11" s="4" t="s">
        <v>363</v>
      </c>
      <c r="J11" s="4" t="s">
        <v>372</v>
      </c>
      <c r="K11" s="4" t="s">
        <v>379</v>
      </c>
      <c r="L11" s="73" t="s">
        <v>380</v>
      </c>
      <c r="M11" s="4" t="s">
        <v>392</v>
      </c>
      <c r="N11" s="80" t="s">
        <v>404</v>
      </c>
    </row>
    <row r="12" spans="2:14" x14ac:dyDescent="0.3">
      <c r="B12" s="5" t="s">
        <v>91</v>
      </c>
      <c r="C12" s="6">
        <v>2125383029</v>
      </c>
      <c r="D12" s="6">
        <v>1838003129</v>
      </c>
      <c r="E12" s="6">
        <v>2474596079</v>
      </c>
      <c r="F12" s="6">
        <v>2202685666</v>
      </c>
      <c r="G12" s="6">
        <v>2448094402</v>
      </c>
      <c r="H12" s="6">
        <v>2436043383</v>
      </c>
      <c r="I12" s="6">
        <v>2452539804</v>
      </c>
      <c r="J12" s="6">
        <v>1715641447</v>
      </c>
      <c r="K12" s="6">
        <v>1962667876</v>
      </c>
      <c r="L12" s="74">
        <v>1587555486</v>
      </c>
      <c r="M12" s="6">
        <v>1852826474</v>
      </c>
      <c r="N12" s="81">
        <v>1553973714</v>
      </c>
    </row>
    <row r="13" spans="2:14" x14ac:dyDescent="0.3">
      <c r="B13" s="7" t="s">
        <v>405</v>
      </c>
      <c r="C13" s="6">
        <v>274267577</v>
      </c>
      <c r="D13" s="6">
        <v>238208478</v>
      </c>
      <c r="E13" s="6">
        <v>167868169</v>
      </c>
      <c r="F13" s="6">
        <v>112476407</v>
      </c>
      <c r="G13" s="6">
        <v>46121428</v>
      </c>
      <c r="H13" s="6">
        <v>45386643</v>
      </c>
      <c r="I13" s="6">
        <v>166622154</v>
      </c>
      <c r="J13" s="6">
        <v>161509038</v>
      </c>
      <c r="K13" s="6">
        <v>102054537</v>
      </c>
      <c r="L13" s="74">
        <v>7902115</v>
      </c>
      <c r="M13" s="6">
        <v>60538016</v>
      </c>
      <c r="N13" s="81">
        <v>107186544</v>
      </c>
    </row>
    <row r="14" spans="2:14" x14ac:dyDescent="0.3">
      <c r="B14" s="7" t="s">
        <v>261</v>
      </c>
      <c r="C14" s="6">
        <v>5500521</v>
      </c>
      <c r="D14" s="6"/>
      <c r="E14" s="6">
        <v>73921998</v>
      </c>
      <c r="F14" s="6"/>
      <c r="G14" s="6">
        <v>1992302</v>
      </c>
      <c r="H14" s="6"/>
      <c r="I14" s="6"/>
      <c r="J14" s="6"/>
      <c r="K14" s="6">
        <v>20356752</v>
      </c>
      <c r="L14" s="74"/>
      <c r="M14" s="6"/>
      <c r="N14" s="81">
        <v>19629500</v>
      </c>
    </row>
    <row r="15" spans="2:14" x14ac:dyDescent="0.3">
      <c r="B15" s="7" t="s">
        <v>30</v>
      </c>
      <c r="C15" s="6">
        <v>3905000</v>
      </c>
      <c r="D15" s="6"/>
      <c r="E15" s="6"/>
      <c r="F15" s="6">
        <v>63921998</v>
      </c>
      <c r="G15" s="6"/>
      <c r="H15" s="6">
        <v>1992302</v>
      </c>
      <c r="I15" s="6"/>
      <c r="J15" s="6"/>
      <c r="K15" s="6"/>
      <c r="L15" s="74"/>
      <c r="M15" s="6"/>
      <c r="N15" s="81"/>
    </row>
    <row r="16" spans="2:14" x14ac:dyDescent="0.3">
      <c r="B16" s="7" t="s">
        <v>32</v>
      </c>
      <c r="C16" s="6"/>
      <c r="D16" s="6"/>
      <c r="E16" s="6"/>
      <c r="F16" s="6"/>
      <c r="G16" s="6">
        <v>61921998</v>
      </c>
      <c r="H16" s="6"/>
      <c r="I16" s="6">
        <v>204802</v>
      </c>
      <c r="J16" s="6"/>
      <c r="K16" s="6"/>
      <c r="L16" s="74"/>
      <c r="M16" s="6"/>
      <c r="N16" s="81"/>
    </row>
    <row r="17" spans="2:15" x14ac:dyDescent="0.3">
      <c r="B17" s="7" t="s">
        <v>34</v>
      </c>
      <c r="C17" s="6"/>
      <c r="D17" s="6"/>
      <c r="E17" s="6"/>
      <c r="F17" s="6"/>
      <c r="G17" s="6"/>
      <c r="H17" s="6">
        <v>53327600</v>
      </c>
      <c r="I17" s="6"/>
      <c r="J17" s="6">
        <v>204802</v>
      </c>
      <c r="K17" s="6"/>
      <c r="L17" s="74"/>
      <c r="M17" s="6"/>
      <c r="N17" s="81"/>
    </row>
    <row r="18" spans="2:15" ht="14.25" thickBot="1" x14ac:dyDescent="0.35">
      <c r="B18" s="8" t="s">
        <v>304</v>
      </c>
      <c r="C18" s="9">
        <v>880558362</v>
      </c>
      <c r="D18" s="9">
        <v>414321318</v>
      </c>
      <c r="E18" s="9">
        <v>414321318</v>
      </c>
      <c r="F18" s="9">
        <v>414321318</v>
      </c>
      <c r="G18" s="9">
        <v>414321318</v>
      </c>
      <c r="H18" s="9">
        <v>414321318</v>
      </c>
      <c r="I18" s="9">
        <v>467648918</v>
      </c>
      <c r="J18" s="9">
        <v>414321318</v>
      </c>
      <c r="K18" s="9">
        <v>114526120</v>
      </c>
      <c r="L18" s="75">
        <v>114526120</v>
      </c>
      <c r="M18" s="9">
        <v>114526120</v>
      </c>
      <c r="N18" s="82">
        <v>114526120</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305</v>
      </c>
      <c r="C21" s="11">
        <f>IF(IFERROR(D13/C12,0)&gt;1,1,IFERROR(D13/C12,0))</f>
        <v>0.11207790537034537</v>
      </c>
      <c r="D21" s="11">
        <f>IF(IFERROR(E13/D12,0)&gt;1,1,IFERROR(E13/D12,0))</f>
        <v>9.1331818945994847E-2</v>
      </c>
      <c r="E21" s="11">
        <f t="shared" ref="E21:M21" si="0">IF(IFERROR(F13/E12,0)&gt;1,1,IFERROR(F13/E12,0))</f>
        <v>4.5452430784361557E-2</v>
      </c>
      <c r="F21" s="11">
        <f t="shared" si="0"/>
        <v>2.0938724354508057E-2</v>
      </c>
      <c r="G21" s="11">
        <f t="shared" si="0"/>
        <v>1.8539580402994606E-2</v>
      </c>
      <c r="H21" s="11">
        <f t="shared" si="0"/>
        <v>6.8398680894920669E-2</v>
      </c>
      <c r="I21" s="11">
        <f t="shared" si="0"/>
        <v>6.585378868737822E-2</v>
      </c>
      <c r="J21" s="11">
        <f t="shared" si="0"/>
        <v>5.9484770071540481E-2</v>
      </c>
      <c r="K21" s="11">
        <f t="shared" si="0"/>
        <v>4.02621100423004E-3</v>
      </c>
      <c r="L21" s="11">
        <f t="shared" si="0"/>
        <v>3.8132850494902323E-2</v>
      </c>
      <c r="M21" s="83">
        <f t="shared" si="0"/>
        <v>5.7850287387463138E-2</v>
      </c>
      <c r="N21" s="84">
        <f>AVERAGE(C21:M21)</f>
        <v>5.2917004399876302E-2</v>
      </c>
      <c r="O21" s="174" t="s">
        <v>406</v>
      </c>
    </row>
    <row r="22" spans="2:15" x14ac:dyDescent="0.3">
      <c r="B22" s="13" t="s">
        <v>61</v>
      </c>
      <c r="C22" s="14">
        <f>IF(IFERROR(D14/C13,0)&gt;1,1,IFERROR(D14/C13,0))</f>
        <v>0</v>
      </c>
      <c r="D22" s="14">
        <f t="shared" ref="D22:M22" si="1">IF(IFERROR(E14/D13,0)&gt;1,1,IFERROR(E14/D13,0))</f>
        <v>0.31032479876723784</v>
      </c>
      <c r="E22" s="14">
        <f t="shared" si="1"/>
        <v>0</v>
      </c>
      <c r="F22" s="14">
        <f t="shared" si="1"/>
        <v>1.7713065816549422E-2</v>
      </c>
      <c r="G22" s="14">
        <f t="shared" si="1"/>
        <v>0</v>
      </c>
      <c r="H22" s="14">
        <f t="shared" si="1"/>
        <v>0</v>
      </c>
      <c r="I22" s="14">
        <f t="shared" si="1"/>
        <v>0</v>
      </c>
      <c r="J22" s="14">
        <f t="shared" si="1"/>
        <v>0.12604094638963795</v>
      </c>
      <c r="K22" s="14">
        <f t="shared" si="1"/>
        <v>0</v>
      </c>
      <c r="L22" s="14">
        <f t="shared" si="1"/>
        <v>0</v>
      </c>
      <c r="M22" s="85">
        <f t="shared" si="1"/>
        <v>0.32425079804399271</v>
      </c>
      <c r="N22" s="86">
        <f t="shared" ref="N22:N25" si="2">AVERAGE(C22:M22)</f>
        <v>7.0757237183401628E-2</v>
      </c>
      <c r="O22" s="174"/>
    </row>
    <row r="23" spans="2:15" x14ac:dyDescent="0.3">
      <c r="B23" s="13" t="s">
        <v>62</v>
      </c>
      <c r="C23" s="14">
        <f t="shared" ref="C23:M25" si="3">IF(IFERROR(D15/C14,0)&gt;1,1,IFERROR(D15/C14,0))</f>
        <v>0</v>
      </c>
      <c r="D23" s="14">
        <f t="shared" si="3"/>
        <v>0</v>
      </c>
      <c r="E23" s="14">
        <f t="shared" si="3"/>
        <v>0.86472227117021372</v>
      </c>
      <c r="F23" s="14">
        <f t="shared" si="3"/>
        <v>0</v>
      </c>
      <c r="G23" s="14">
        <f t="shared" si="3"/>
        <v>1</v>
      </c>
      <c r="H23" s="14">
        <f t="shared" si="3"/>
        <v>0</v>
      </c>
      <c r="I23" s="14">
        <f t="shared" si="3"/>
        <v>0</v>
      </c>
      <c r="J23" s="14">
        <f t="shared" si="3"/>
        <v>0</v>
      </c>
      <c r="K23" s="14">
        <f t="shared" si="3"/>
        <v>0</v>
      </c>
      <c r="L23" s="14">
        <f t="shared" si="3"/>
        <v>0</v>
      </c>
      <c r="M23" s="85">
        <f t="shared" si="3"/>
        <v>0</v>
      </c>
      <c r="N23" s="86">
        <f t="shared" si="2"/>
        <v>0.16952020647001945</v>
      </c>
      <c r="O23" s="174"/>
    </row>
    <row r="24" spans="2:15" x14ac:dyDescent="0.3">
      <c r="B24" s="13" t="s">
        <v>408</v>
      </c>
      <c r="C24" s="14">
        <f t="shared" si="3"/>
        <v>0</v>
      </c>
      <c r="D24" s="14">
        <f t="shared" si="3"/>
        <v>0</v>
      </c>
      <c r="E24" s="14">
        <f t="shared" si="3"/>
        <v>0</v>
      </c>
      <c r="F24" s="14">
        <f t="shared" si="3"/>
        <v>0.96871186660967634</v>
      </c>
      <c r="G24" s="14">
        <f t="shared" si="3"/>
        <v>0</v>
      </c>
      <c r="H24" s="14">
        <f t="shared" si="3"/>
        <v>0.10279666436112597</v>
      </c>
      <c r="I24" s="14">
        <f t="shared" si="3"/>
        <v>0</v>
      </c>
      <c r="J24" s="14">
        <f t="shared" si="3"/>
        <v>0</v>
      </c>
      <c r="K24" s="14">
        <f t="shared" si="3"/>
        <v>0</v>
      </c>
      <c r="L24" s="14">
        <f t="shared" si="3"/>
        <v>0</v>
      </c>
      <c r="M24" s="87">
        <f t="shared" si="3"/>
        <v>0</v>
      </c>
      <c r="N24" s="86">
        <f t="shared" si="2"/>
        <v>9.7409866451891119E-2</v>
      </c>
      <c r="O24" s="174"/>
    </row>
    <row r="25" spans="2:15" ht="14.25" thickBot="1" x14ac:dyDescent="0.35">
      <c r="B25" s="15" t="s">
        <v>307</v>
      </c>
      <c r="C25" s="16">
        <f t="shared" si="3"/>
        <v>0</v>
      </c>
      <c r="D25" s="16">
        <f t="shared" si="3"/>
        <v>0</v>
      </c>
      <c r="E25" s="16">
        <f t="shared" si="3"/>
        <v>0</v>
      </c>
      <c r="F25" s="16">
        <f t="shared" si="3"/>
        <v>0</v>
      </c>
      <c r="G25" s="16">
        <f t="shared" si="3"/>
        <v>0.86120606121268894</v>
      </c>
      <c r="H25" s="16">
        <f t="shared" si="3"/>
        <v>0</v>
      </c>
      <c r="I25" s="16">
        <f t="shared" si="3"/>
        <v>1</v>
      </c>
      <c r="J25" s="16">
        <f t="shared" si="3"/>
        <v>0</v>
      </c>
      <c r="K25" s="16">
        <f t="shared" si="3"/>
        <v>0</v>
      </c>
      <c r="L25" s="16">
        <f t="shared" si="3"/>
        <v>0</v>
      </c>
      <c r="M25" s="88">
        <f t="shared" si="3"/>
        <v>0</v>
      </c>
      <c r="N25" s="89">
        <f t="shared" si="2"/>
        <v>0.16920055101933534</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409</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337</v>
      </c>
      <c r="D31" s="69" t="s">
        <v>410</v>
      </c>
      <c r="E31" s="70" t="s">
        <v>45</v>
      </c>
      <c r="F31" s="71" t="s">
        <v>411</v>
      </c>
      <c r="G31" s="72" t="s">
        <v>280</v>
      </c>
      <c r="I31" s="108"/>
      <c r="J31" s="108"/>
      <c r="K31" s="108"/>
    </row>
    <row r="32" spans="2:15" ht="14.25" thickBot="1" x14ac:dyDescent="0.35">
      <c r="B32" s="171"/>
      <c r="C32" s="90" t="s">
        <v>404</v>
      </c>
      <c r="D32" s="91" t="s">
        <v>404</v>
      </c>
      <c r="E32" s="92" t="s">
        <v>412</v>
      </c>
      <c r="F32" s="93" t="s">
        <v>404</v>
      </c>
      <c r="G32" s="56" t="s">
        <v>412</v>
      </c>
      <c r="I32" s="108"/>
      <c r="J32" s="108"/>
      <c r="K32" s="108"/>
    </row>
    <row r="33" spans="2:11" x14ac:dyDescent="0.3">
      <c r="B33" s="20" t="s">
        <v>26</v>
      </c>
      <c r="C33" s="94">
        <f t="shared" ref="C33:C39" si="4">N12</f>
        <v>1553973714</v>
      </c>
      <c r="D33" s="50">
        <f>C48</f>
        <v>0</v>
      </c>
      <c r="E33" s="95">
        <f>C33-D33</f>
        <v>1553973714</v>
      </c>
      <c r="F33" s="63">
        <f>PRODUCT(N21:$N$25)</f>
        <v>1.0461460307466585E-5</v>
      </c>
      <c r="G33" s="57">
        <f>ROUND(E33*F33,)</f>
        <v>16257</v>
      </c>
      <c r="I33" s="108"/>
      <c r="J33" s="108"/>
      <c r="K33" s="108"/>
    </row>
    <row r="34" spans="2:11" x14ac:dyDescent="0.3">
      <c r="B34" s="22" t="s">
        <v>38</v>
      </c>
      <c r="C34" s="96">
        <f t="shared" si="4"/>
        <v>107186544</v>
      </c>
      <c r="D34" s="52">
        <f t="shared" ref="D34:D39" si="5">C49</f>
        <v>0</v>
      </c>
      <c r="E34" s="97">
        <f t="shared" ref="E34:E39" si="6">C34-D34</f>
        <v>107186544</v>
      </c>
      <c r="F34" s="64">
        <f>PRODUCT(N22:$N$25)</f>
        <v>1.9769562593552703E-4</v>
      </c>
      <c r="G34" s="58">
        <f t="shared" ref="G34:G37" si="7">ROUND(E34*F34,)</f>
        <v>21190</v>
      </c>
      <c r="I34" s="108"/>
      <c r="J34" s="108"/>
      <c r="K34" s="108"/>
    </row>
    <row r="35" spans="2:11" x14ac:dyDescent="0.3">
      <c r="B35" s="22" t="s">
        <v>28</v>
      </c>
      <c r="C35" s="96">
        <f t="shared" si="4"/>
        <v>19629500</v>
      </c>
      <c r="D35" s="52">
        <f t="shared" si="5"/>
        <v>0</v>
      </c>
      <c r="E35" s="97">
        <f t="shared" si="6"/>
        <v>19629500</v>
      </c>
      <c r="F35" s="64">
        <f>PRODUCT(N23:$N$25)</f>
        <v>2.7939986608451531E-3</v>
      </c>
      <c r="G35" s="58">
        <f t="shared" si="7"/>
        <v>54845</v>
      </c>
      <c r="I35" s="108"/>
      <c r="J35" s="108"/>
      <c r="K35" s="108"/>
    </row>
    <row r="36" spans="2:11" x14ac:dyDescent="0.3">
      <c r="B36" s="22" t="s">
        <v>29</v>
      </c>
      <c r="C36" s="96">
        <f t="shared" si="4"/>
        <v>0</v>
      </c>
      <c r="D36" s="52">
        <f>C51</f>
        <v>0</v>
      </c>
      <c r="E36" s="97">
        <f t="shared" si="6"/>
        <v>0</v>
      </c>
      <c r="F36" s="64">
        <f>PRODUCT(N24:$N$25)</f>
        <v>1.6481803078379844E-2</v>
      </c>
      <c r="G36" s="58">
        <f t="shared" si="7"/>
        <v>0</v>
      </c>
      <c r="I36" s="108"/>
      <c r="J36" s="108"/>
      <c r="K36" s="108"/>
    </row>
    <row r="37" spans="2:11" ht="14.25" thickBot="1" x14ac:dyDescent="0.35">
      <c r="B37" s="25" t="s">
        <v>31</v>
      </c>
      <c r="C37" s="98">
        <f t="shared" si="4"/>
        <v>0</v>
      </c>
      <c r="D37" s="55">
        <f t="shared" si="5"/>
        <v>0</v>
      </c>
      <c r="E37" s="99">
        <f t="shared" si="6"/>
        <v>0</v>
      </c>
      <c r="F37" s="67">
        <f>PRODUCT(N25:$N$25)</f>
        <v>0.16920055101933534</v>
      </c>
      <c r="G37" s="59">
        <f t="shared" si="7"/>
        <v>0</v>
      </c>
      <c r="I37" s="108"/>
      <c r="J37" s="108"/>
      <c r="K37" s="108"/>
    </row>
    <row r="38" spans="2:11" x14ac:dyDescent="0.3">
      <c r="B38" s="27" t="s">
        <v>33</v>
      </c>
      <c r="C38" s="94">
        <f t="shared" si="4"/>
        <v>0</v>
      </c>
      <c r="D38" s="50">
        <f t="shared" si="5"/>
        <v>0</v>
      </c>
      <c r="E38" s="29">
        <f t="shared" si="6"/>
        <v>0</v>
      </c>
      <c r="F38" s="100">
        <v>1</v>
      </c>
      <c r="G38" s="60">
        <f>ROUND(E38*F38,)</f>
        <v>0</v>
      </c>
      <c r="I38" s="108"/>
      <c r="J38" s="108"/>
      <c r="K38" s="108"/>
    </row>
    <row r="39" spans="2:11" ht="14.25" thickBot="1" x14ac:dyDescent="0.35">
      <c r="B39" s="30" t="s">
        <v>35</v>
      </c>
      <c r="C39" s="98">
        <f t="shared" si="4"/>
        <v>114526120</v>
      </c>
      <c r="D39" s="55">
        <f t="shared" si="5"/>
        <v>114321318</v>
      </c>
      <c r="E39" s="32">
        <f t="shared" si="6"/>
        <v>204802</v>
      </c>
      <c r="F39" s="67">
        <v>1</v>
      </c>
      <c r="G39" s="61">
        <f>ROUND(E39*F39,)</f>
        <v>204802</v>
      </c>
      <c r="I39" s="108"/>
      <c r="J39" s="108"/>
      <c r="K39" s="108"/>
    </row>
    <row r="40" spans="2:11" ht="14.25" thickBot="1" x14ac:dyDescent="0.35">
      <c r="B40" s="30" t="s">
        <v>338</v>
      </c>
      <c r="C40" s="101">
        <f>SUM(C33:C39)</f>
        <v>1795315878</v>
      </c>
      <c r="D40" s="101">
        <f>SUM(D33:D39)</f>
        <v>114321318</v>
      </c>
      <c r="E40" s="102">
        <f>SUM(E33:E39)</f>
        <v>1680994560</v>
      </c>
      <c r="F40" s="67"/>
      <c r="G40" s="61">
        <f>SUM(G33:G39)</f>
        <v>297094</v>
      </c>
      <c r="H40" s="108"/>
      <c r="I40" s="108"/>
      <c r="J40" s="108"/>
      <c r="K40" s="108"/>
    </row>
    <row r="41" spans="2:11" ht="14.25" thickBot="1" x14ac:dyDescent="0.35">
      <c r="B41" s="108"/>
      <c r="E41" s="109"/>
      <c r="F41" s="110"/>
      <c r="G41" s="115"/>
      <c r="H41" s="108"/>
      <c r="I41" s="108"/>
      <c r="J41" s="108"/>
      <c r="K41" s="108"/>
    </row>
    <row r="42" spans="2:11" ht="14.25" thickBot="1" x14ac:dyDescent="0.35">
      <c r="G42" s="33">
        <f>G40</f>
        <v>297094</v>
      </c>
      <c r="H42" s="2" t="s">
        <v>282</v>
      </c>
    </row>
    <row r="43" spans="2:11" x14ac:dyDescent="0.3">
      <c r="B43" s="111" t="s">
        <v>284</v>
      </c>
    </row>
    <row r="44" spans="2:11" x14ac:dyDescent="0.3">
      <c r="B44" s="2" t="s">
        <v>413</v>
      </c>
    </row>
    <row r="45" spans="2:11" ht="14.25" thickBot="1" x14ac:dyDescent="0.35"/>
    <row r="46" spans="2:11" ht="67.5" x14ac:dyDescent="0.3">
      <c r="B46" s="170" t="s">
        <v>0</v>
      </c>
      <c r="C46" s="68" t="s">
        <v>107</v>
      </c>
      <c r="D46" s="70" t="s">
        <v>311</v>
      </c>
    </row>
    <row r="47" spans="2:11" ht="14.25" thickBot="1" x14ac:dyDescent="0.35">
      <c r="B47" s="171"/>
      <c r="C47" s="17" t="s">
        <v>404</v>
      </c>
      <c r="D47" s="19" t="s">
        <v>404</v>
      </c>
    </row>
    <row r="48" spans="2:11" x14ac:dyDescent="0.3">
      <c r="B48" s="20" t="s">
        <v>26</v>
      </c>
      <c r="C48" s="34">
        <v>0</v>
      </c>
      <c r="D48" s="35">
        <v>0</v>
      </c>
      <c r="F48" s="173" t="s">
        <v>414</v>
      </c>
      <c r="G48" s="173"/>
      <c r="H48" s="173"/>
      <c r="I48" s="173"/>
    </row>
    <row r="49" spans="1:10" x14ac:dyDescent="0.3">
      <c r="B49" s="22" t="s">
        <v>38</v>
      </c>
      <c r="C49" s="36">
        <v>0</v>
      </c>
      <c r="D49" s="37">
        <v>0</v>
      </c>
      <c r="F49" s="104" t="s">
        <v>86</v>
      </c>
      <c r="G49" s="105">
        <v>27256788</v>
      </c>
      <c r="H49" s="104" t="s">
        <v>87</v>
      </c>
      <c r="I49" s="105">
        <v>49060000</v>
      </c>
    </row>
    <row r="50" spans="1:10" x14ac:dyDescent="0.3">
      <c r="B50" s="22" t="s">
        <v>28</v>
      </c>
      <c r="C50" s="36">
        <v>0</v>
      </c>
      <c r="D50" s="37">
        <v>0</v>
      </c>
      <c r="F50" s="104" t="s">
        <v>88</v>
      </c>
      <c r="G50" s="105">
        <v>3228130</v>
      </c>
      <c r="H50" s="104" t="s">
        <v>89</v>
      </c>
      <c r="I50" s="105">
        <v>12000000</v>
      </c>
    </row>
    <row r="51" spans="1:10" x14ac:dyDescent="0.3">
      <c r="B51" s="22" t="s">
        <v>29</v>
      </c>
      <c r="C51" s="36">
        <v>0</v>
      </c>
      <c r="D51" s="37">
        <v>0</v>
      </c>
      <c r="F51" s="104" t="s">
        <v>354</v>
      </c>
      <c r="G51" s="105">
        <v>22776400</v>
      </c>
      <c r="H51" s="106"/>
      <c r="I51" s="105"/>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114321318</v>
      </c>
      <c r="D54" s="41">
        <f>C54</f>
        <v>114321318</v>
      </c>
    </row>
    <row r="55" spans="1:10" ht="14.25" thickBot="1" x14ac:dyDescent="0.35">
      <c r="B55" s="46" t="s">
        <v>415</v>
      </c>
      <c r="C55" s="47">
        <f>SUM(C48:C54)</f>
        <v>114321318</v>
      </c>
      <c r="D55" s="48">
        <f>SUM(D48:D54)</f>
        <v>114321318</v>
      </c>
    </row>
    <row r="56" spans="1:10" ht="14.25" thickBot="1" x14ac:dyDescent="0.35"/>
    <row r="57" spans="1:10" ht="14.25" thickBot="1" x14ac:dyDescent="0.35">
      <c r="E57" s="33">
        <f>D55</f>
        <v>114321318</v>
      </c>
      <c r="F57" s="2" t="s">
        <v>416</v>
      </c>
    </row>
    <row r="59" spans="1:10" x14ac:dyDescent="0.3">
      <c r="B59" s="111" t="s">
        <v>12</v>
      </c>
    </row>
    <row r="60" spans="1:10" x14ac:dyDescent="0.3">
      <c r="B60" s="2" t="s">
        <v>20</v>
      </c>
      <c r="H60" s="118" t="s">
        <v>417</v>
      </c>
      <c r="I60" s="118" t="s">
        <v>135</v>
      </c>
      <c r="J60" s="118" t="s">
        <v>418</v>
      </c>
    </row>
    <row r="61" spans="1:10" x14ac:dyDescent="0.3">
      <c r="B61" s="42" t="s">
        <v>14</v>
      </c>
      <c r="C61" s="42" t="s">
        <v>15</v>
      </c>
      <c r="D61" s="42" t="s">
        <v>98</v>
      </c>
      <c r="E61" s="42" t="s">
        <v>52</v>
      </c>
      <c r="H61" s="43" t="s">
        <v>419</v>
      </c>
      <c r="I61" s="119">
        <f>D63+'[3]전이율 적용(2022.3Q)-수출'!D63</f>
        <v>664315006</v>
      </c>
      <c r="J61" s="119">
        <v>650528038</v>
      </c>
    </row>
    <row r="62" spans="1:10" x14ac:dyDescent="0.3">
      <c r="A62" s="2" t="s">
        <v>18</v>
      </c>
      <c r="B62" s="103" t="s">
        <v>420</v>
      </c>
      <c r="C62" s="43" t="s">
        <v>4</v>
      </c>
      <c r="D62" s="44">
        <v>1795315878</v>
      </c>
      <c r="E62" s="43"/>
      <c r="H62" s="43" t="s">
        <v>421</v>
      </c>
      <c r="I62" s="119">
        <v>505762865</v>
      </c>
      <c r="J62" s="119">
        <v>691984473</v>
      </c>
    </row>
    <row r="63" spans="1:10" x14ac:dyDescent="0.3">
      <c r="A63" s="2" t="s">
        <v>422</v>
      </c>
      <c r="B63" s="43">
        <v>1110321</v>
      </c>
      <c r="C63" s="43" t="s">
        <v>13</v>
      </c>
      <c r="D63" s="44">
        <v>114618412</v>
      </c>
      <c r="E63" s="45">
        <f>D63-G42-E57</f>
        <v>0</v>
      </c>
      <c r="F63" s="2" t="s">
        <v>423</v>
      </c>
      <c r="H63" s="43" t="s">
        <v>424</v>
      </c>
      <c r="I63" s="119"/>
      <c r="J63" s="119"/>
    </row>
    <row r="64" spans="1:10" x14ac:dyDescent="0.3">
      <c r="B64" s="43"/>
      <c r="C64" s="43" t="s">
        <v>425</v>
      </c>
      <c r="D64" s="45">
        <f>D62-D63</f>
        <v>1680697466</v>
      </c>
      <c r="E64" s="45">
        <f>D64-E40-C55+G42+E57</f>
        <v>0</v>
      </c>
      <c r="F64" s="2" t="s">
        <v>426</v>
      </c>
      <c r="H64" s="106" t="s">
        <v>427</v>
      </c>
      <c r="I64" s="120">
        <f>I61-I62+I63</f>
        <v>158552141</v>
      </c>
      <c r="J64" s="107">
        <f>J61-J62+J63</f>
        <v>-41456435</v>
      </c>
    </row>
    <row r="66" spans="8:10" x14ac:dyDescent="0.3">
      <c r="H66" s="118" t="s">
        <v>428</v>
      </c>
      <c r="I66" s="118" t="s">
        <v>135</v>
      </c>
      <c r="J66" s="118" t="s">
        <v>418</v>
      </c>
    </row>
    <row r="67" spans="8:10" x14ac:dyDescent="0.3">
      <c r="H67" s="43" t="s">
        <v>377</v>
      </c>
      <c r="I67" s="119">
        <v>70000000</v>
      </c>
      <c r="J67" s="119"/>
    </row>
    <row r="68" spans="8:10" x14ac:dyDescent="0.3">
      <c r="H68" s="43" t="s">
        <v>378</v>
      </c>
      <c r="I68" s="119">
        <v>80000000</v>
      </c>
      <c r="J68" s="119"/>
    </row>
    <row r="69" spans="8:10" x14ac:dyDescent="0.3">
      <c r="H69" s="43" t="s">
        <v>429</v>
      </c>
      <c r="I69" s="119"/>
      <c r="J69" s="119"/>
    </row>
    <row r="70" spans="8:10" x14ac:dyDescent="0.3">
      <c r="H70" s="106" t="s">
        <v>427</v>
      </c>
      <c r="I70" s="120">
        <f>I68+I67</f>
        <v>150000000</v>
      </c>
      <c r="J70" s="107">
        <f>J67-J68+J69</f>
        <v>0</v>
      </c>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2060"/>
  </sheetPr>
  <dimension ref="A2:O64"/>
  <sheetViews>
    <sheetView topLeftCell="A28" zoomScaleNormal="100" workbookViewId="0">
      <selection activeCell="F46" sqref="F46"/>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430</v>
      </c>
    </row>
    <row r="3" spans="2:14" ht="14.25" thickBot="1" x14ac:dyDescent="0.35"/>
    <row r="4" spans="2:14" ht="14.25" thickBot="1" x14ac:dyDescent="0.35">
      <c r="C4" s="1"/>
      <c r="D4" s="2" t="s">
        <v>402</v>
      </c>
      <c r="E4" s="116"/>
      <c r="F4" s="2" t="s">
        <v>431</v>
      </c>
    </row>
    <row r="6" spans="2:14" x14ac:dyDescent="0.3">
      <c r="B6" s="111" t="s">
        <v>24</v>
      </c>
    </row>
    <row r="7" spans="2:14" x14ac:dyDescent="0.3">
      <c r="B7" s="111"/>
    </row>
    <row r="8" spans="2:14" x14ac:dyDescent="0.3">
      <c r="B8" s="111" t="s">
        <v>403</v>
      </c>
    </row>
    <row r="9" spans="2:14" x14ac:dyDescent="0.3">
      <c r="B9" s="2" t="s">
        <v>43</v>
      </c>
    </row>
    <row r="10" spans="2:14" ht="14.25" thickBot="1" x14ac:dyDescent="0.35"/>
    <row r="11" spans="2:14" x14ac:dyDescent="0.3">
      <c r="B11" s="3" t="s">
        <v>0</v>
      </c>
      <c r="C11" s="4" t="s">
        <v>76</v>
      </c>
      <c r="D11" s="4" t="s">
        <v>73</v>
      </c>
      <c r="E11" s="4" t="s">
        <v>74</v>
      </c>
      <c r="F11" s="4" t="s">
        <v>246</v>
      </c>
      <c r="G11" s="4" t="s">
        <v>355</v>
      </c>
      <c r="H11" s="4" t="s">
        <v>362</v>
      </c>
      <c r="I11" s="4" t="s">
        <v>363</v>
      </c>
      <c r="J11" s="4" t="s">
        <v>372</v>
      </c>
      <c r="K11" s="4" t="s">
        <v>379</v>
      </c>
      <c r="L11" s="73" t="s">
        <v>380</v>
      </c>
      <c r="M11" s="4" t="s">
        <v>392</v>
      </c>
      <c r="N11" s="80" t="s">
        <v>404</v>
      </c>
    </row>
    <row r="12" spans="2:14" x14ac:dyDescent="0.3">
      <c r="B12" s="5" t="s">
        <v>91</v>
      </c>
      <c r="C12" s="6">
        <v>5474074544</v>
      </c>
      <c r="D12" s="6">
        <v>5476373785</v>
      </c>
      <c r="E12" s="6">
        <v>5197654177</v>
      </c>
      <c r="F12" s="6">
        <v>5226625839</v>
      </c>
      <c r="G12" s="6">
        <v>5177507228</v>
      </c>
      <c r="H12" s="6">
        <v>7686782434</v>
      </c>
      <c r="I12" s="6">
        <v>6513914814</v>
      </c>
      <c r="J12" s="6">
        <v>6967970393</v>
      </c>
      <c r="K12" s="6">
        <v>6661971596</v>
      </c>
      <c r="L12" s="74">
        <v>6815296486</v>
      </c>
      <c r="M12" s="6">
        <v>6608289603</v>
      </c>
      <c r="N12" s="81">
        <v>4987984096</v>
      </c>
    </row>
    <row r="13" spans="2:14" x14ac:dyDescent="0.3">
      <c r="B13" s="7" t="s">
        <v>405</v>
      </c>
      <c r="C13" s="6">
        <v>1668750550</v>
      </c>
      <c r="D13" s="6">
        <v>1895954647</v>
      </c>
      <c r="E13" s="6">
        <v>1734563258</v>
      </c>
      <c r="F13" s="6">
        <v>1217048730</v>
      </c>
      <c r="G13" s="6">
        <v>1057246878</v>
      </c>
      <c r="H13" s="6">
        <v>844001742</v>
      </c>
      <c r="I13" s="6">
        <v>1826886285</v>
      </c>
      <c r="J13" s="6">
        <v>1492293396</v>
      </c>
      <c r="K13" s="6">
        <v>1580210690</v>
      </c>
      <c r="L13" s="74">
        <v>1897812424</v>
      </c>
      <c r="M13" s="6">
        <v>2068394905</v>
      </c>
      <c r="N13" s="81">
        <v>2096860171</v>
      </c>
    </row>
    <row r="14" spans="2:14" x14ac:dyDescent="0.3">
      <c r="B14" s="7" t="s">
        <v>261</v>
      </c>
      <c r="C14" s="6">
        <v>748393419</v>
      </c>
      <c r="D14" s="6">
        <v>979650983</v>
      </c>
      <c r="E14" s="6">
        <v>559786018</v>
      </c>
      <c r="F14" s="6">
        <v>239763111</v>
      </c>
      <c r="G14" s="6">
        <v>311848277</v>
      </c>
      <c r="H14" s="6">
        <v>392955886</v>
      </c>
      <c r="I14" s="6">
        <v>253537343</v>
      </c>
      <c r="J14" s="6">
        <v>417162571</v>
      </c>
      <c r="K14" s="6">
        <v>515963566</v>
      </c>
      <c r="L14" s="74">
        <v>907853734</v>
      </c>
      <c r="M14" s="6">
        <v>1477183747</v>
      </c>
      <c r="N14" s="81">
        <v>1543431468</v>
      </c>
    </row>
    <row r="15" spans="2:14" x14ac:dyDescent="0.3">
      <c r="B15" s="7" t="s">
        <v>30</v>
      </c>
      <c r="C15" s="6">
        <v>135164026</v>
      </c>
      <c r="D15" s="6">
        <v>446127690</v>
      </c>
      <c r="E15" s="6">
        <v>273503838</v>
      </c>
      <c r="F15" s="6">
        <v>283828249</v>
      </c>
      <c r="G15" s="6">
        <v>134444998</v>
      </c>
      <c r="H15" s="6">
        <v>159098911</v>
      </c>
      <c r="I15" s="6">
        <v>68481932</v>
      </c>
      <c r="J15" s="6">
        <v>13279209</v>
      </c>
      <c r="K15" s="6">
        <v>151736282</v>
      </c>
      <c r="L15" s="74">
        <v>71447359</v>
      </c>
      <c r="M15" s="6">
        <v>408606940</v>
      </c>
      <c r="N15" s="81">
        <v>576103292</v>
      </c>
    </row>
    <row r="16" spans="2:14" x14ac:dyDescent="0.3">
      <c r="B16" s="7" t="s">
        <v>32</v>
      </c>
      <c r="C16" s="6">
        <v>20193132</v>
      </c>
      <c r="D16" s="6">
        <v>35618067</v>
      </c>
      <c r="E16" s="6">
        <v>77613140</v>
      </c>
      <c r="F16" s="6">
        <v>56425025</v>
      </c>
      <c r="G16" s="6">
        <v>58227888</v>
      </c>
      <c r="H16" s="6"/>
      <c r="I16" s="6">
        <v>21947673</v>
      </c>
      <c r="J16" s="6">
        <v>33188303</v>
      </c>
      <c r="K16" s="6">
        <v>13285934</v>
      </c>
      <c r="L16" s="74"/>
      <c r="M16" s="6"/>
      <c r="N16" s="81">
        <v>162008189</v>
      </c>
    </row>
    <row r="17" spans="2:15" x14ac:dyDescent="0.3">
      <c r="B17" s="7" t="s">
        <v>34</v>
      </c>
      <c r="C17" s="6"/>
      <c r="D17" s="6">
        <v>21323305</v>
      </c>
      <c r="E17" s="6">
        <v>34980053</v>
      </c>
      <c r="F17" s="6">
        <v>56383366</v>
      </c>
      <c r="G17" s="6">
        <v>52313956</v>
      </c>
      <c r="H17" s="6">
        <v>4080600</v>
      </c>
      <c r="I17" s="6"/>
      <c r="J17" s="6">
        <v>23013981</v>
      </c>
      <c r="K17" s="6">
        <v>31912914</v>
      </c>
      <c r="L17" s="74">
        <v>8979292</v>
      </c>
      <c r="M17" s="6"/>
      <c r="N17" s="81"/>
    </row>
    <row r="18" spans="2:15" ht="14.25" thickBot="1" x14ac:dyDescent="0.35">
      <c r="B18" s="8" t="s">
        <v>304</v>
      </c>
      <c r="C18" s="9">
        <v>132462486</v>
      </c>
      <c r="D18" s="9">
        <v>127164358</v>
      </c>
      <c r="E18" s="9">
        <v>148105707</v>
      </c>
      <c r="F18" s="9">
        <v>127164358</v>
      </c>
      <c r="G18" s="9">
        <v>168559690</v>
      </c>
      <c r="H18" s="9">
        <v>202122554</v>
      </c>
      <c r="I18" s="9">
        <v>172059100</v>
      </c>
      <c r="J18" s="9">
        <v>138693269</v>
      </c>
      <c r="K18" s="9">
        <v>151920823</v>
      </c>
      <c r="L18" s="75">
        <v>185043129</v>
      </c>
      <c r="M18" s="9">
        <v>198555826</v>
      </c>
      <c r="N18" s="82">
        <v>206391272</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432</v>
      </c>
      <c r="C21" s="11">
        <f>IF(IFERROR(D13/C12,0)&gt;1,1,IFERROR(D13/C12,0))</f>
        <v>0.3463516310858627</v>
      </c>
      <c r="D21" s="11">
        <f>IF(IFERROR(E13/D12,0)&gt;1,1,IFERROR(E13/D12,0))</f>
        <v>0.31673573172653702</v>
      </c>
      <c r="E21" s="11">
        <f t="shared" ref="E21:M21" si="0">IF(IFERROR(F13/E12,0)&gt;1,1,IFERROR(F13/E12,0))</f>
        <v>0.23415346395793887</v>
      </c>
      <c r="F21" s="11">
        <f t="shared" si="0"/>
        <v>0.2022809572690363</v>
      </c>
      <c r="G21" s="11">
        <f t="shared" si="0"/>
        <v>0.16301314606296094</v>
      </c>
      <c r="H21" s="11">
        <f t="shared" si="0"/>
        <v>0.23766592858402735</v>
      </c>
      <c r="I21" s="11">
        <f t="shared" si="0"/>
        <v>0.22909317033018234</v>
      </c>
      <c r="J21" s="11">
        <f t="shared" si="0"/>
        <v>0.2267820614719423</v>
      </c>
      <c r="K21" s="11">
        <f t="shared" si="0"/>
        <v>0.28487248806937121</v>
      </c>
      <c r="L21" s="11">
        <f t="shared" si="0"/>
        <v>0.30349301886556251</v>
      </c>
      <c r="M21" s="83">
        <f t="shared" si="0"/>
        <v>0.31730754809051914</v>
      </c>
      <c r="N21" s="84">
        <f>AVERAGE(C21:M21)</f>
        <v>0.26015901322854007</v>
      </c>
      <c r="O21" s="174" t="s">
        <v>406</v>
      </c>
    </row>
    <row r="22" spans="2:15" x14ac:dyDescent="0.3">
      <c r="B22" s="13" t="s">
        <v>61</v>
      </c>
      <c r="C22" s="14">
        <f>IF(IFERROR(D14/C13,0)&gt;1,1,IFERROR(D14/C13,0))</f>
        <v>0.58705657535213995</v>
      </c>
      <c r="D22" s="14">
        <f t="shared" ref="D22:M22" si="1">IF(IFERROR(E14/D13,0)&gt;1,1,IFERROR(E14/D13,0))</f>
        <v>0.29525285263851569</v>
      </c>
      <c r="E22" s="14">
        <f t="shared" si="1"/>
        <v>0.13822678988165216</v>
      </c>
      <c r="F22" s="14">
        <f t="shared" si="1"/>
        <v>0.25623318878940859</v>
      </c>
      <c r="G22" s="14">
        <f t="shared" si="1"/>
        <v>0.37167845484051643</v>
      </c>
      <c r="H22" s="14">
        <f t="shared" si="1"/>
        <v>0.30039907547963329</v>
      </c>
      <c r="I22" s="14">
        <f t="shared" si="1"/>
        <v>0.22834621641488759</v>
      </c>
      <c r="J22" s="14">
        <f t="shared" si="1"/>
        <v>0.34575209364526333</v>
      </c>
      <c r="K22" s="14">
        <f t="shared" si="1"/>
        <v>0.57451436048695503</v>
      </c>
      <c r="L22" s="14">
        <f t="shared" si="1"/>
        <v>0.77836130078996679</v>
      </c>
      <c r="M22" s="85">
        <f t="shared" si="1"/>
        <v>0.74619767447164542</v>
      </c>
      <c r="N22" s="86">
        <f t="shared" ref="N22:N25" si="2">AVERAGE(C22:M22)</f>
        <v>0.4201835075264167</v>
      </c>
      <c r="O22" s="174"/>
    </row>
    <row r="23" spans="2:15" x14ac:dyDescent="0.3">
      <c r="B23" s="13" t="s">
        <v>62</v>
      </c>
      <c r="C23" s="14">
        <f t="shared" ref="C23:M25" si="3">IF(IFERROR(D15/C14,0)&gt;1,1,IFERROR(D15/C14,0))</f>
        <v>0.59611386026899305</v>
      </c>
      <c r="D23" s="14">
        <f t="shared" si="3"/>
        <v>0.27918497786063062</v>
      </c>
      <c r="E23" s="14">
        <f t="shared" si="3"/>
        <v>0.50702990048601038</v>
      </c>
      <c r="F23" s="14">
        <f t="shared" si="3"/>
        <v>0.56074096402594642</v>
      </c>
      <c r="G23" s="14">
        <f t="shared" si="3"/>
        <v>0.51018050357866818</v>
      </c>
      <c r="H23" s="14">
        <f t="shared" si="3"/>
        <v>0.17427384202612503</v>
      </c>
      <c r="I23" s="14">
        <f t="shared" si="3"/>
        <v>5.2375752001155899E-2</v>
      </c>
      <c r="J23" s="14">
        <f t="shared" si="3"/>
        <v>0.36373417115602158</v>
      </c>
      <c r="K23" s="14">
        <f t="shared" si="3"/>
        <v>0.1384736514515833</v>
      </c>
      <c r="L23" s="14">
        <f t="shared" si="3"/>
        <v>0.45008014473838137</v>
      </c>
      <c r="M23" s="85">
        <f t="shared" si="3"/>
        <v>0.3900011039046451</v>
      </c>
      <c r="N23" s="86">
        <f t="shared" si="2"/>
        <v>0.36565353377256005</v>
      </c>
      <c r="O23" s="174"/>
    </row>
    <row r="24" spans="2:15" x14ac:dyDescent="0.3">
      <c r="B24" s="13" t="s">
        <v>407</v>
      </c>
      <c r="C24" s="14">
        <f t="shared" si="3"/>
        <v>0.26351735779163604</v>
      </c>
      <c r="D24" s="14">
        <f t="shared" si="3"/>
        <v>0.17397068538830218</v>
      </c>
      <c r="E24" s="14">
        <f t="shared" si="3"/>
        <v>0.20630432615720734</v>
      </c>
      <c r="F24" s="14">
        <f t="shared" si="3"/>
        <v>0.20515184166886785</v>
      </c>
      <c r="G24" s="14">
        <f t="shared" si="3"/>
        <v>0</v>
      </c>
      <c r="H24" s="14">
        <f t="shared" si="3"/>
        <v>0.13794986315148317</v>
      </c>
      <c r="I24" s="14">
        <f t="shared" si="3"/>
        <v>0.48462860247575962</v>
      </c>
      <c r="J24" s="14">
        <f t="shared" si="3"/>
        <v>1</v>
      </c>
      <c r="K24" s="14">
        <f t="shared" si="3"/>
        <v>0</v>
      </c>
      <c r="L24" s="14">
        <f t="shared" si="3"/>
        <v>0</v>
      </c>
      <c r="M24" s="87">
        <f t="shared" si="3"/>
        <v>0.39648907823249402</v>
      </c>
      <c r="N24" s="86">
        <f t="shared" si="2"/>
        <v>0.26072834135143186</v>
      </c>
      <c r="O24" s="174"/>
    </row>
    <row r="25" spans="2:15" ht="14.25" thickBot="1" x14ac:dyDescent="0.35">
      <c r="B25" s="15" t="s">
        <v>307</v>
      </c>
      <c r="C25" s="16">
        <f t="shared" si="3"/>
        <v>1</v>
      </c>
      <c r="D25" s="16">
        <f t="shared" si="3"/>
        <v>0.98208734909729944</v>
      </c>
      <c r="E25" s="16">
        <f t="shared" si="3"/>
        <v>0.72646675550042172</v>
      </c>
      <c r="F25" s="16">
        <f t="shared" si="3"/>
        <v>0.92714103361053013</v>
      </c>
      <c r="G25" s="16">
        <f t="shared" si="3"/>
        <v>7.0079821545304885E-2</v>
      </c>
      <c r="H25" s="16">
        <f t="shared" si="3"/>
        <v>0</v>
      </c>
      <c r="I25" s="16">
        <f t="shared" si="3"/>
        <v>1</v>
      </c>
      <c r="J25" s="16">
        <f t="shared" si="3"/>
        <v>0.96157112944280398</v>
      </c>
      <c r="K25" s="16">
        <f t="shared" si="3"/>
        <v>0.67584951121991121</v>
      </c>
      <c r="L25" s="16">
        <f t="shared" si="3"/>
        <v>0</v>
      </c>
      <c r="M25" s="88">
        <f t="shared" si="3"/>
        <v>0</v>
      </c>
      <c r="N25" s="89">
        <f t="shared" si="2"/>
        <v>0.57665414549238836</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433</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337</v>
      </c>
      <c r="D31" s="69" t="s">
        <v>434</v>
      </c>
      <c r="E31" s="70" t="s">
        <v>45</v>
      </c>
      <c r="F31" s="71" t="s">
        <v>411</v>
      </c>
      <c r="G31" s="72" t="s">
        <v>280</v>
      </c>
      <c r="I31" s="108"/>
      <c r="J31" s="108"/>
      <c r="K31" s="108"/>
    </row>
    <row r="32" spans="2:15" ht="14.25" thickBot="1" x14ac:dyDescent="0.35">
      <c r="B32" s="171"/>
      <c r="C32" s="90" t="s">
        <v>435</v>
      </c>
      <c r="D32" s="90" t="s">
        <v>404</v>
      </c>
      <c r="E32" s="90" t="s">
        <v>404</v>
      </c>
      <c r="F32" s="90" t="s">
        <v>404</v>
      </c>
      <c r="G32" s="90" t="s">
        <v>404</v>
      </c>
      <c r="I32" s="108"/>
      <c r="J32" s="108"/>
      <c r="K32" s="108"/>
    </row>
    <row r="33" spans="2:11" x14ac:dyDescent="0.3">
      <c r="B33" s="20" t="s">
        <v>26</v>
      </c>
      <c r="C33" s="94">
        <f t="shared" ref="C33:C39" si="4">N12</f>
        <v>4987984096</v>
      </c>
      <c r="D33" s="50">
        <f>C48</f>
        <v>0</v>
      </c>
      <c r="E33" s="95">
        <f>C33-D33</f>
        <v>4987984096</v>
      </c>
      <c r="F33" s="63">
        <f>PRODUCT(N21:$N$25)</f>
        <v>6.0096795349744341E-3</v>
      </c>
      <c r="G33" s="57">
        <f>ROUND(E33*F33,)</f>
        <v>29976186</v>
      </c>
      <c r="I33" s="108"/>
      <c r="J33" s="108"/>
      <c r="K33" s="108"/>
    </row>
    <row r="34" spans="2:11" x14ac:dyDescent="0.3">
      <c r="B34" s="22" t="s">
        <v>38</v>
      </c>
      <c r="C34" s="96">
        <f t="shared" si="4"/>
        <v>2096860171</v>
      </c>
      <c r="D34" s="52">
        <f t="shared" ref="D34:D39" si="5">C49</f>
        <v>0</v>
      </c>
      <c r="E34" s="97">
        <f t="shared" ref="E34:E39" si="6">C34-D34</f>
        <v>2096860171</v>
      </c>
      <c r="F34" s="64">
        <f>PRODUCT(N22:$N$25)</f>
        <v>2.3100024328948209E-2</v>
      </c>
      <c r="G34" s="58">
        <f t="shared" ref="G34:G39" si="7">ROUND(E34*F34,)</f>
        <v>48437521</v>
      </c>
      <c r="I34" s="108"/>
      <c r="J34" s="108"/>
      <c r="K34" s="108"/>
    </row>
    <row r="35" spans="2:11" x14ac:dyDescent="0.3">
      <c r="B35" s="22" t="s">
        <v>28</v>
      </c>
      <c r="C35" s="96">
        <f t="shared" si="4"/>
        <v>1543431468</v>
      </c>
      <c r="D35" s="52">
        <f t="shared" si="5"/>
        <v>0</v>
      </c>
      <c r="E35" s="97">
        <f t="shared" si="6"/>
        <v>1543431468</v>
      </c>
      <c r="F35" s="64">
        <f>PRODUCT(N23:$N$25)</f>
        <v>5.4976037648255205E-2</v>
      </c>
      <c r="G35" s="58">
        <f t="shared" si="7"/>
        <v>84851746</v>
      </c>
      <c r="I35" s="108"/>
      <c r="J35" s="108"/>
      <c r="K35" s="108"/>
    </row>
    <row r="36" spans="2:11" x14ac:dyDescent="0.3">
      <c r="B36" s="22" t="s">
        <v>29</v>
      </c>
      <c r="C36" s="96">
        <f t="shared" si="4"/>
        <v>576103292</v>
      </c>
      <c r="D36" s="52">
        <f t="shared" si="5"/>
        <v>0</v>
      </c>
      <c r="E36" s="97">
        <f t="shared" si="6"/>
        <v>576103292</v>
      </c>
      <c r="F36" s="64">
        <f>PRODUCT(N24:$N$25)</f>
        <v>0.1503500788876577</v>
      </c>
      <c r="G36" s="58">
        <f t="shared" si="7"/>
        <v>86617175</v>
      </c>
      <c r="I36" s="108"/>
      <c r="J36" s="108"/>
      <c r="K36" s="108"/>
    </row>
    <row r="37" spans="2:11" ht="14.25" thickBot="1" x14ac:dyDescent="0.35">
      <c r="B37" s="25" t="s">
        <v>31</v>
      </c>
      <c r="C37" s="98">
        <f t="shared" si="4"/>
        <v>162008189</v>
      </c>
      <c r="D37" s="55">
        <f t="shared" si="5"/>
        <v>0</v>
      </c>
      <c r="E37" s="99">
        <f t="shared" si="6"/>
        <v>162008189</v>
      </c>
      <c r="F37" s="67">
        <f>PRODUCT(N25:$N$25)</f>
        <v>0.57665414549238836</v>
      </c>
      <c r="G37" s="59">
        <f t="shared" si="7"/>
        <v>93422694</v>
      </c>
      <c r="I37" s="108"/>
      <c r="J37" s="108"/>
      <c r="K37" s="108"/>
    </row>
    <row r="38" spans="2:11" x14ac:dyDescent="0.3">
      <c r="B38" s="27" t="s">
        <v>33</v>
      </c>
      <c r="C38" s="94">
        <f t="shared" si="4"/>
        <v>0</v>
      </c>
      <c r="D38" s="50">
        <f t="shared" si="5"/>
        <v>0</v>
      </c>
      <c r="E38" s="29">
        <f t="shared" si="6"/>
        <v>0</v>
      </c>
      <c r="F38" s="100">
        <v>1</v>
      </c>
      <c r="G38" s="60">
        <f t="shared" si="7"/>
        <v>0</v>
      </c>
      <c r="I38" s="108"/>
      <c r="J38" s="108"/>
      <c r="K38" s="108"/>
    </row>
    <row r="39" spans="2:11" ht="14.25" thickBot="1" x14ac:dyDescent="0.35">
      <c r="B39" s="30" t="s">
        <v>35</v>
      </c>
      <c r="C39" s="98">
        <f t="shared" si="4"/>
        <v>206391272</v>
      </c>
      <c r="D39" s="55">
        <f t="shared" si="5"/>
        <v>27647453</v>
      </c>
      <c r="E39" s="32">
        <f t="shared" si="6"/>
        <v>178743819</v>
      </c>
      <c r="F39" s="67">
        <v>1</v>
      </c>
      <c r="G39" s="61">
        <f t="shared" si="7"/>
        <v>178743819</v>
      </c>
      <c r="I39" s="108"/>
      <c r="J39" s="108"/>
      <c r="K39" s="108"/>
    </row>
    <row r="40" spans="2:11" ht="14.25" thickBot="1" x14ac:dyDescent="0.35">
      <c r="B40" s="30" t="s">
        <v>338</v>
      </c>
      <c r="C40" s="101">
        <f>SUM(C33:C39)</f>
        <v>9572778488</v>
      </c>
      <c r="D40" s="101">
        <f>SUM(D33:D39)</f>
        <v>27647453</v>
      </c>
      <c r="E40" s="102">
        <f>SUM(E33:E39)</f>
        <v>9545131035</v>
      </c>
      <c r="F40" s="67"/>
      <c r="G40" s="61">
        <f>SUM(G33:G39)</f>
        <v>522049141</v>
      </c>
      <c r="H40" s="108"/>
      <c r="I40" s="108"/>
      <c r="J40" s="108"/>
      <c r="K40" s="108"/>
    </row>
    <row r="41" spans="2:11" ht="14.25" thickBot="1" x14ac:dyDescent="0.35">
      <c r="B41" s="108"/>
      <c r="E41" s="109"/>
      <c r="F41" s="110"/>
      <c r="G41" s="115"/>
      <c r="H41" s="108"/>
      <c r="I41" s="108"/>
      <c r="J41" s="108"/>
      <c r="K41" s="108"/>
    </row>
    <row r="42" spans="2:11" ht="14.25" thickBot="1" x14ac:dyDescent="0.35">
      <c r="G42" s="33">
        <f>G40</f>
        <v>522049141</v>
      </c>
      <c r="H42" s="2" t="s">
        <v>282</v>
      </c>
    </row>
    <row r="43" spans="2:11" x14ac:dyDescent="0.3">
      <c r="B43" s="111" t="s">
        <v>436</v>
      </c>
    </row>
    <row r="44" spans="2:11" x14ac:dyDescent="0.3">
      <c r="B44" s="2" t="s">
        <v>413</v>
      </c>
    </row>
    <row r="45" spans="2:11" ht="14.25" thickBot="1" x14ac:dyDescent="0.35"/>
    <row r="46" spans="2:11" ht="67.5" x14ac:dyDescent="0.3">
      <c r="B46" s="170" t="s">
        <v>0</v>
      </c>
      <c r="C46" s="68" t="s">
        <v>107</v>
      </c>
      <c r="D46" s="70" t="s">
        <v>311</v>
      </c>
    </row>
    <row r="47" spans="2:11" ht="14.25" thickBot="1" x14ac:dyDescent="0.35">
      <c r="B47" s="171"/>
      <c r="C47" s="90" t="s">
        <v>404</v>
      </c>
      <c r="D47" s="90" t="s">
        <v>437</v>
      </c>
    </row>
    <row r="48" spans="2:11" x14ac:dyDescent="0.3">
      <c r="B48" s="20" t="s">
        <v>26</v>
      </c>
      <c r="C48" s="34">
        <v>0</v>
      </c>
      <c r="D48" s="35">
        <v>0</v>
      </c>
      <c r="F48" s="173" t="s">
        <v>414</v>
      </c>
      <c r="G48" s="173"/>
      <c r="H48" s="173"/>
      <c r="I48" s="173"/>
    </row>
    <row r="49" spans="1:10" x14ac:dyDescent="0.3">
      <c r="B49" s="22" t="s">
        <v>38</v>
      </c>
      <c r="C49" s="36">
        <v>0</v>
      </c>
      <c r="D49" s="37">
        <v>0</v>
      </c>
      <c r="F49" s="104" t="s">
        <v>90</v>
      </c>
      <c r="G49" s="105">
        <v>27647453</v>
      </c>
      <c r="H49" s="104"/>
      <c r="I49" s="105"/>
    </row>
    <row r="50" spans="1:10" x14ac:dyDescent="0.3">
      <c r="B50" s="22" t="s">
        <v>28</v>
      </c>
      <c r="C50" s="36">
        <v>0</v>
      </c>
      <c r="D50" s="37">
        <v>0</v>
      </c>
      <c r="F50" s="104"/>
      <c r="G50" s="105"/>
      <c r="H50" s="104"/>
      <c r="I50" s="105"/>
    </row>
    <row r="51" spans="1:10" x14ac:dyDescent="0.3">
      <c r="B51" s="22" t="s">
        <v>29</v>
      </c>
      <c r="C51" s="36">
        <v>0</v>
      </c>
      <c r="D51" s="37">
        <v>0</v>
      </c>
      <c r="F51" s="104"/>
      <c r="G51" s="105"/>
      <c r="H51" s="106"/>
      <c r="I51" s="106"/>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27647453</v>
      </c>
      <c r="D54" s="41">
        <f>C54</f>
        <v>27647453</v>
      </c>
    </row>
    <row r="55" spans="1:10" ht="14.25" thickBot="1" x14ac:dyDescent="0.35">
      <c r="B55" s="46" t="s">
        <v>415</v>
      </c>
      <c r="C55" s="47">
        <f>SUM(C48:C54)</f>
        <v>27647453</v>
      </c>
      <c r="D55" s="48">
        <f>SUM(D48:D54)</f>
        <v>27647453</v>
      </c>
    </row>
    <row r="56" spans="1:10" ht="14.25" thickBot="1" x14ac:dyDescent="0.35"/>
    <row r="57" spans="1:10" ht="14.25" thickBot="1" x14ac:dyDescent="0.35">
      <c r="E57" s="33">
        <f>D55</f>
        <v>27647453</v>
      </c>
      <c r="F57" s="2" t="s">
        <v>438</v>
      </c>
    </row>
    <row r="59" spans="1:10" x14ac:dyDescent="0.3">
      <c r="B59" s="111" t="s">
        <v>439</v>
      </c>
    </row>
    <row r="60" spans="1:10" x14ac:dyDescent="0.3">
      <c r="B60" s="2" t="s">
        <v>20</v>
      </c>
      <c r="H60" s="118"/>
      <c r="I60" s="118"/>
      <c r="J60" s="118"/>
    </row>
    <row r="61" spans="1:10" x14ac:dyDescent="0.3">
      <c r="B61" s="42" t="s">
        <v>14</v>
      </c>
      <c r="C61" s="42" t="s">
        <v>15</v>
      </c>
      <c r="D61" s="42" t="s">
        <v>440</v>
      </c>
      <c r="E61" s="42" t="s">
        <v>52</v>
      </c>
      <c r="H61" s="43"/>
      <c r="I61" s="119"/>
      <c r="J61" s="119"/>
    </row>
    <row r="62" spans="1:10" x14ac:dyDescent="0.3">
      <c r="A62" s="2" t="s">
        <v>18</v>
      </c>
      <c r="B62" s="103" t="s">
        <v>441</v>
      </c>
      <c r="C62" s="43" t="s">
        <v>4</v>
      </c>
      <c r="D62" s="44">
        <v>9830420989</v>
      </c>
      <c r="E62" s="43"/>
      <c r="H62" s="43"/>
      <c r="I62" s="119"/>
      <c r="J62" s="119"/>
    </row>
    <row r="63" spans="1:10" x14ac:dyDescent="0.3">
      <c r="A63" s="2" t="s">
        <v>442</v>
      </c>
      <c r="B63" s="43">
        <v>1110321</v>
      </c>
      <c r="C63" s="43" t="s">
        <v>13</v>
      </c>
      <c r="D63" s="44">
        <v>549696594</v>
      </c>
      <c r="E63" s="45">
        <f>D63-G42-E57</f>
        <v>0</v>
      </c>
      <c r="F63" s="2" t="s">
        <v>16</v>
      </c>
      <c r="H63" s="43"/>
      <c r="I63" s="119"/>
      <c r="J63" s="119"/>
    </row>
    <row r="64" spans="1:10" x14ac:dyDescent="0.3">
      <c r="B64" s="43"/>
      <c r="C64" s="43" t="s">
        <v>101</v>
      </c>
      <c r="D64" s="45">
        <f>D62-D63</f>
        <v>9280724395</v>
      </c>
      <c r="E64" s="45">
        <f>D64-E40-C55+G42+E57</f>
        <v>257642501</v>
      </c>
      <c r="F64" s="2" t="s">
        <v>16</v>
      </c>
      <c r="H64" s="106"/>
      <c r="I64" s="120"/>
      <c r="J64" s="107"/>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2060"/>
  </sheetPr>
  <dimension ref="A2:O70"/>
  <sheetViews>
    <sheetView topLeftCell="A40" zoomScaleNormal="100" workbookViewId="0">
      <selection activeCell="I61" sqref="I61"/>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76</v>
      </c>
      <c r="D11" s="4" t="s">
        <v>73</v>
      </c>
      <c r="E11" s="4" t="s">
        <v>74</v>
      </c>
      <c r="F11" s="4" t="s">
        <v>246</v>
      </c>
      <c r="G11" s="4" t="s">
        <v>355</v>
      </c>
      <c r="H11" s="4" t="s">
        <v>362</v>
      </c>
      <c r="I11" s="4" t="s">
        <v>363</v>
      </c>
      <c r="J11" s="4" t="s">
        <v>372</v>
      </c>
      <c r="K11" s="4" t="s">
        <v>379</v>
      </c>
      <c r="L11" s="73" t="s">
        <v>380</v>
      </c>
      <c r="M11" s="4" t="s">
        <v>392</v>
      </c>
      <c r="N11" s="80" t="s">
        <v>393</v>
      </c>
    </row>
    <row r="12" spans="2:14" x14ac:dyDescent="0.3">
      <c r="B12" s="5" t="s">
        <v>27</v>
      </c>
      <c r="C12" s="6">
        <v>2125383029</v>
      </c>
      <c r="D12" s="6">
        <v>1838003129</v>
      </c>
      <c r="E12" s="6">
        <v>2474596079</v>
      </c>
      <c r="F12" s="6">
        <v>2202685666</v>
      </c>
      <c r="G12" s="6">
        <v>2448094402</v>
      </c>
      <c r="H12" s="6">
        <v>2436043383</v>
      </c>
      <c r="I12" s="6">
        <v>2452539804</v>
      </c>
      <c r="J12" s="6">
        <v>1715641447</v>
      </c>
      <c r="K12" s="6">
        <v>1962667876</v>
      </c>
      <c r="L12" s="74">
        <v>1587555486</v>
      </c>
      <c r="M12" s="6">
        <v>1852826474</v>
      </c>
      <c r="N12" s="81">
        <v>1553973714</v>
      </c>
    </row>
    <row r="13" spans="2:14" x14ac:dyDescent="0.3">
      <c r="B13" s="7" t="s">
        <v>39</v>
      </c>
      <c r="C13" s="6">
        <v>274267577</v>
      </c>
      <c r="D13" s="6">
        <v>238208478</v>
      </c>
      <c r="E13" s="6">
        <v>167868169</v>
      </c>
      <c r="F13" s="6">
        <v>112476407</v>
      </c>
      <c r="G13" s="6">
        <v>46121428</v>
      </c>
      <c r="H13" s="6">
        <v>45386643</v>
      </c>
      <c r="I13" s="6">
        <v>166622154</v>
      </c>
      <c r="J13" s="6">
        <v>161509038</v>
      </c>
      <c r="K13" s="6">
        <v>102054537</v>
      </c>
      <c r="L13" s="74">
        <v>7902115</v>
      </c>
      <c r="M13" s="6">
        <v>60538016</v>
      </c>
      <c r="N13" s="81">
        <v>107186544</v>
      </c>
    </row>
    <row r="14" spans="2:14" x14ac:dyDescent="0.3">
      <c r="B14" s="7" t="s">
        <v>92</v>
      </c>
      <c r="C14" s="6">
        <v>5500521</v>
      </c>
      <c r="D14" s="6"/>
      <c r="E14" s="6">
        <v>73921998</v>
      </c>
      <c r="F14" s="6"/>
      <c r="G14" s="6">
        <v>1992302</v>
      </c>
      <c r="H14" s="6"/>
      <c r="I14" s="6"/>
      <c r="J14" s="6"/>
      <c r="K14" s="6">
        <v>20356752</v>
      </c>
      <c r="L14" s="74"/>
      <c r="M14" s="6"/>
      <c r="N14" s="81">
        <v>19629500</v>
      </c>
    </row>
    <row r="15" spans="2:14" x14ac:dyDescent="0.3">
      <c r="B15" s="7" t="s">
        <v>30</v>
      </c>
      <c r="C15" s="6">
        <v>3905000</v>
      </c>
      <c r="D15" s="6"/>
      <c r="E15" s="6"/>
      <c r="F15" s="6">
        <v>63921998</v>
      </c>
      <c r="G15" s="6"/>
      <c r="H15" s="6">
        <v>1992302</v>
      </c>
      <c r="I15" s="6"/>
      <c r="J15" s="6"/>
      <c r="K15" s="6"/>
      <c r="L15" s="74"/>
      <c r="M15" s="6"/>
      <c r="N15" s="81"/>
    </row>
    <row r="16" spans="2:14" x14ac:dyDescent="0.3">
      <c r="B16" s="7" t="s">
        <v>32</v>
      </c>
      <c r="C16" s="6"/>
      <c r="D16" s="6"/>
      <c r="E16" s="6"/>
      <c r="F16" s="6"/>
      <c r="G16" s="6">
        <v>61921998</v>
      </c>
      <c r="H16" s="6"/>
      <c r="I16" s="6">
        <v>204802</v>
      </c>
      <c r="J16" s="6"/>
      <c r="K16" s="6"/>
      <c r="L16" s="74"/>
      <c r="M16" s="6"/>
      <c r="N16" s="81"/>
    </row>
    <row r="17" spans="2:15" x14ac:dyDescent="0.3">
      <c r="B17" s="7" t="s">
        <v>34</v>
      </c>
      <c r="C17" s="6"/>
      <c r="D17" s="6"/>
      <c r="E17" s="6"/>
      <c r="F17" s="6"/>
      <c r="G17" s="6"/>
      <c r="H17" s="6">
        <v>53327600</v>
      </c>
      <c r="I17" s="6"/>
      <c r="J17" s="6">
        <v>204802</v>
      </c>
      <c r="K17" s="6"/>
      <c r="L17" s="74"/>
      <c r="M17" s="6"/>
      <c r="N17" s="81"/>
    </row>
    <row r="18" spans="2:15" ht="14.25" thickBot="1" x14ac:dyDescent="0.35">
      <c r="B18" s="8" t="s">
        <v>93</v>
      </c>
      <c r="C18" s="9">
        <v>880558362</v>
      </c>
      <c r="D18" s="9">
        <v>414321318</v>
      </c>
      <c r="E18" s="9">
        <v>414321318</v>
      </c>
      <c r="F18" s="9">
        <v>414321318</v>
      </c>
      <c r="G18" s="9">
        <v>414321318</v>
      </c>
      <c r="H18" s="9">
        <v>414321318</v>
      </c>
      <c r="I18" s="9">
        <v>467648918</v>
      </c>
      <c r="J18" s="9">
        <v>414321318</v>
      </c>
      <c r="K18" s="9">
        <v>114526120</v>
      </c>
      <c r="L18" s="75">
        <v>114526120</v>
      </c>
      <c r="M18" s="9">
        <v>114526120</v>
      </c>
      <c r="N18" s="82">
        <v>114526120</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0.11207790537034537</v>
      </c>
      <c r="D21" s="11">
        <f>IF(IFERROR(E13/D12,0)&gt;1,1,IFERROR(E13/D12,0))</f>
        <v>9.1331818945994847E-2</v>
      </c>
      <c r="E21" s="11">
        <f t="shared" ref="E21:M21" si="0">IF(IFERROR(F13/E12,0)&gt;1,1,IFERROR(F13/E12,0))</f>
        <v>4.5452430784361557E-2</v>
      </c>
      <c r="F21" s="11">
        <f t="shared" si="0"/>
        <v>2.0938724354508057E-2</v>
      </c>
      <c r="G21" s="11">
        <f t="shared" si="0"/>
        <v>1.8539580402994606E-2</v>
      </c>
      <c r="H21" s="11">
        <f t="shared" si="0"/>
        <v>6.8398680894920669E-2</v>
      </c>
      <c r="I21" s="11">
        <f t="shared" si="0"/>
        <v>6.585378868737822E-2</v>
      </c>
      <c r="J21" s="11">
        <f t="shared" si="0"/>
        <v>5.9484770071540481E-2</v>
      </c>
      <c r="K21" s="11">
        <f t="shared" si="0"/>
        <v>4.02621100423004E-3</v>
      </c>
      <c r="L21" s="11">
        <f t="shared" si="0"/>
        <v>3.8132850494902323E-2</v>
      </c>
      <c r="M21" s="83">
        <f t="shared" si="0"/>
        <v>5.7850287387463138E-2</v>
      </c>
      <c r="N21" s="84">
        <f>AVERAGE(C21:M21)</f>
        <v>5.2917004399876302E-2</v>
      </c>
      <c r="O21" s="174" t="s">
        <v>58</v>
      </c>
    </row>
    <row r="22" spans="2:15" x14ac:dyDescent="0.3">
      <c r="B22" s="13" t="s">
        <v>61</v>
      </c>
      <c r="C22" s="14">
        <f>IF(IFERROR(D14/C13,0)&gt;1,1,IFERROR(D14/C13,0))</f>
        <v>0</v>
      </c>
      <c r="D22" s="14">
        <f t="shared" ref="D22:M22" si="1">IF(IFERROR(E14/D13,0)&gt;1,1,IFERROR(E14/D13,0))</f>
        <v>0.31032479876723784</v>
      </c>
      <c r="E22" s="14">
        <f t="shared" si="1"/>
        <v>0</v>
      </c>
      <c r="F22" s="14">
        <f t="shared" si="1"/>
        <v>1.7713065816549422E-2</v>
      </c>
      <c r="G22" s="14">
        <f t="shared" si="1"/>
        <v>0</v>
      </c>
      <c r="H22" s="14">
        <f t="shared" si="1"/>
        <v>0</v>
      </c>
      <c r="I22" s="14">
        <f t="shared" si="1"/>
        <v>0</v>
      </c>
      <c r="J22" s="14">
        <f t="shared" si="1"/>
        <v>0.12604094638963795</v>
      </c>
      <c r="K22" s="14">
        <f t="shared" si="1"/>
        <v>0</v>
      </c>
      <c r="L22" s="14">
        <f t="shared" si="1"/>
        <v>0</v>
      </c>
      <c r="M22" s="85">
        <f t="shared" si="1"/>
        <v>0.32425079804399271</v>
      </c>
      <c r="N22" s="86">
        <f t="shared" ref="N22:N25" si="2">AVERAGE(C22:M22)</f>
        <v>7.0757237183401628E-2</v>
      </c>
      <c r="O22" s="174"/>
    </row>
    <row r="23" spans="2:15" x14ac:dyDescent="0.3">
      <c r="B23" s="13" t="s">
        <v>62</v>
      </c>
      <c r="C23" s="14">
        <f t="shared" ref="C23:M25" si="3">IF(IFERROR(D15/C14,0)&gt;1,1,IFERROR(D15/C14,0))</f>
        <v>0</v>
      </c>
      <c r="D23" s="14">
        <f t="shared" si="3"/>
        <v>0</v>
      </c>
      <c r="E23" s="14">
        <f t="shared" si="3"/>
        <v>0.86472227117021372</v>
      </c>
      <c r="F23" s="14">
        <f t="shared" si="3"/>
        <v>0</v>
      </c>
      <c r="G23" s="14">
        <f t="shared" si="3"/>
        <v>1</v>
      </c>
      <c r="H23" s="14">
        <f t="shared" si="3"/>
        <v>0</v>
      </c>
      <c r="I23" s="14">
        <f t="shared" si="3"/>
        <v>0</v>
      </c>
      <c r="J23" s="14">
        <f t="shared" si="3"/>
        <v>0</v>
      </c>
      <c r="K23" s="14">
        <f t="shared" si="3"/>
        <v>0</v>
      </c>
      <c r="L23" s="14">
        <f t="shared" si="3"/>
        <v>0</v>
      </c>
      <c r="M23" s="85">
        <f t="shared" si="3"/>
        <v>0</v>
      </c>
      <c r="N23" s="86">
        <f t="shared" si="2"/>
        <v>0.16952020647001945</v>
      </c>
      <c r="O23" s="174"/>
    </row>
    <row r="24" spans="2:15" x14ac:dyDescent="0.3">
      <c r="B24" s="13" t="s">
        <v>63</v>
      </c>
      <c r="C24" s="14">
        <f t="shared" si="3"/>
        <v>0</v>
      </c>
      <c r="D24" s="14">
        <f t="shared" si="3"/>
        <v>0</v>
      </c>
      <c r="E24" s="14">
        <f t="shared" si="3"/>
        <v>0</v>
      </c>
      <c r="F24" s="14">
        <f t="shared" si="3"/>
        <v>0.96871186660967634</v>
      </c>
      <c r="G24" s="14">
        <f t="shared" si="3"/>
        <v>0</v>
      </c>
      <c r="H24" s="14">
        <f t="shared" si="3"/>
        <v>0.10279666436112597</v>
      </c>
      <c r="I24" s="14">
        <f t="shared" si="3"/>
        <v>0</v>
      </c>
      <c r="J24" s="14">
        <f t="shared" si="3"/>
        <v>0</v>
      </c>
      <c r="K24" s="14">
        <f t="shared" si="3"/>
        <v>0</v>
      </c>
      <c r="L24" s="14">
        <f t="shared" si="3"/>
        <v>0</v>
      </c>
      <c r="M24" s="87">
        <f t="shared" si="3"/>
        <v>0</v>
      </c>
      <c r="N24" s="86">
        <f t="shared" si="2"/>
        <v>9.7409866451891119E-2</v>
      </c>
      <c r="O24" s="174"/>
    </row>
    <row r="25" spans="2:15" ht="14.25" thickBot="1" x14ac:dyDescent="0.35">
      <c r="B25" s="15" t="s">
        <v>64</v>
      </c>
      <c r="C25" s="16">
        <f t="shared" si="3"/>
        <v>0</v>
      </c>
      <c r="D25" s="16">
        <f t="shared" si="3"/>
        <v>0</v>
      </c>
      <c r="E25" s="16">
        <f t="shared" si="3"/>
        <v>0</v>
      </c>
      <c r="F25" s="16">
        <f t="shared" si="3"/>
        <v>0</v>
      </c>
      <c r="G25" s="16">
        <f t="shared" si="3"/>
        <v>0.86120606121268894</v>
      </c>
      <c r="H25" s="16">
        <f t="shared" si="3"/>
        <v>0</v>
      </c>
      <c r="I25" s="16">
        <f t="shared" si="3"/>
        <v>1</v>
      </c>
      <c r="J25" s="16">
        <f t="shared" si="3"/>
        <v>0</v>
      </c>
      <c r="K25" s="16">
        <f t="shared" si="3"/>
        <v>0</v>
      </c>
      <c r="L25" s="16">
        <f t="shared" si="3"/>
        <v>0</v>
      </c>
      <c r="M25" s="88">
        <f t="shared" si="3"/>
        <v>0</v>
      </c>
      <c r="N25" s="89">
        <f t="shared" si="2"/>
        <v>0.16920055101933534</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393</v>
      </c>
      <c r="D32" s="91" t="s">
        <v>393</v>
      </c>
      <c r="E32" s="92" t="s">
        <v>393</v>
      </c>
      <c r="F32" s="93" t="s">
        <v>393</v>
      </c>
      <c r="G32" s="56" t="s">
        <v>393</v>
      </c>
      <c r="I32" s="108"/>
      <c r="J32" s="108"/>
      <c r="K32" s="108"/>
    </row>
    <row r="33" spans="2:11" x14ac:dyDescent="0.3">
      <c r="B33" s="20" t="s">
        <v>26</v>
      </c>
      <c r="C33" s="94">
        <f t="shared" ref="C33:C39" si="4">N12</f>
        <v>1553973714</v>
      </c>
      <c r="D33" s="50">
        <f>C48</f>
        <v>0</v>
      </c>
      <c r="E33" s="95">
        <f>C33-D33</f>
        <v>1553973714</v>
      </c>
      <c r="F33" s="63">
        <f>PRODUCT(N21:$N$25)</f>
        <v>1.0461460307466585E-5</v>
      </c>
      <c r="G33" s="57">
        <f>ROUND(E33*F33,)</f>
        <v>16257</v>
      </c>
      <c r="I33" s="108"/>
      <c r="J33" s="108"/>
      <c r="K33" s="108"/>
    </row>
    <row r="34" spans="2:11" x14ac:dyDescent="0.3">
      <c r="B34" s="22" t="s">
        <v>38</v>
      </c>
      <c r="C34" s="96">
        <f t="shared" si="4"/>
        <v>107186544</v>
      </c>
      <c r="D34" s="52">
        <f t="shared" ref="D34:D39" si="5">C49</f>
        <v>0</v>
      </c>
      <c r="E34" s="97">
        <f t="shared" ref="E34:E39" si="6">C34-D34</f>
        <v>107186544</v>
      </c>
      <c r="F34" s="64">
        <f>PRODUCT(N22:$N$25)</f>
        <v>1.9769562593552703E-4</v>
      </c>
      <c r="G34" s="58">
        <f t="shared" ref="G34:G37" si="7">ROUND(E34*F34,)</f>
        <v>21190</v>
      </c>
      <c r="I34" s="108"/>
      <c r="J34" s="108"/>
      <c r="K34" s="108"/>
    </row>
    <row r="35" spans="2:11" x14ac:dyDescent="0.3">
      <c r="B35" s="22" t="s">
        <v>28</v>
      </c>
      <c r="C35" s="96">
        <f t="shared" si="4"/>
        <v>19629500</v>
      </c>
      <c r="D35" s="52">
        <f t="shared" si="5"/>
        <v>0</v>
      </c>
      <c r="E35" s="97">
        <f t="shared" si="6"/>
        <v>19629500</v>
      </c>
      <c r="F35" s="64">
        <f>PRODUCT(N23:$N$25)</f>
        <v>2.7939986608451531E-3</v>
      </c>
      <c r="G35" s="58">
        <f t="shared" si="7"/>
        <v>54845</v>
      </c>
      <c r="I35" s="108"/>
      <c r="J35" s="108"/>
      <c r="K35" s="108"/>
    </row>
    <row r="36" spans="2:11" x14ac:dyDescent="0.3">
      <c r="B36" s="22" t="s">
        <v>29</v>
      </c>
      <c r="C36" s="96">
        <f t="shared" si="4"/>
        <v>0</v>
      </c>
      <c r="D36" s="52">
        <f>C51</f>
        <v>0</v>
      </c>
      <c r="E36" s="97">
        <f t="shared" si="6"/>
        <v>0</v>
      </c>
      <c r="F36" s="64">
        <f>PRODUCT(N24:$N$25)</f>
        <v>1.6481803078379844E-2</v>
      </c>
      <c r="G36" s="58">
        <f t="shared" si="7"/>
        <v>0</v>
      </c>
      <c r="I36" s="108"/>
      <c r="J36" s="108"/>
      <c r="K36" s="108"/>
    </row>
    <row r="37" spans="2:11" ht="14.25" thickBot="1" x14ac:dyDescent="0.35">
      <c r="B37" s="25" t="s">
        <v>31</v>
      </c>
      <c r="C37" s="98">
        <f t="shared" si="4"/>
        <v>0</v>
      </c>
      <c r="D37" s="55">
        <f t="shared" si="5"/>
        <v>0</v>
      </c>
      <c r="E37" s="99">
        <f t="shared" si="6"/>
        <v>0</v>
      </c>
      <c r="F37" s="67">
        <f>PRODUCT(N25:$N$25)</f>
        <v>0.16920055101933534</v>
      </c>
      <c r="G37" s="59">
        <f t="shared" si="7"/>
        <v>0</v>
      </c>
      <c r="I37" s="108"/>
      <c r="J37" s="108"/>
      <c r="K37" s="108"/>
    </row>
    <row r="38" spans="2:11" x14ac:dyDescent="0.3">
      <c r="B38" s="27" t="s">
        <v>33</v>
      </c>
      <c r="C38" s="94">
        <f t="shared" si="4"/>
        <v>0</v>
      </c>
      <c r="D38" s="50">
        <f t="shared" si="5"/>
        <v>0</v>
      </c>
      <c r="E38" s="29">
        <f t="shared" si="6"/>
        <v>0</v>
      </c>
      <c r="F38" s="100">
        <v>1</v>
      </c>
      <c r="G38" s="60">
        <f>ROUND(E38*F38,)</f>
        <v>0</v>
      </c>
      <c r="I38" s="108"/>
      <c r="J38" s="108"/>
      <c r="K38" s="108"/>
    </row>
    <row r="39" spans="2:11" ht="14.25" thickBot="1" x14ac:dyDescent="0.35">
      <c r="B39" s="30" t="s">
        <v>35</v>
      </c>
      <c r="C39" s="98">
        <f t="shared" si="4"/>
        <v>114526120</v>
      </c>
      <c r="D39" s="55">
        <f t="shared" si="5"/>
        <v>114321318</v>
      </c>
      <c r="E39" s="32">
        <f t="shared" si="6"/>
        <v>204802</v>
      </c>
      <c r="F39" s="67">
        <v>1</v>
      </c>
      <c r="G39" s="61">
        <f>ROUND(E39*F39,)</f>
        <v>204802</v>
      </c>
      <c r="I39" s="108"/>
      <c r="J39" s="108"/>
      <c r="K39" s="108"/>
    </row>
    <row r="40" spans="2:11" ht="14.25" thickBot="1" x14ac:dyDescent="0.35">
      <c r="B40" s="30" t="s">
        <v>41</v>
      </c>
      <c r="C40" s="101">
        <f>SUM(C33:C39)</f>
        <v>1795315878</v>
      </c>
      <c r="D40" s="101">
        <f>SUM(D33:D39)</f>
        <v>114321318</v>
      </c>
      <c r="E40" s="102">
        <f>SUM(E33:E39)</f>
        <v>1680994560</v>
      </c>
      <c r="F40" s="67"/>
      <c r="G40" s="61">
        <f>SUM(G33:G39)</f>
        <v>297094</v>
      </c>
      <c r="H40" s="108"/>
      <c r="I40" s="108"/>
      <c r="J40" s="108"/>
      <c r="K40" s="108"/>
    </row>
    <row r="41" spans="2:11" ht="14.25" thickBot="1" x14ac:dyDescent="0.35">
      <c r="B41" s="108"/>
      <c r="E41" s="109"/>
      <c r="F41" s="110"/>
      <c r="G41" s="115"/>
      <c r="H41" s="108"/>
      <c r="I41" s="108"/>
      <c r="J41" s="108"/>
      <c r="K41" s="108"/>
    </row>
    <row r="42" spans="2:11" ht="14.25" thickBot="1" x14ac:dyDescent="0.35">
      <c r="G42" s="33">
        <f>G40</f>
        <v>297094</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17" t="s">
        <v>393</v>
      </c>
      <c r="D47" s="19" t="s">
        <v>393</v>
      </c>
    </row>
    <row r="48" spans="2:11" x14ac:dyDescent="0.3">
      <c r="B48" s="20" t="s">
        <v>26</v>
      </c>
      <c r="C48" s="34">
        <v>0</v>
      </c>
      <c r="D48" s="35">
        <v>0</v>
      </c>
      <c r="F48" s="173" t="s">
        <v>85</v>
      </c>
      <c r="G48" s="173"/>
      <c r="H48" s="173"/>
      <c r="I48" s="173"/>
    </row>
    <row r="49" spans="1:10" x14ac:dyDescent="0.3">
      <c r="B49" s="22" t="s">
        <v>38</v>
      </c>
      <c r="C49" s="36">
        <v>0</v>
      </c>
      <c r="D49" s="37">
        <v>0</v>
      </c>
      <c r="F49" s="104" t="s">
        <v>86</v>
      </c>
      <c r="G49" s="105">
        <v>27256788</v>
      </c>
      <c r="H49" s="104" t="s">
        <v>87</v>
      </c>
      <c r="I49" s="105">
        <v>49060000</v>
      </c>
    </row>
    <row r="50" spans="1:10" x14ac:dyDescent="0.3">
      <c r="B50" s="22" t="s">
        <v>28</v>
      </c>
      <c r="C50" s="36">
        <v>0</v>
      </c>
      <c r="D50" s="37">
        <v>0</v>
      </c>
      <c r="F50" s="104" t="s">
        <v>88</v>
      </c>
      <c r="G50" s="105">
        <v>3228130</v>
      </c>
      <c r="H50" s="104" t="s">
        <v>89</v>
      </c>
      <c r="I50" s="105">
        <v>12000000</v>
      </c>
    </row>
    <row r="51" spans="1:10" x14ac:dyDescent="0.3">
      <c r="B51" s="22" t="s">
        <v>29</v>
      </c>
      <c r="C51" s="36">
        <v>0</v>
      </c>
      <c r="D51" s="37">
        <v>0</v>
      </c>
      <c r="F51" s="104" t="s">
        <v>354</v>
      </c>
      <c r="G51" s="105">
        <v>22776400</v>
      </c>
      <c r="H51" s="106"/>
      <c r="I51" s="105"/>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114321318</v>
      </c>
      <c r="D54" s="41">
        <f>C54</f>
        <v>114321318</v>
      </c>
    </row>
    <row r="55" spans="1:10" ht="14.25" thickBot="1" x14ac:dyDescent="0.35">
      <c r="B55" s="46" t="s">
        <v>11</v>
      </c>
      <c r="C55" s="47">
        <f>SUM(C48:C54)</f>
        <v>114321318</v>
      </c>
      <c r="D55" s="48">
        <f>SUM(D48:D54)</f>
        <v>114321318</v>
      </c>
    </row>
    <row r="56" spans="1:10" ht="14.25" thickBot="1" x14ac:dyDescent="0.35"/>
    <row r="57" spans="1:10" ht="14.25" thickBot="1" x14ac:dyDescent="0.35">
      <c r="E57" s="33">
        <f>D55</f>
        <v>114321318</v>
      </c>
      <c r="F57" s="2" t="s">
        <v>51</v>
      </c>
    </row>
    <row r="59" spans="1:10" x14ac:dyDescent="0.3">
      <c r="B59" s="111" t="s">
        <v>12</v>
      </c>
    </row>
    <row r="60" spans="1:10" x14ac:dyDescent="0.3">
      <c r="B60" s="2" t="s">
        <v>20</v>
      </c>
      <c r="H60" s="118" t="s">
        <v>370</v>
      </c>
      <c r="I60" s="118" t="s">
        <v>84</v>
      </c>
      <c r="J60" s="118" t="s">
        <v>78</v>
      </c>
    </row>
    <row r="61" spans="1:10" x14ac:dyDescent="0.3">
      <c r="B61" s="42" t="s">
        <v>14</v>
      </c>
      <c r="C61" s="42" t="s">
        <v>15</v>
      </c>
      <c r="D61" s="42" t="s">
        <v>98</v>
      </c>
      <c r="E61" s="42" t="s">
        <v>52</v>
      </c>
      <c r="H61" s="43" t="s">
        <v>394</v>
      </c>
      <c r="I61" s="119">
        <f>D63+'전이율 적용(2022.3Q)-수출'!D63</f>
        <v>895469806</v>
      </c>
      <c r="J61" s="119">
        <v>650528038</v>
      </c>
    </row>
    <row r="62" spans="1:10" x14ac:dyDescent="0.3">
      <c r="A62" s="2" t="s">
        <v>18</v>
      </c>
      <c r="B62" s="103" t="s">
        <v>100</v>
      </c>
      <c r="C62" s="43" t="s">
        <v>4</v>
      </c>
      <c r="D62" s="44">
        <v>1795315878</v>
      </c>
      <c r="E62" s="43"/>
      <c r="H62" s="43" t="s">
        <v>395</v>
      </c>
      <c r="I62" s="119">
        <v>505762865</v>
      </c>
      <c r="J62" s="119">
        <v>691984473</v>
      </c>
    </row>
    <row r="63" spans="1:10" x14ac:dyDescent="0.3">
      <c r="A63" s="2" t="s">
        <v>19</v>
      </c>
      <c r="B63" s="43">
        <v>1110321</v>
      </c>
      <c r="C63" s="43" t="s">
        <v>13</v>
      </c>
      <c r="D63" s="44">
        <v>114618412</v>
      </c>
      <c r="E63" s="45">
        <f>D63-G42-E57</f>
        <v>0</v>
      </c>
      <c r="F63" s="2" t="s">
        <v>16</v>
      </c>
      <c r="H63" s="43" t="s">
        <v>81</v>
      </c>
      <c r="I63" s="119"/>
      <c r="J63" s="119"/>
    </row>
    <row r="64" spans="1:10" x14ac:dyDescent="0.3">
      <c r="B64" s="43"/>
      <c r="C64" s="43" t="s">
        <v>101</v>
      </c>
      <c r="D64" s="45">
        <f>D62-D63</f>
        <v>1680697466</v>
      </c>
      <c r="E64" s="45">
        <f>D64-E40-C55+G42+E57</f>
        <v>0</v>
      </c>
      <c r="F64" s="2" t="s">
        <v>16</v>
      </c>
      <c r="H64" s="106" t="s">
        <v>82</v>
      </c>
      <c r="I64" s="120">
        <f>I61-I62+I63</f>
        <v>389706941</v>
      </c>
      <c r="J64" s="107">
        <f>J61-J62+J63</f>
        <v>-41456435</v>
      </c>
    </row>
    <row r="66" spans="8:10" x14ac:dyDescent="0.3">
      <c r="H66" s="118" t="s">
        <v>371</v>
      </c>
      <c r="I66" s="118" t="s">
        <v>84</v>
      </c>
      <c r="J66" s="118" t="s">
        <v>78</v>
      </c>
    </row>
    <row r="67" spans="8:10" x14ac:dyDescent="0.3">
      <c r="H67" s="43" t="s">
        <v>377</v>
      </c>
      <c r="I67" s="119">
        <v>70000000</v>
      </c>
      <c r="J67" s="119"/>
    </row>
    <row r="68" spans="8:10" x14ac:dyDescent="0.3">
      <c r="H68" s="43" t="s">
        <v>378</v>
      </c>
      <c r="I68" s="119">
        <v>80000000</v>
      </c>
      <c r="J68" s="119"/>
    </row>
    <row r="69" spans="8:10" x14ac:dyDescent="0.3">
      <c r="H69" s="43" t="s">
        <v>81</v>
      </c>
      <c r="I69" s="119"/>
      <c r="J69" s="119"/>
    </row>
    <row r="70" spans="8:10" x14ac:dyDescent="0.3">
      <c r="H70" s="106" t="s">
        <v>82</v>
      </c>
      <c r="I70" s="120">
        <f>I68+I67</f>
        <v>150000000</v>
      </c>
      <c r="J70" s="107">
        <f>J67-J68+J69</f>
        <v>0</v>
      </c>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2060"/>
  </sheetPr>
  <dimension ref="A2:O64"/>
  <sheetViews>
    <sheetView topLeftCell="B34" zoomScaleNormal="100" workbookViewId="0">
      <selection activeCell="B62" sqref="B62"/>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76</v>
      </c>
      <c r="D11" s="4" t="s">
        <v>73</v>
      </c>
      <c r="E11" s="4" t="s">
        <v>74</v>
      </c>
      <c r="F11" s="4" t="s">
        <v>246</v>
      </c>
      <c r="G11" s="4" t="s">
        <v>355</v>
      </c>
      <c r="H11" s="4" t="s">
        <v>362</v>
      </c>
      <c r="I11" s="4" t="s">
        <v>363</v>
      </c>
      <c r="J11" s="4" t="s">
        <v>372</v>
      </c>
      <c r="K11" s="4" t="s">
        <v>379</v>
      </c>
      <c r="L11" s="73" t="s">
        <v>380</v>
      </c>
      <c r="M11" s="4" t="s">
        <v>392</v>
      </c>
      <c r="N11" s="80" t="s">
        <v>393</v>
      </c>
    </row>
    <row r="12" spans="2:14" x14ac:dyDescent="0.3">
      <c r="B12" s="5" t="s">
        <v>27</v>
      </c>
      <c r="C12" s="6">
        <v>5474074544</v>
      </c>
      <c r="D12" s="6">
        <v>5476373785</v>
      </c>
      <c r="E12" s="6">
        <v>5197654177</v>
      </c>
      <c r="F12" s="6">
        <v>5226625839</v>
      </c>
      <c r="G12" s="6">
        <v>5177507228</v>
      </c>
      <c r="H12" s="6">
        <v>7686782434</v>
      </c>
      <c r="I12" s="6">
        <v>6513914814</v>
      </c>
      <c r="J12" s="6">
        <v>6967970393</v>
      </c>
      <c r="K12" s="6">
        <v>6661971596</v>
      </c>
      <c r="L12" s="74">
        <v>6815296486</v>
      </c>
      <c r="M12" s="6">
        <v>6608289603</v>
      </c>
      <c r="N12" s="81">
        <v>4987984096</v>
      </c>
    </row>
    <row r="13" spans="2:14" x14ac:dyDescent="0.3">
      <c r="B13" s="7" t="s">
        <v>39</v>
      </c>
      <c r="C13" s="6">
        <v>1668750550</v>
      </c>
      <c r="D13" s="6">
        <v>1895954647</v>
      </c>
      <c r="E13" s="6">
        <v>1734563258</v>
      </c>
      <c r="F13" s="6">
        <v>1217048730</v>
      </c>
      <c r="G13" s="6">
        <v>1057246878</v>
      </c>
      <c r="H13" s="6">
        <v>844001742</v>
      </c>
      <c r="I13" s="6">
        <v>1826886285</v>
      </c>
      <c r="J13" s="6">
        <v>1492293396</v>
      </c>
      <c r="K13" s="6">
        <v>1580210690</v>
      </c>
      <c r="L13" s="74">
        <v>1897812424</v>
      </c>
      <c r="M13" s="6">
        <v>2068394905</v>
      </c>
      <c r="N13" s="81">
        <v>2126571324</v>
      </c>
    </row>
    <row r="14" spans="2:14" x14ac:dyDescent="0.3">
      <c r="B14" s="7" t="s">
        <v>92</v>
      </c>
      <c r="C14" s="6">
        <v>748393419</v>
      </c>
      <c r="D14" s="6">
        <v>979650983</v>
      </c>
      <c r="E14" s="6">
        <v>559786018</v>
      </c>
      <c r="F14" s="6">
        <v>239763111</v>
      </c>
      <c r="G14" s="6">
        <v>311848277</v>
      </c>
      <c r="H14" s="6">
        <v>392955886</v>
      </c>
      <c r="I14" s="6">
        <v>253537343</v>
      </c>
      <c r="J14" s="6">
        <v>417162571</v>
      </c>
      <c r="K14" s="6">
        <v>515963566</v>
      </c>
      <c r="L14" s="74">
        <v>907853734</v>
      </c>
      <c r="M14" s="6">
        <v>1477183747</v>
      </c>
      <c r="N14" s="81">
        <v>889839372</v>
      </c>
    </row>
    <row r="15" spans="2:14" x14ac:dyDescent="0.3">
      <c r="B15" s="7" t="s">
        <v>30</v>
      </c>
      <c r="C15" s="6">
        <v>135164026</v>
      </c>
      <c r="D15" s="6">
        <v>446127690</v>
      </c>
      <c r="E15" s="6">
        <v>273503838</v>
      </c>
      <c r="F15" s="6">
        <v>283828249</v>
      </c>
      <c r="G15" s="6">
        <v>134444998</v>
      </c>
      <c r="H15" s="6">
        <v>159098911</v>
      </c>
      <c r="I15" s="6">
        <v>68481932</v>
      </c>
      <c r="J15" s="6">
        <v>13279209</v>
      </c>
      <c r="K15" s="6">
        <v>151736282</v>
      </c>
      <c r="L15" s="74">
        <v>71447359</v>
      </c>
      <c r="M15" s="6">
        <v>408606940</v>
      </c>
      <c r="N15" s="81">
        <v>1281498393</v>
      </c>
    </row>
    <row r="16" spans="2:14" x14ac:dyDescent="0.3">
      <c r="B16" s="7" t="s">
        <v>32</v>
      </c>
      <c r="C16" s="6">
        <v>20193132</v>
      </c>
      <c r="D16" s="6">
        <v>35618067</v>
      </c>
      <c r="E16" s="6">
        <v>77613140</v>
      </c>
      <c r="F16" s="6">
        <v>56425025</v>
      </c>
      <c r="G16" s="6">
        <v>58227888</v>
      </c>
      <c r="H16" s="6"/>
      <c r="I16" s="6">
        <v>21947673</v>
      </c>
      <c r="J16" s="6">
        <v>33188303</v>
      </c>
      <c r="K16" s="6">
        <v>13285934</v>
      </c>
      <c r="L16" s="74"/>
      <c r="M16" s="6"/>
      <c r="N16" s="81">
        <v>338136532</v>
      </c>
    </row>
    <row r="17" spans="2:15" x14ac:dyDescent="0.3">
      <c r="B17" s="7" t="s">
        <v>34</v>
      </c>
      <c r="C17" s="6"/>
      <c r="D17" s="6">
        <v>21323305</v>
      </c>
      <c r="E17" s="6">
        <v>34980053</v>
      </c>
      <c r="F17" s="6">
        <v>56383366</v>
      </c>
      <c r="G17" s="6">
        <v>52313956</v>
      </c>
      <c r="H17" s="6">
        <v>4080600</v>
      </c>
      <c r="I17" s="6"/>
      <c r="J17" s="6">
        <v>23013981</v>
      </c>
      <c r="K17" s="6">
        <v>31912914</v>
      </c>
      <c r="L17" s="74">
        <v>8979292</v>
      </c>
      <c r="M17" s="6"/>
      <c r="N17" s="81"/>
    </row>
    <row r="18" spans="2:15" ht="14.25" thickBot="1" x14ac:dyDescent="0.35">
      <c r="B18" s="8" t="s">
        <v>93</v>
      </c>
      <c r="C18" s="9">
        <v>132462486</v>
      </c>
      <c r="D18" s="9">
        <v>127164358</v>
      </c>
      <c r="E18" s="9">
        <v>148105707</v>
      </c>
      <c r="F18" s="9">
        <v>127164358</v>
      </c>
      <c r="G18" s="9">
        <v>168559690</v>
      </c>
      <c r="H18" s="9">
        <v>202122554</v>
      </c>
      <c r="I18" s="9">
        <v>172059100</v>
      </c>
      <c r="J18" s="9">
        <v>138693269</v>
      </c>
      <c r="K18" s="9">
        <v>151920823</v>
      </c>
      <c r="L18" s="75">
        <v>185043129</v>
      </c>
      <c r="M18" s="9">
        <v>198555826</v>
      </c>
      <c r="N18" s="82">
        <v>206391272</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0.3463516310858627</v>
      </c>
      <c r="D21" s="11">
        <f>IF(IFERROR(E13/D12,0)&gt;1,1,IFERROR(E13/D12,0))</f>
        <v>0.31673573172653702</v>
      </c>
      <c r="E21" s="11">
        <f t="shared" ref="E21:M21" si="0">IF(IFERROR(F13/E12,0)&gt;1,1,IFERROR(F13/E12,0))</f>
        <v>0.23415346395793887</v>
      </c>
      <c r="F21" s="11">
        <f t="shared" si="0"/>
        <v>0.2022809572690363</v>
      </c>
      <c r="G21" s="11">
        <f t="shared" si="0"/>
        <v>0.16301314606296094</v>
      </c>
      <c r="H21" s="11">
        <f t="shared" si="0"/>
        <v>0.23766592858402735</v>
      </c>
      <c r="I21" s="11">
        <f t="shared" si="0"/>
        <v>0.22909317033018234</v>
      </c>
      <c r="J21" s="11">
        <f t="shared" si="0"/>
        <v>0.2267820614719423</v>
      </c>
      <c r="K21" s="11">
        <f t="shared" si="0"/>
        <v>0.28487248806937121</v>
      </c>
      <c r="L21" s="11">
        <f t="shared" si="0"/>
        <v>0.30349301886556251</v>
      </c>
      <c r="M21" s="83">
        <f t="shared" si="0"/>
        <v>0.32180359090718258</v>
      </c>
      <c r="N21" s="84">
        <f>AVERAGE(C21:M21)</f>
        <v>0.26056774439369135</v>
      </c>
      <c r="O21" s="174" t="s">
        <v>58</v>
      </c>
    </row>
    <row r="22" spans="2:15" x14ac:dyDescent="0.3">
      <c r="B22" s="13" t="s">
        <v>61</v>
      </c>
      <c r="C22" s="14">
        <f>IF(IFERROR(D14/C13,0)&gt;1,1,IFERROR(D14/C13,0))</f>
        <v>0.58705657535213995</v>
      </c>
      <c r="D22" s="14">
        <f t="shared" ref="D22:M22" si="1">IF(IFERROR(E14/D13,0)&gt;1,1,IFERROR(E14/D13,0))</f>
        <v>0.29525285263851569</v>
      </c>
      <c r="E22" s="14">
        <f t="shared" si="1"/>
        <v>0.13822678988165216</v>
      </c>
      <c r="F22" s="14">
        <f t="shared" si="1"/>
        <v>0.25623318878940859</v>
      </c>
      <c r="G22" s="14">
        <f t="shared" si="1"/>
        <v>0.37167845484051643</v>
      </c>
      <c r="H22" s="14">
        <f t="shared" si="1"/>
        <v>0.30039907547963329</v>
      </c>
      <c r="I22" s="14">
        <f t="shared" si="1"/>
        <v>0.22834621641488759</v>
      </c>
      <c r="J22" s="14">
        <f t="shared" si="1"/>
        <v>0.34575209364526333</v>
      </c>
      <c r="K22" s="14">
        <f t="shared" si="1"/>
        <v>0.57451436048695503</v>
      </c>
      <c r="L22" s="14">
        <f t="shared" si="1"/>
        <v>0.77836130078996679</v>
      </c>
      <c r="M22" s="85">
        <f t="shared" si="1"/>
        <v>0.43020767932127546</v>
      </c>
      <c r="N22" s="86">
        <f t="shared" ref="N22:N25" si="2">AVERAGE(C22:M22)</f>
        <v>0.39145714433092849</v>
      </c>
      <c r="O22" s="174"/>
    </row>
    <row r="23" spans="2:15" x14ac:dyDescent="0.3">
      <c r="B23" s="13" t="s">
        <v>62</v>
      </c>
      <c r="C23" s="14">
        <f t="shared" ref="C23:M25" si="3">IF(IFERROR(D15/C14,0)&gt;1,1,IFERROR(D15/C14,0))</f>
        <v>0.59611386026899305</v>
      </c>
      <c r="D23" s="14">
        <f t="shared" si="3"/>
        <v>0.27918497786063062</v>
      </c>
      <c r="E23" s="14">
        <f t="shared" si="3"/>
        <v>0.50702990048601038</v>
      </c>
      <c r="F23" s="14">
        <f t="shared" si="3"/>
        <v>0.56074096402594642</v>
      </c>
      <c r="G23" s="14">
        <f t="shared" si="3"/>
        <v>0.51018050357866818</v>
      </c>
      <c r="H23" s="14">
        <f t="shared" si="3"/>
        <v>0.17427384202612503</v>
      </c>
      <c r="I23" s="14">
        <f t="shared" si="3"/>
        <v>5.2375752001155899E-2</v>
      </c>
      <c r="J23" s="14">
        <f t="shared" si="3"/>
        <v>0.36373417115602158</v>
      </c>
      <c r="K23" s="14">
        <f t="shared" si="3"/>
        <v>0.1384736514515833</v>
      </c>
      <c r="L23" s="14">
        <f t="shared" si="3"/>
        <v>0.45008014473838137</v>
      </c>
      <c r="M23" s="85">
        <f t="shared" si="3"/>
        <v>0.86752808890741195</v>
      </c>
      <c r="N23" s="86">
        <f t="shared" si="2"/>
        <v>0.40906507786372076</v>
      </c>
      <c r="O23" s="174"/>
    </row>
    <row r="24" spans="2:15" x14ac:dyDescent="0.3">
      <c r="B24" s="13" t="s">
        <v>63</v>
      </c>
      <c r="C24" s="14">
        <f t="shared" si="3"/>
        <v>0.26351735779163604</v>
      </c>
      <c r="D24" s="14">
        <f t="shared" si="3"/>
        <v>0.17397068538830218</v>
      </c>
      <c r="E24" s="14">
        <f t="shared" si="3"/>
        <v>0.20630432615720734</v>
      </c>
      <c r="F24" s="14">
        <f t="shared" si="3"/>
        <v>0.20515184166886785</v>
      </c>
      <c r="G24" s="14">
        <f t="shared" si="3"/>
        <v>0</v>
      </c>
      <c r="H24" s="14">
        <f t="shared" si="3"/>
        <v>0.13794986315148317</v>
      </c>
      <c r="I24" s="14">
        <f t="shared" si="3"/>
        <v>0.48462860247575962</v>
      </c>
      <c r="J24" s="14">
        <f t="shared" si="3"/>
        <v>1</v>
      </c>
      <c r="K24" s="14">
        <f t="shared" si="3"/>
        <v>0</v>
      </c>
      <c r="L24" s="14">
        <f t="shared" si="3"/>
        <v>0</v>
      </c>
      <c r="M24" s="87">
        <f t="shared" si="3"/>
        <v>0.82753497040456536</v>
      </c>
      <c r="N24" s="86">
        <f t="shared" si="2"/>
        <v>0.29991433154889291</v>
      </c>
      <c r="O24" s="174"/>
    </row>
    <row r="25" spans="2:15" ht="14.25" thickBot="1" x14ac:dyDescent="0.35">
      <c r="B25" s="15" t="s">
        <v>64</v>
      </c>
      <c r="C25" s="16">
        <f t="shared" si="3"/>
        <v>1</v>
      </c>
      <c r="D25" s="16">
        <f t="shared" si="3"/>
        <v>0.98208734909729944</v>
      </c>
      <c r="E25" s="16">
        <f t="shared" si="3"/>
        <v>0.72646675550042172</v>
      </c>
      <c r="F25" s="16">
        <f t="shared" si="3"/>
        <v>0.92714103361053013</v>
      </c>
      <c r="G25" s="16">
        <f t="shared" si="3"/>
        <v>7.0079821545304885E-2</v>
      </c>
      <c r="H25" s="16">
        <f t="shared" si="3"/>
        <v>0</v>
      </c>
      <c r="I25" s="16">
        <f t="shared" si="3"/>
        <v>1</v>
      </c>
      <c r="J25" s="16">
        <f t="shared" si="3"/>
        <v>0.96157112944280398</v>
      </c>
      <c r="K25" s="16">
        <f t="shared" si="3"/>
        <v>0.67584951121991121</v>
      </c>
      <c r="L25" s="16">
        <f t="shared" si="3"/>
        <v>0</v>
      </c>
      <c r="M25" s="88">
        <f t="shared" si="3"/>
        <v>0</v>
      </c>
      <c r="N25" s="89">
        <f t="shared" si="2"/>
        <v>0.57665414549238836</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393</v>
      </c>
      <c r="D32" s="90" t="s">
        <v>393</v>
      </c>
      <c r="E32" s="90" t="s">
        <v>393</v>
      </c>
      <c r="F32" s="90" t="s">
        <v>393</v>
      </c>
      <c r="G32" s="90" t="s">
        <v>393</v>
      </c>
      <c r="I32" s="108"/>
      <c r="J32" s="108"/>
      <c r="K32" s="108"/>
    </row>
    <row r="33" spans="2:11" x14ac:dyDescent="0.3">
      <c r="B33" s="20" t="s">
        <v>26</v>
      </c>
      <c r="C33" s="94">
        <f t="shared" ref="C33:C39" si="4">N12</f>
        <v>4987984096</v>
      </c>
      <c r="D33" s="50">
        <f>C48</f>
        <v>0</v>
      </c>
      <c r="E33" s="95">
        <f>C33-D33</f>
        <v>4987984096</v>
      </c>
      <c r="F33" s="63">
        <f>PRODUCT(N21:$N$25)</f>
        <v>7.2162225736384653E-3</v>
      </c>
      <c r="G33" s="57">
        <f>ROUND(E33*F33,)</f>
        <v>35994403</v>
      </c>
      <c r="I33" s="108"/>
      <c r="J33" s="108"/>
      <c r="K33" s="108"/>
    </row>
    <row r="34" spans="2:11" x14ac:dyDescent="0.3">
      <c r="B34" s="22" t="s">
        <v>38</v>
      </c>
      <c r="C34" s="96">
        <f t="shared" si="4"/>
        <v>2126571324</v>
      </c>
      <c r="D34" s="52">
        <f t="shared" ref="D34:D39" si="5">C49</f>
        <v>0</v>
      </c>
      <c r="E34" s="97">
        <f t="shared" ref="E34:E39" si="6">C34-D34</f>
        <v>2126571324</v>
      </c>
      <c r="F34" s="64">
        <f>PRODUCT(N22:$N$25)</f>
        <v>2.7694228195549359E-2</v>
      </c>
      <c r="G34" s="58">
        <f t="shared" ref="G34:G39" si="7">ROUND(E34*F34,)</f>
        <v>58893752</v>
      </c>
      <c r="I34" s="108"/>
      <c r="J34" s="108"/>
      <c r="K34" s="108"/>
    </row>
    <row r="35" spans="2:11" x14ac:dyDescent="0.3">
      <c r="B35" s="22" t="s">
        <v>28</v>
      </c>
      <c r="C35" s="96">
        <f t="shared" si="4"/>
        <v>889839372</v>
      </c>
      <c r="D35" s="52">
        <f t="shared" si="5"/>
        <v>0</v>
      </c>
      <c r="E35" s="97">
        <f t="shared" si="6"/>
        <v>889839372</v>
      </c>
      <c r="F35" s="64">
        <f>PRODUCT(N23:$N$25)</f>
        <v>7.0746513626373686E-2</v>
      </c>
      <c r="G35" s="58">
        <f t="shared" si="7"/>
        <v>62953033</v>
      </c>
      <c r="I35" s="108"/>
      <c r="J35" s="108"/>
      <c r="K35" s="108"/>
    </row>
    <row r="36" spans="2:11" x14ac:dyDescent="0.3">
      <c r="B36" s="22" t="s">
        <v>29</v>
      </c>
      <c r="C36" s="96">
        <f t="shared" si="4"/>
        <v>1281498393</v>
      </c>
      <c r="D36" s="52">
        <f t="shared" si="5"/>
        <v>0</v>
      </c>
      <c r="E36" s="97">
        <f t="shared" si="6"/>
        <v>1281498393</v>
      </c>
      <c r="F36" s="64">
        <f>PRODUCT(N24:$N$25)</f>
        <v>0.1729468425802477</v>
      </c>
      <c r="G36" s="58">
        <f t="shared" si="7"/>
        <v>221631101</v>
      </c>
      <c r="I36" s="108"/>
      <c r="J36" s="108"/>
      <c r="K36" s="108"/>
    </row>
    <row r="37" spans="2:11" ht="14.25" thickBot="1" x14ac:dyDescent="0.35">
      <c r="B37" s="25" t="s">
        <v>31</v>
      </c>
      <c r="C37" s="98">
        <f t="shared" si="4"/>
        <v>338136532</v>
      </c>
      <c r="D37" s="55">
        <f t="shared" si="5"/>
        <v>0</v>
      </c>
      <c r="E37" s="99">
        <f t="shared" si="6"/>
        <v>338136532</v>
      </c>
      <c r="F37" s="67">
        <f>PRODUCT(N25:$N$25)</f>
        <v>0.57665414549238836</v>
      </c>
      <c r="G37" s="59">
        <f t="shared" si="7"/>
        <v>194987833</v>
      </c>
      <c r="I37" s="108"/>
      <c r="J37" s="108"/>
      <c r="K37" s="108"/>
    </row>
    <row r="38" spans="2:11" x14ac:dyDescent="0.3">
      <c r="B38" s="27" t="s">
        <v>33</v>
      </c>
      <c r="C38" s="94">
        <f t="shared" si="4"/>
        <v>0</v>
      </c>
      <c r="D38" s="50">
        <f t="shared" si="5"/>
        <v>0</v>
      </c>
      <c r="E38" s="29">
        <f t="shared" si="6"/>
        <v>0</v>
      </c>
      <c r="F38" s="100">
        <v>1</v>
      </c>
      <c r="G38" s="60">
        <f t="shared" si="7"/>
        <v>0</v>
      </c>
      <c r="I38" s="108"/>
      <c r="J38" s="108"/>
      <c r="K38" s="108"/>
    </row>
    <row r="39" spans="2:11" ht="14.25" thickBot="1" x14ac:dyDescent="0.35">
      <c r="B39" s="30" t="s">
        <v>35</v>
      </c>
      <c r="C39" s="98">
        <f t="shared" si="4"/>
        <v>206391272</v>
      </c>
      <c r="D39" s="55">
        <f t="shared" si="5"/>
        <v>27647453</v>
      </c>
      <c r="E39" s="32">
        <f t="shared" si="6"/>
        <v>178743819</v>
      </c>
      <c r="F39" s="67">
        <v>1</v>
      </c>
      <c r="G39" s="61">
        <f t="shared" si="7"/>
        <v>178743819</v>
      </c>
      <c r="I39" s="108"/>
      <c r="J39" s="108"/>
      <c r="K39" s="108"/>
    </row>
    <row r="40" spans="2:11" ht="14.25" thickBot="1" x14ac:dyDescent="0.35">
      <c r="B40" s="30" t="s">
        <v>41</v>
      </c>
      <c r="C40" s="101">
        <f>SUM(C33:C39)</f>
        <v>9830420989</v>
      </c>
      <c r="D40" s="101">
        <f>SUM(D33:D39)</f>
        <v>27647453</v>
      </c>
      <c r="E40" s="102">
        <f>SUM(E33:E39)</f>
        <v>9802773536</v>
      </c>
      <c r="F40" s="67"/>
      <c r="G40" s="61">
        <f>SUM(G33:G39)</f>
        <v>753203941</v>
      </c>
      <c r="H40" s="108"/>
      <c r="I40" s="108"/>
      <c r="J40" s="108"/>
      <c r="K40" s="108"/>
    </row>
    <row r="41" spans="2:11" ht="14.25" thickBot="1" x14ac:dyDescent="0.35">
      <c r="B41" s="108"/>
      <c r="E41" s="109"/>
      <c r="F41" s="110"/>
      <c r="G41" s="115"/>
      <c r="H41" s="108"/>
      <c r="I41" s="108"/>
      <c r="J41" s="108"/>
      <c r="K41" s="108"/>
    </row>
    <row r="42" spans="2:11" ht="14.25" thickBot="1" x14ac:dyDescent="0.35">
      <c r="G42" s="33">
        <f>G40</f>
        <v>753203941</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90" t="s">
        <v>393</v>
      </c>
      <c r="D47" s="90" t="s">
        <v>393</v>
      </c>
    </row>
    <row r="48" spans="2:11" x14ac:dyDescent="0.3">
      <c r="B48" s="20" t="s">
        <v>26</v>
      </c>
      <c r="C48" s="34">
        <v>0</v>
      </c>
      <c r="D48" s="35">
        <v>0</v>
      </c>
      <c r="F48" s="173" t="s">
        <v>85</v>
      </c>
      <c r="G48" s="173"/>
      <c r="H48" s="173"/>
      <c r="I48" s="173"/>
    </row>
    <row r="49" spans="1:10" x14ac:dyDescent="0.3">
      <c r="B49" s="22" t="s">
        <v>38</v>
      </c>
      <c r="C49" s="36">
        <v>0</v>
      </c>
      <c r="D49" s="37">
        <v>0</v>
      </c>
      <c r="F49" s="104" t="s">
        <v>90</v>
      </c>
      <c r="G49" s="105">
        <v>27647453</v>
      </c>
      <c r="H49" s="104"/>
      <c r="I49" s="105"/>
    </row>
    <row r="50" spans="1:10" x14ac:dyDescent="0.3">
      <c r="B50" s="22" t="s">
        <v>28</v>
      </c>
      <c r="C50" s="36">
        <v>0</v>
      </c>
      <c r="D50" s="37">
        <v>0</v>
      </c>
      <c r="F50" s="104"/>
      <c r="G50" s="105"/>
      <c r="H50" s="104"/>
      <c r="I50" s="105"/>
    </row>
    <row r="51" spans="1:10" x14ac:dyDescent="0.3">
      <c r="B51" s="22" t="s">
        <v>29</v>
      </c>
      <c r="C51" s="36">
        <v>0</v>
      </c>
      <c r="D51" s="37">
        <v>0</v>
      </c>
      <c r="F51" s="104"/>
      <c r="G51" s="105"/>
      <c r="H51" s="106"/>
      <c r="I51" s="106"/>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27647453</v>
      </c>
      <c r="D54" s="41">
        <f>C54</f>
        <v>27647453</v>
      </c>
    </row>
    <row r="55" spans="1:10" ht="14.25" thickBot="1" x14ac:dyDescent="0.35">
      <c r="B55" s="46" t="s">
        <v>11</v>
      </c>
      <c r="C55" s="47">
        <f>SUM(C48:C54)</f>
        <v>27647453</v>
      </c>
      <c r="D55" s="48">
        <f>SUM(D48:D54)</f>
        <v>27647453</v>
      </c>
    </row>
    <row r="56" spans="1:10" ht="14.25" thickBot="1" x14ac:dyDescent="0.35"/>
    <row r="57" spans="1:10" ht="14.25" thickBot="1" x14ac:dyDescent="0.35">
      <c r="E57" s="33">
        <f>D55</f>
        <v>27647453</v>
      </c>
      <c r="F57" s="2" t="s">
        <v>51</v>
      </c>
    </row>
    <row r="59" spans="1:10" x14ac:dyDescent="0.3">
      <c r="B59" s="111" t="s">
        <v>12</v>
      </c>
    </row>
    <row r="60" spans="1:10" x14ac:dyDescent="0.3">
      <c r="B60" s="2" t="s">
        <v>20</v>
      </c>
      <c r="H60" s="118"/>
      <c r="I60" s="118"/>
      <c r="J60" s="118"/>
    </row>
    <row r="61" spans="1:10" x14ac:dyDescent="0.3">
      <c r="B61" s="42" t="s">
        <v>14</v>
      </c>
      <c r="C61" s="42" t="s">
        <v>15</v>
      </c>
      <c r="D61" s="42" t="s">
        <v>98</v>
      </c>
      <c r="E61" s="42" t="s">
        <v>52</v>
      </c>
      <c r="H61" s="43"/>
      <c r="I61" s="119"/>
      <c r="J61" s="119"/>
    </row>
    <row r="62" spans="1:10" x14ac:dyDescent="0.3">
      <c r="A62" s="2" t="s">
        <v>18</v>
      </c>
      <c r="B62" s="103" t="s">
        <v>100</v>
      </c>
      <c r="C62" s="43" t="s">
        <v>4</v>
      </c>
      <c r="D62" s="44">
        <v>9830420989</v>
      </c>
      <c r="E62" s="43"/>
      <c r="H62" s="43"/>
      <c r="I62" s="119"/>
      <c r="J62" s="119"/>
    </row>
    <row r="63" spans="1:10" x14ac:dyDescent="0.3">
      <c r="A63" s="2" t="s">
        <v>19</v>
      </c>
      <c r="B63" s="43">
        <v>1110321</v>
      </c>
      <c r="C63" s="43" t="s">
        <v>13</v>
      </c>
      <c r="D63" s="44">
        <v>780851394</v>
      </c>
      <c r="E63" s="45">
        <f>D63-G42-E57</f>
        <v>0</v>
      </c>
      <c r="F63" s="2" t="s">
        <v>16</v>
      </c>
      <c r="H63" s="43"/>
      <c r="I63" s="119"/>
      <c r="J63" s="119"/>
    </row>
    <row r="64" spans="1:10" x14ac:dyDescent="0.3">
      <c r="B64" s="43"/>
      <c r="C64" s="43" t="s">
        <v>101</v>
      </c>
      <c r="D64" s="45">
        <f>D62-D63</f>
        <v>9049569595</v>
      </c>
      <c r="E64" s="45">
        <f>D64-E40-C55+G42+E57</f>
        <v>0</v>
      </c>
      <c r="F64" s="2" t="s">
        <v>16</v>
      </c>
      <c r="H64" s="106"/>
      <c r="I64" s="120"/>
      <c r="J64" s="107"/>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7"/>
  <dimension ref="B6:M84"/>
  <sheetViews>
    <sheetView topLeftCell="A17" workbookViewId="0">
      <selection activeCell="L31" sqref="L31:L35"/>
    </sheetView>
  </sheetViews>
  <sheetFormatPr defaultRowHeight="14.25" customHeight="1" x14ac:dyDescent="0.3"/>
  <cols>
    <col min="1" max="1" width="3.625" style="123" customWidth="1"/>
    <col min="2" max="2" width="22.75" style="123" customWidth="1"/>
    <col min="3" max="9" width="16.375" style="123" customWidth="1"/>
    <col min="10" max="13" width="14.625" style="123" customWidth="1"/>
    <col min="14" max="256" width="9" style="123"/>
    <col min="257" max="257" width="3.625" style="123" customWidth="1"/>
    <col min="258" max="258" width="22.75" style="123" customWidth="1"/>
    <col min="259" max="265" width="16.375" style="123" customWidth="1"/>
    <col min="266" max="269" width="14.625" style="123" customWidth="1"/>
    <col min="270" max="512" width="9" style="123"/>
    <col min="513" max="513" width="3.625" style="123" customWidth="1"/>
    <col min="514" max="514" width="22.75" style="123" customWidth="1"/>
    <col min="515" max="521" width="16.375" style="123" customWidth="1"/>
    <col min="522" max="525" width="14.625" style="123" customWidth="1"/>
    <col min="526" max="768" width="9" style="123"/>
    <col min="769" max="769" width="3.625" style="123" customWidth="1"/>
    <col min="770" max="770" width="22.75" style="123" customWidth="1"/>
    <col min="771" max="777" width="16.375" style="123" customWidth="1"/>
    <col min="778" max="781" width="14.625" style="123" customWidth="1"/>
    <col min="782" max="1024" width="9" style="123"/>
    <col min="1025" max="1025" width="3.625" style="123" customWidth="1"/>
    <col min="1026" max="1026" width="22.75" style="123" customWidth="1"/>
    <col min="1027" max="1033" width="16.375" style="123" customWidth="1"/>
    <col min="1034" max="1037" width="14.625" style="123" customWidth="1"/>
    <col min="1038" max="1280" width="9" style="123"/>
    <col min="1281" max="1281" width="3.625" style="123" customWidth="1"/>
    <col min="1282" max="1282" width="22.75" style="123" customWidth="1"/>
    <col min="1283" max="1289" width="16.375" style="123" customWidth="1"/>
    <col min="1290" max="1293" width="14.625" style="123" customWidth="1"/>
    <col min="1294" max="1536" width="9" style="123"/>
    <col min="1537" max="1537" width="3.625" style="123" customWidth="1"/>
    <col min="1538" max="1538" width="22.75" style="123" customWidth="1"/>
    <col min="1539" max="1545" width="16.375" style="123" customWidth="1"/>
    <col min="1546" max="1549" width="14.625" style="123" customWidth="1"/>
    <col min="1550" max="1792" width="9" style="123"/>
    <col min="1793" max="1793" width="3.625" style="123" customWidth="1"/>
    <col min="1794" max="1794" width="22.75" style="123" customWidth="1"/>
    <col min="1795" max="1801" width="16.375" style="123" customWidth="1"/>
    <col min="1802" max="1805" width="14.625" style="123" customWidth="1"/>
    <col min="1806" max="2048" width="9" style="123"/>
    <col min="2049" max="2049" width="3.625" style="123" customWidth="1"/>
    <col min="2050" max="2050" width="22.75" style="123" customWidth="1"/>
    <col min="2051" max="2057" width="16.375" style="123" customWidth="1"/>
    <col min="2058" max="2061" width="14.625" style="123" customWidth="1"/>
    <col min="2062" max="2304" width="9" style="123"/>
    <col min="2305" max="2305" width="3.625" style="123" customWidth="1"/>
    <col min="2306" max="2306" width="22.75" style="123" customWidth="1"/>
    <col min="2307" max="2313" width="16.375" style="123" customWidth="1"/>
    <col min="2314" max="2317" width="14.625" style="123" customWidth="1"/>
    <col min="2318" max="2560" width="9" style="123"/>
    <col min="2561" max="2561" width="3.625" style="123" customWidth="1"/>
    <col min="2562" max="2562" width="22.75" style="123" customWidth="1"/>
    <col min="2563" max="2569" width="16.375" style="123" customWidth="1"/>
    <col min="2570" max="2573" width="14.625" style="123" customWidth="1"/>
    <col min="2574" max="2816" width="9" style="123"/>
    <col min="2817" max="2817" width="3.625" style="123" customWidth="1"/>
    <col min="2818" max="2818" width="22.75" style="123" customWidth="1"/>
    <col min="2819" max="2825" width="16.375" style="123" customWidth="1"/>
    <col min="2826" max="2829" width="14.625" style="123" customWidth="1"/>
    <col min="2830" max="3072" width="9" style="123"/>
    <col min="3073" max="3073" width="3.625" style="123" customWidth="1"/>
    <col min="3074" max="3074" width="22.75" style="123" customWidth="1"/>
    <col min="3075" max="3081" width="16.375" style="123" customWidth="1"/>
    <col min="3082" max="3085" width="14.625" style="123" customWidth="1"/>
    <col min="3086" max="3328" width="9" style="123"/>
    <col min="3329" max="3329" width="3.625" style="123" customWidth="1"/>
    <col min="3330" max="3330" width="22.75" style="123" customWidth="1"/>
    <col min="3331" max="3337" width="16.375" style="123" customWidth="1"/>
    <col min="3338" max="3341" width="14.625" style="123" customWidth="1"/>
    <col min="3342" max="3584" width="9" style="123"/>
    <col min="3585" max="3585" width="3.625" style="123" customWidth="1"/>
    <col min="3586" max="3586" width="22.75" style="123" customWidth="1"/>
    <col min="3587" max="3593" width="16.375" style="123" customWidth="1"/>
    <col min="3594" max="3597" width="14.625" style="123" customWidth="1"/>
    <col min="3598" max="3840" width="9" style="123"/>
    <col min="3841" max="3841" width="3.625" style="123" customWidth="1"/>
    <col min="3842" max="3842" width="22.75" style="123" customWidth="1"/>
    <col min="3843" max="3849" width="16.375" style="123" customWidth="1"/>
    <col min="3850" max="3853" width="14.625" style="123" customWidth="1"/>
    <col min="3854" max="4096" width="9" style="123"/>
    <col min="4097" max="4097" width="3.625" style="123" customWidth="1"/>
    <col min="4098" max="4098" width="22.75" style="123" customWidth="1"/>
    <col min="4099" max="4105" width="16.375" style="123" customWidth="1"/>
    <col min="4106" max="4109" width="14.625" style="123" customWidth="1"/>
    <col min="4110" max="4352" width="9" style="123"/>
    <col min="4353" max="4353" width="3.625" style="123" customWidth="1"/>
    <col min="4354" max="4354" width="22.75" style="123" customWidth="1"/>
    <col min="4355" max="4361" width="16.375" style="123" customWidth="1"/>
    <col min="4362" max="4365" width="14.625" style="123" customWidth="1"/>
    <col min="4366" max="4608" width="9" style="123"/>
    <col min="4609" max="4609" width="3.625" style="123" customWidth="1"/>
    <col min="4610" max="4610" width="22.75" style="123" customWidth="1"/>
    <col min="4611" max="4617" width="16.375" style="123" customWidth="1"/>
    <col min="4618" max="4621" width="14.625" style="123" customWidth="1"/>
    <col min="4622" max="4864" width="9" style="123"/>
    <col min="4865" max="4865" width="3.625" style="123" customWidth="1"/>
    <col min="4866" max="4866" width="22.75" style="123" customWidth="1"/>
    <col min="4867" max="4873" width="16.375" style="123" customWidth="1"/>
    <col min="4874" max="4877" width="14.625" style="123" customWidth="1"/>
    <col min="4878" max="5120" width="9" style="123"/>
    <col min="5121" max="5121" width="3.625" style="123" customWidth="1"/>
    <col min="5122" max="5122" width="22.75" style="123" customWidth="1"/>
    <col min="5123" max="5129" width="16.375" style="123" customWidth="1"/>
    <col min="5130" max="5133" width="14.625" style="123" customWidth="1"/>
    <col min="5134" max="5376" width="9" style="123"/>
    <col min="5377" max="5377" width="3.625" style="123" customWidth="1"/>
    <col min="5378" max="5378" width="22.75" style="123" customWidth="1"/>
    <col min="5379" max="5385" width="16.375" style="123" customWidth="1"/>
    <col min="5386" max="5389" width="14.625" style="123" customWidth="1"/>
    <col min="5390" max="5632" width="9" style="123"/>
    <col min="5633" max="5633" width="3.625" style="123" customWidth="1"/>
    <col min="5634" max="5634" width="22.75" style="123" customWidth="1"/>
    <col min="5635" max="5641" width="16.375" style="123" customWidth="1"/>
    <col min="5642" max="5645" width="14.625" style="123" customWidth="1"/>
    <col min="5646" max="5888" width="9" style="123"/>
    <col min="5889" max="5889" width="3.625" style="123" customWidth="1"/>
    <col min="5890" max="5890" width="22.75" style="123" customWidth="1"/>
    <col min="5891" max="5897" width="16.375" style="123" customWidth="1"/>
    <col min="5898" max="5901" width="14.625" style="123" customWidth="1"/>
    <col min="5902" max="6144" width="9" style="123"/>
    <col min="6145" max="6145" width="3.625" style="123" customWidth="1"/>
    <col min="6146" max="6146" width="22.75" style="123" customWidth="1"/>
    <col min="6147" max="6153" width="16.375" style="123" customWidth="1"/>
    <col min="6154" max="6157" width="14.625" style="123" customWidth="1"/>
    <col min="6158" max="6400" width="9" style="123"/>
    <col min="6401" max="6401" width="3.625" style="123" customWidth="1"/>
    <col min="6402" max="6402" width="22.75" style="123" customWidth="1"/>
    <col min="6403" max="6409" width="16.375" style="123" customWidth="1"/>
    <col min="6410" max="6413" width="14.625" style="123" customWidth="1"/>
    <col min="6414" max="6656" width="9" style="123"/>
    <col min="6657" max="6657" width="3.625" style="123" customWidth="1"/>
    <col min="6658" max="6658" width="22.75" style="123" customWidth="1"/>
    <col min="6659" max="6665" width="16.375" style="123" customWidth="1"/>
    <col min="6666" max="6669" width="14.625" style="123" customWidth="1"/>
    <col min="6670" max="6912" width="9" style="123"/>
    <col min="6913" max="6913" width="3.625" style="123" customWidth="1"/>
    <col min="6914" max="6914" width="22.75" style="123" customWidth="1"/>
    <col min="6915" max="6921" width="16.375" style="123" customWidth="1"/>
    <col min="6922" max="6925" width="14.625" style="123" customWidth="1"/>
    <col min="6926" max="7168" width="9" style="123"/>
    <col min="7169" max="7169" width="3.625" style="123" customWidth="1"/>
    <col min="7170" max="7170" width="22.75" style="123" customWidth="1"/>
    <col min="7171" max="7177" width="16.375" style="123" customWidth="1"/>
    <col min="7178" max="7181" width="14.625" style="123" customWidth="1"/>
    <col min="7182" max="7424" width="9" style="123"/>
    <col min="7425" max="7425" width="3.625" style="123" customWidth="1"/>
    <col min="7426" max="7426" width="22.75" style="123" customWidth="1"/>
    <col min="7427" max="7433" width="16.375" style="123" customWidth="1"/>
    <col min="7434" max="7437" width="14.625" style="123" customWidth="1"/>
    <col min="7438" max="7680" width="9" style="123"/>
    <col min="7681" max="7681" width="3.625" style="123" customWidth="1"/>
    <col min="7682" max="7682" width="22.75" style="123" customWidth="1"/>
    <col min="7683" max="7689" width="16.375" style="123" customWidth="1"/>
    <col min="7690" max="7693" width="14.625" style="123" customWidth="1"/>
    <col min="7694" max="7936" width="9" style="123"/>
    <col min="7937" max="7937" width="3.625" style="123" customWidth="1"/>
    <col min="7938" max="7938" width="22.75" style="123" customWidth="1"/>
    <col min="7939" max="7945" width="16.375" style="123" customWidth="1"/>
    <col min="7946" max="7949" width="14.625" style="123" customWidth="1"/>
    <col min="7950" max="8192" width="9" style="123"/>
    <col min="8193" max="8193" width="3.625" style="123" customWidth="1"/>
    <col min="8194" max="8194" width="22.75" style="123" customWidth="1"/>
    <col min="8195" max="8201" width="16.375" style="123" customWidth="1"/>
    <col min="8202" max="8205" width="14.625" style="123" customWidth="1"/>
    <col min="8206" max="8448" width="9" style="123"/>
    <col min="8449" max="8449" width="3.625" style="123" customWidth="1"/>
    <col min="8450" max="8450" width="22.75" style="123" customWidth="1"/>
    <col min="8451" max="8457" width="16.375" style="123" customWidth="1"/>
    <col min="8458" max="8461" width="14.625" style="123" customWidth="1"/>
    <col min="8462" max="8704" width="9" style="123"/>
    <col min="8705" max="8705" width="3.625" style="123" customWidth="1"/>
    <col min="8706" max="8706" width="22.75" style="123" customWidth="1"/>
    <col min="8707" max="8713" width="16.375" style="123" customWidth="1"/>
    <col min="8714" max="8717" width="14.625" style="123" customWidth="1"/>
    <col min="8718" max="8960" width="9" style="123"/>
    <col min="8961" max="8961" width="3.625" style="123" customWidth="1"/>
    <col min="8962" max="8962" width="22.75" style="123" customWidth="1"/>
    <col min="8963" max="8969" width="16.375" style="123" customWidth="1"/>
    <col min="8970" max="8973" width="14.625" style="123" customWidth="1"/>
    <col min="8974" max="9216" width="9" style="123"/>
    <col min="9217" max="9217" width="3.625" style="123" customWidth="1"/>
    <col min="9218" max="9218" width="22.75" style="123" customWidth="1"/>
    <col min="9219" max="9225" width="16.375" style="123" customWidth="1"/>
    <col min="9226" max="9229" width="14.625" style="123" customWidth="1"/>
    <col min="9230" max="9472" width="9" style="123"/>
    <col min="9473" max="9473" width="3.625" style="123" customWidth="1"/>
    <col min="9474" max="9474" width="22.75" style="123" customWidth="1"/>
    <col min="9475" max="9481" width="16.375" style="123" customWidth="1"/>
    <col min="9482" max="9485" width="14.625" style="123" customWidth="1"/>
    <col min="9486" max="9728" width="9" style="123"/>
    <col min="9729" max="9729" width="3.625" style="123" customWidth="1"/>
    <col min="9730" max="9730" width="22.75" style="123" customWidth="1"/>
    <col min="9731" max="9737" width="16.375" style="123" customWidth="1"/>
    <col min="9738" max="9741" width="14.625" style="123" customWidth="1"/>
    <col min="9742" max="9984" width="9" style="123"/>
    <col min="9985" max="9985" width="3.625" style="123" customWidth="1"/>
    <col min="9986" max="9986" width="22.75" style="123" customWidth="1"/>
    <col min="9987" max="9993" width="16.375" style="123" customWidth="1"/>
    <col min="9994" max="9997" width="14.625" style="123" customWidth="1"/>
    <col min="9998" max="10240" width="9" style="123"/>
    <col min="10241" max="10241" width="3.625" style="123" customWidth="1"/>
    <col min="10242" max="10242" width="22.75" style="123" customWidth="1"/>
    <col min="10243" max="10249" width="16.375" style="123" customWidth="1"/>
    <col min="10250" max="10253" width="14.625" style="123" customWidth="1"/>
    <col min="10254" max="10496" width="9" style="123"/>
    <col min="10497" max="10497" width="3.625" style="123" customWidth="1"/>
    <col min="10498" max="10498" width="22.75" style="123" customWidth="1"/>
    <col min="10499" max="10505" width="16.375" style="123" customWidth="1"/>
    <col min="10506" max="10509" width="14.625" style="123" customWidth="1"/>
    <col min="10510" max="10752" width="9" style="123"/>
    <col min="10753" max="10753" width="3.625" style="123" customWidth="1"/>
    <col min="10754" max="10754" width="22.75" style="123" customWidth="1"/>
    <col min="10755" max="10761" width="16.375" style="123" customWidth="1"/>
    <col min="10762" max="10765" width="14.625" style="123" customWidth="1"/>
    <col min="10766" max="11008" width="9" style="123"/>
    <col min="11009" max="11009" width="3.625" style="123" customWidth="1"/>
    <col min="11010" max="11010" width="22.75" style="123" customWidth="1"/>
    <col min="11011" max="11017" width="16.375" style="123" customWidth="1"/>
    <col min="11018" max="11021" width="14.625" style="123" customWidth="1"/>
    <col min="11022" max="11264" width="9" style="123"/>
    <col min="11265" max="11265" width="3.625" style="123" customWidth="1"/>
    <col min="11266" max="11266" width="22.75" style="123" customWidth="1"/>
    <col min="11267" max="11273" width="16.375" style="123" customWidth="1"/>
    <col min="11274" max="11277" width="14.625" style="123" customWidth="1"/>
    <col min="11278" max="11520" width="9" style="123"/>
    <col min="11521" max="11521" width="3.625" style="123" customWidth="1"/>
    <col min="11522" max="11522" width="22.75" style="123" customWidth="1"/>
    <col min="11523" max="11529" width="16.375" style="123" customWidth="1"/>
    <col min="11530" max="11533" width="14.625" style="123" customWidth="1"/>
    <col min="11534" max="11776" width="9" style="123"/>
    <col min="11777" max="11777" width="3.625" style="123" customWidth="1"/>
    <col min="11778" max="11778" width="22.75" style="123" customWidth="1"/>
    <col min="11779" max="11785" width="16.375" style="123" customWidth="1"/>
    <col min="11786" max="11789" width="14.625" style="123" customWidth="1"/>
    <col min="11790" max="12032" width="9" style="123"/>
    <col min="12033" max="12033" width="3.625" style="123" customWidth="1"/>
    <col min="12034" max="12034" width="22.75" style="123" customWidth="1"/>
    <col min="12035" max="12041" width="16.375" style="123" customWidth="1"/>
    <col min="12042" max="12045" width="14.625" style="123" customWidth="1"/>
    <col min="12046" max="12288" width="9" style="123"/>
    <col min="12289" max="12289" width="3.625" style="123" customWidth="1"/>
    <col min="12290" max="12290" width="22.75" style="123" customWidth="1"/>
    <col min="12291" max="12297" width="16.375" style="123" customWidth="1"/>
    <col min="12298" max="12301" width="14.625" style="123" customWidth="1"/>
    <col min="12302" max="12544" width="9" style="123"/>
    <col min="12545" max="12545" width="3.625" style="123" customWidth="1"/>
    <col min="12546" max="12546" width="22.75" style="123" customWidth="1"/>
    <col min="12547" max="12553" width="16.375" style="123" customWidth="1"/>
    <col min="12554" max="12557" width="14.625" style="123" customWidth="1"/>
    <col min="12558" max="12800" width="9" style="123"/>
    <col min="12801" max="12801" width="3.625" style="123" customWidth="1"/>
    <col min="12802" max="12802" width="22.75" style="123" customWidth="1"/>
    <col min="12803" max="12809" width="16.375" style="123" customWidth="1"/>
    <col min="12810" max="12813" width="14.625" style="123" customWidth="1"/>
    <col min="12814" max="13056" width="9" style="123"/>
    <col min="13057" max="13057" width="3.625" style="123" customWidth="1"/>
    <col min="13058" max="13058" width="22.75" style="123" customWidth="1"/>
    <col min="13059" max="13065" width="16.375" style="123" customWidth="1"/>
    <col min="13066" max="13069" width="14.625" style="123" customWidth="1"/>
    <col min="13070" max="13312" width="9" style="123"/>
    <col min="13313" max="13313" width="3.625" style="123" customWidth="1"/>
    <col min="13314" max="13314" width="22.75" style="123" customWidth="1"/>
    <col min="13315" max="13321" width="16.375" style="123" customWidth="1"/>
    <col min="13322" max="13325" width="14.625" style="123" customWidth="1"/>
    <col min="13326" max="13568" width="9" style="123"/>
    <col min="13569" max="13569" width="3.625" style="123" customWidth="1"/>
    <col min="13570" max="13570" width="22.75" style="123" customWidth="1"/>
    <col min="13571" max="13577" width="16.375" style="123" customWidth="1"/>
    <col min="13578" max="13581" width="14.625" style="123" customWidth="1"/>
    <col min="13582" max="13824" width="9" style="123"/>
    <col min="13825" max="13825" width="3.625" style="123" customWidth="1"/>
    <col min="13826" max="13826" width="22.75" style="123" customWidth="1"/>
    <col min="13827" max="13833" width="16.375" style="123" customWidth="1"/>
    <col min="13834" max="13837" width="14.625" style="123" customWidth="1"/>
    <col min="13838" max="14080" width="9" style="123"/>
    <col min="14081" max="14081" width="3.625" style="123" customWidth="1"/>
    <col min="14082" max="14082" width="22.75" style="123" customWidth="1"/>
    <col min="14083" max="14089" width="16.375" style="123" customWidth="1"/>
    <col min="14090" max="14093" width="14.625" style="123" customWidth="1"/>
    <col min="14094" max="14336" width="9" style="123"/>
    <col min="14337" max="14337" width="3.625" style="123" customWidth="1"/>
    <col min="14338" max="14338" width="22.75" style="123" customWidth="1"/>
    <col min="14339" max="14345" width="16.375" style="123" customWidth="1"/>
    <col min="14346" max="14349" width="14.625" style="123" customWidth="1"/>
    <col min="14350" max="14592" width="9" style="123"/>
    <col min="14593" max="14593" width="3.625" style="123" customWidth="1"/>
    <col min="14594" max="14594" width="22.75" style="123" customWidth="1"/>
    <col min="14595" max="14601" width="16.375" style="123" customWidth="1"/>
    <col min="14602" max="14605" width="14.625" style="123" customWidth="1"/>
    <col min="14606" max="14848" width="9" style="123"/>
    <col min="14849" max="14849" width="3.625" style="123" customWidth="1"/>
    <col min="14850" max="14850" width="22.75" style="123" customWidth="1"/>
    <col min="14851" max="14857" width="16.375" style="123" customWidth="1"/>
    <col min="14858" max="14861" width="14.625" style="123" customWidth="1"/>
    <col min="14862" max="15104" width="9" style="123"/>
    <col min="15105" max="15105" width="3.625" style="123" customWidth="1"/>
    <col min="15106" max="15106" width="22.75" style="123" customWidth="1"/>
    <col min="15107" max="15113" width="16.375" style="123" customWidth="1"/>
    <col min="15114" max="15117" width="14.625" style="123" customWidth="1"/>
    <col min="15118" max="15360" width="9" style="123"/>
    <col min="15361" max="15361" width="3.625" style="123" customWidth="1"/>
    <col min="15362" max="15362" width="22.75" style="123" customWidth="1"/>
    <col min="15363" max="15369" width="16.375" style="123" customWidth="1"/>
    <col min="15370" max="15373" width="14.625" style="123" customWidth="1"/>
    <col min="15374" max="15616" width="9" style="123"/>
    <col min="15617" max="15617" width="3.625" style="123" customWidth="1"/>
    <col min="15618" max="15618" width="22.75" style="123" customWidth="1"/>
    <col min="15619" max="15625" width="16.375" style="123" customWidth="1"/>
    <col min="15626" max="15629" width="14.625" style="123" customWidth="1"/>
    <col min="15630" max="15872" width="9" style="123"/>
    <col min="15873" max="15873" width="3.625" style="123" customWidth="1"/>
    <col min="15874" max="15874" width="22.75" style="123" customWidth="1"/>
    <col min="15875" max="15881" width="16.375" style="123" customWidth="1"/>
    <col min="15882" max="15885" width="14.625" style="123" customWidth="1"/>
    <col min="15886" max="16128" width="9" style="123"/>
    <col min="16129" max="16129" width="3.625" style="123" customWidth="1"/>
    <col min="16130" max="16130" width="22.75" style="123" customWidth="1"/>
    <col min="16131" max="16137" width="16.375" style="123" customWidth="1"/>
    <col min="16138" max="16141" width="14.625" style="123" customWidth="1"/>
    <col min="16142" max="16384" width="9" style="123"/>
  </cols>
  <sheetData>
    <row r="6" spans="2:8" ht="14.25" customHeight="1" x14ac:dyDescent="0.3">
      <c r="B6" s="121" t="s">
        <v>110</v>
      </c>
      <c r="C6" s="122" t="s">
        <v>111</v>
      </c>
    </row>
    <row r="8" spans="2:8" ht="14.25" customHeight="1" x14ac:dyDescent="0.3">
      <c r="B8" s="123" t="s">
        <v>112</v>
      </c>
    </row>
    <row r="10" spans="2:8" s="126" customFormat="1" ht="14.25" customHeight="1" x14ac:dyDescent="0.3">
      <c r="B10" s="124" t="s">
        <v>314</v>
      </c>
      <c r="C10" s="125" t="s">
        <v>185</v>
      </c>
      <c r="D10" s="125" t="s">
        <v>114</v>
      </c>
      <c r="E10" s="125" t="s">
        <v>115</v>
      </c>
      <c r="F10" s="125" t="s">
        <v>116</v>
      </c>
      <c r="G10" s="125" t="s">
        <v>186</v>
      </c>
    </row>
    <row r="11" spans="2:8" ht="14.25" customHeight="1" x14ac:dyDescent="0.3">
      <c r="B11" s="123" t="s">
        <v>315</v>
      </c>
      <c r="C11" s="127">
        <f>'[2]1-1.2019년 1분기연령'!AH20+'[2]1-1.2019년 1분기연령'!AH21</f>
        <v>4262134795</v>
      </c>
      <c r="D11" s="127">
        <f>'[2]1-1.2019년 1분기연령'!AB20+'[2]1-1.2019년 1분기연령'!AB21</f>
        <v>3175992875</v>
      </c>
      <c r="E11" s="127">
        <f>'[2]1-1.2019년 1분기연령'!V20+'[2]1-1.2019년 1분기연령'!V21</f>
        <v>3349494329</v>
      </c>
      <c r="F11" s="127">
        <f>'[2]1-1.2019년 1분기연령'!P20+'[2]1-1.2019년 1분기연령'!P21</f>
        <v>2566091140</v>
      </c>
      <c r="G11" s="127">
        <f>'[2]1-1.2019년 1분기연령'!J20+'[2]1-1.2019년 1분기연령'!J21</f>
        <v>2572893019</v>
      </c>
    </row>
    <row r="12" spans="2:8" ht="14.25" customHeight="1" x14ac:dyDescent="0.3">
      <c r="B12" s="123" t="s">
        <v>316</v>
      </c>
      <c r="C12" s="127">
        <f>'[2]1-1.2019년 1분기연령'!AH22+'[2]1-1.2019년 1분기연령'!AH23</f>
        <v>308934960</v>
      </c>
      <c r="D12" s="127">
        <f>'[2]1-1.2019년 1분기연령'!AB22+'[2]1-1.2019년 1분기연령'!AB23</f>
        <v>0</v>
      </c>
      <c r="E12" s="127">
        <f>'[2]1-1.2019년 1분기연령'!V22+'[2]1-1.2019년 1분기연령'!V23</f>
        <v>0</v>
      </c>
      <c r="F12" s="127">
        <f>'[2]1-1.2019년 1분기연령'!P22+'[2]1-1.2019년 1분기연령'!P23</f>
        <v>22776400</v>
      </c>
      <c r="G12" s="127">
        <f>'[2]1-1.2019년 1분기연령'!J22+'[2]1-1.2019년 1분기연령'!J23</f>
        <v>32294128</v>
      </c>
    </row>
    <row r="13" spans="2:8" ht="14.25" customHeight="1" x14ac:dyDescent="0.3">
      <c r="B13" s="123" t="s">
        <v>317</v>
      </c>
      <c r="C13" s="127">
        <f>'[2]1-1.2019년 1분기연령'!AH24</f>
        <v>3228130</v>
      </c>
      <c r="D13" s="127">
        <f>'[2]1-1.2019년 1분기연령'!AB24</f>
        <v>300000000</v>
      </c>
      <c r="E13" s="127">
        <f>'[2]1-1.2019년 1분기연령'!V24</f>
        <v>300000000</v>
      </c>
      <c r="F13" s="127">
        <f>'[2]1-1.2019년 1분기연령'!P24</f>
        <v>300000000</v>
      </c>
      <c r="G13" s="127">
        <f>'[2]1-1.2019년 1분기연령'!J24</f>
        <v>322776400</v>
      </c>
    </row>
    <row r="15" spans="2:8" ht="14.25" customHeight="1" x14ac:dyDescent="0.3">
      <c r="B15" s="123" t="s">
        <v>122</v>
      </c>
      <c r="D15" s="128">
        <v>1.7184369155739999E-2</v>
      </c>
      <c r="E15" s="128">
        <v>3.0966874343377939E-2</v>
      </c>
      <c r="F15" s="128">
        <v>9.1176613469777235E-3</v>
      </c>
      <c r="G15" s="128">
        <v>1.6658909776226846E-2</v>
      </c>
      <c r="H15" s="129">
        <f>AVERAGE(D15:G15)</f>
        <v>1.8481953655580627E-2</v>
      </c>
    </row>
    <row r="16" spans="2:8" ht="14.25" customHeight="1" x14ac:dyDescent="0.3">
      <c r="D16" s="128"/>
      <c r="E16" s="128"/>
      <c r="F16" s="128"/>
      <c r="G16" s="128"/>
    </row>
    <row r="17" spans="2:13" ht="14.25" customHeight="1" x14ac:dyDescent="0.3">
      <c r="B17" s="123" t="s">
        <v>123</v>
      </c>
    </row>
    <row r="19" spans="2:13" ht="14.25" customHeight="1" x14ac:dyDescent="0.3">
      <c r="B19" s="124" t="s">
        <v>314</v>
      </c>
      <c r="C19" s="125" t="s">
        <v>185</v>
      </c>
      <c r="D19" s="125" t="s">
        <v>114</v>
      </c>
      <c r="E19" s="125" t="s">
        <v>115</v>
      </c>
      <c r="F19" s="125" t="s">
        <v>116</v>
      </c>
      <c r="G19" s="125" t="s">
        <v>318</v>
      </c>
    </row>
    <row r="20" spans="2:13" ht="14.25" customHeight="1" x14ac:dyDescent="0.3">
      <c r="B20" s="123" t="s">
        <v>125</v>
      </c>
      <c r="C20" s="127">
        <f>'[2]1-1.2019년 1분기연령'!AH36+'[2]1-1.2019년 1분기연령'!AH37</f>
        <v>9199198621</v>
      </c>
      <c r="D20" s="127">
        <f>'[2]1-1.2019년 1분기연령'!AB36+'[2]1-1.2019년 1분기연령'!AB37</f>
        <v>9508196499</v>
      </c>
      <c r="E20" s="127">
        <f>'[2]1-1.2019년 1분기연령'!V36+'[2]1-1.2019년 1분기연령'!V37</f>
        <v>10718132218</v>
      </c>
      <c r="F20" s="127">
        <f>'[2]1-1.2019년 1분기연령'!P36+'[2]1-1.2019년 1분기연령'!P37</f>
        <v>6773848908</v>
      </c>
      <c r="G20" s="127">
        <f>'[2]1-1.2019년 1분기연령'!J36+'[2]1-1.2019년 1분기연령'!J37</f>
        <v>7724899078</v>
      </c>
    </row>
    <row r="21" spans="2:13" ht="14.25" customHeight="1" x14ac:dyDescent="0.3">
      <c r="B21" s="123" t="s">
        <v>126</v>
      </c>
      <c r="C21" s="127">
        <f>'[2]1-1.2019년 1분기연령'!AH38+'[2]1-1.2019년 1분기연령'!AH39</f>
        <v>90516329</v>
      </c>
      <c r="D21" s="127">
        <f>'[2]1-1.2019년 1분기연령'!AB38+'[2]1-1.2019년 1분기연령'!AB39</f>
        <v>0</v>
      </c>
      <c r="E21" s="127">
        <f>'[2]1-1.2019년 1분기연령'!V38+'[2]1-1.2019년 1분기연령'!V39</f>
        <v>0</v>
      </c>
      <c r="F21" s="127">
        <f>'[2]1-1.2019년 1분기연령'!P38+'[2]1-1.2019년 1분기연령'!P39</f>
        <v>32198537</v>
      </c>
      <c r="G21" s="127">
        <f>'[2]1-1.2019년 1분기연령'!J38+'[2]1-1.2019년 1분기연령'!J39</f>
        <v>37320825</v>
      </c>
    </row>
    <row r="22" spans="2:13" ht="14.25" customHeight="1" x14ac:dyDescent="0.3">
      <c r="B22" s="123" t="s">
        <v>127</v>
      </c>
      <c r="C22" s="127">
        <f>'[2]1-1.2019년 1분기연령'!AH40</f>
        <v>0</v>
      </c>
      <c r="D22" s="127">
        <f>'[2]1-1.2019년 1분기연령'!AB40</f>
        <v>96511224</v>
      </c>
      <c r="E22" s="127">
        <f>'[2]1-1.2019년 1분기연령'!V40</f>
        <v>99516905</v>
      </c>
      <c r="F22" s="127">
        <f>'[2]1-1.2019년 1분기연령'!P40</f>
        <v>99516905</v>
      </c>
      <c r="G22" s="127">
        <f>'[2]1-1.2019년 1분기연령'!J40</f>
        <v>99516905</v>
      </c>
    </row>
    <row r="24" spans="2:13" ht="14.25" customHeight="1" x14ac:dyDescent="0.3">
      <c r="B24" s="123" t="s">
        <v>122</v>
      </c>
      <c r="D24" s="128">
        <v>1.6613525921200044E-2</v>
      </c>
      <c r="E24" s="128">
        <v>1.7537045930851008E-2</v>
      </c>
      <c r="F24" s="128">
        <v>1.1497616946846729E-3</v>
      </c>
      <c r="G24" s="128">
        <v>1.1216016299012881E-2</v>
      </c>
      <c r="H24" s="129">
        <f>AVERAGE(D24:G24)</f>
        <v>1.162908746143715E-2</v>
      </c>
    </row>
    <row r="25" spans="2:13" ht="14.25" customHeight="1" x14ac:dyDescent="0.3">
      <c r="D25" s="128"/>
      <c r="E25" s="128"/>
      <c r="F25" s="128"/>
      <c r="G25" s="128"/>
    </row>
    <row r="28" spans="2:13" ht="14.25" customHeight="1" x14ac:dyDescent="0.3">
      <c r="B28" s="121" t="s">
        <v>128</v>
      </c>
      <c r="C28" s="122" t="s">
        <v>129</v>
      </c>
    </row>
    <row r="30" spans="2:13" ht="14.25" customHeight="1" x14ac:dyDescent="0.3">
      <c r="B30" s="130" t="s">
        <v>113</v>
      </c>
      <c r="C30" s="130" t="s">
        <v>319</v>
      </c>
      <c r="D30" s="130" t="s">
        <v>131</v>
      </c>
      <c r="E30" s="130" t="s">
        <v>320</v>
      </c>
      <c r="F30" s="169" t="s">
        <v>85</v>
      </c>
      <c r="G30" s="169"/>
      <c r="H30" s="169"/>
      <c r="I30" s="169"/>
      <c r="K30" s="131" t="s">
        <v>83</v>
      </c>
      <c r="L30" s="131" t="s">
        <v>84</v>
      </c>
      <c r="M30" s="131" t="s">
        <v>78</v>
      </c>
    </row>
    <row r="31" spans="2:13" ht="14.25" customHeight="1" x14ac:dyDescent="0.3">
      <c r="B31" s="123" t="s">
        <v>315</v>
      </c>
      <c r="C31" s="132">
        <f>+'[2]4-1.2019년 4분기연령'!D20+'[2]4-1.2019년 4분기연령'!D21</f>
        <v>2409056127</v>
      </c>
      <c r="D31" s="133">
        <f>H15</f>
        <v>1.8481953655580627E-2</v>
      </c>
      <c r="E31" s="132">
        <f>C31*D31</f>
        <v>44524063.692906559</v>
      </c>
      <c r="F31" s="123" t="s">
        <v>86</v>
      </c>
      <c r="G31" s="132">
        <v>27256788</v>
      </c>
      <c r="H31" s="123" t="s">
        <v>87</v>
      </c>
      <c r="I31" s="132">
        <v>49060000</v>
      </c>
      <c r="K31" s="134" t="s">
        <v>233</v>
      </c>
      <c r="L31" s="135">
        <f>ROUND(SUM(E31:E33,E36:E38,G31:G33,G36,I31:I33),0)</f>
        <v>1168728889</v>
      </c>
      <c r="M31" s="135">
        <v>1199530327.8070998</v>
      </c>
    </row>
    <row r="32" spans="2:13" ht="14.25" customHeight="1" x14ac:dyDescent="0.3">
      <c r="B32" s="123" t="s">
        <v>120</v>
      </c>
      <c r="C32" s="132">
        <f>+'[2]4-1.2019년 4분기연령'!D22+'[2]4-1.2019년 4분기연령'!D23</f>
        <v>0</v>
      </c>
      <c r="D32" s="133">
        <v>1</v>
      </c>
      <c r="E32" s="132">
        <f>C32*D32</f>
        <v>0</v>
      </c>
      <c r="F32" s="123" t="s">
        <v>88</v>
      </c>
      <c r="G32" s="132">
        <v>3228130</v>
      </c>
      <c r="H32" s="123" t="s">
        <v>89</v>
      </c>
      <c r="I32" s="132">
        <v>12000000</v>
      </c>
      <c r="K32" s="134" t="s">
        <v>79</v>
      </c>
      <c r="L32" s="135">
        <v>1170932564.2797999</v>
      </c>
      <c r="M32" s="135">
        <v>1307161633.9134998</v>
      </c>
    </row>
    <row r="33" spans="2:13" ht="14.25" customHeight="1" x14ac:dyDescent="0.3">
      <c r="B33" s="123" t="s">
        <v>121</v>
      </c>
      <c r="C33" s="132">
        <f>+'[2]4-1.2019년 4분기연령'!D24</f>
        <v>322776400</v>
      </c>
      <c r="D33" s="133">
        <v>1</v>
      </c>
      <c r="E33" s="132">
        <f>C33*D33</f>
        <v>322776400</v>
      </c>
      <c r="G33" s="132"/>
      <c r="H33" s="123" t="s">
        <v>199</v>
      </c>
      <c r="I33" s="132">
        <v>466237044</v>
      </c>
      <c r="K33" s="134"/>
      <c r="L33" s="135"/>
      <c r="M33" s="135"/>
    </row>
    <row r="34" spans="2:13" ht="14.25" customHeight="1" x14ac:dyDescent="0.3">
      <c r="K34" s="134" t="s">
        <v>82</v>
      </c>
      <c r="L34" s="136">
        <f>L31-L32+L33</f>
        <v>-2203675.2797999382</v>
      </c>
      <c r="M34" s="136">
        <f>M31-M32+M33</f>
        <v>-107631306.10640001</v>
      </c>
    </row>
    <row r="35" spans="2:13" ht="14.25" customHeight="1" x14ac:dyDescent="0.3">
      <c r="B35" s="130" t="s">
        <v>321</v>
      </c>
      <c r="C35" s="130" t="s">
        <v>141</v>
      </c>
      <c r="D35" s="130" t="s">
        <v>322</v>
      </c>
      <c r="E35" s="130" t="s">
        <v>132</v>
      </c>
    </row>
    <row r="36" spans="2:13" ht="14.25" customHeight="1" x14ac:dyDescent="0.3">
      <c r="B36" s="123" t="s">
        <v>119</v>
      </c>
      <c r="C36" s="127">
        <f>+'[2]4-1.2019년 4분기연령'!D36+'[2]4-1.2019년 4분기연령'!D37</f>
        <v>7824418315</v>
      </c>
      <c r="D36" s="133">
        <f>H24</f>
        <v>1.162908746143715E-2</v>
      </c>
      <c r="E36" s="132">
        <f>C36*D36</f>
        <v>90990844.920005694</v>
      </c>
      <c r="F36" s="123" t="s">
        <v>90</v>
      </c>
      <c r="G36" s="132">
        <v>27647453</v>
      </c>
    </row>
    <row r="37" spans="2:13" ht="14.25" customHeight="1" x14ac:dyDescent="0.3">
      <c r="B37" s="123" t="s">
        <v>120</v>
      </c>
      <c r="C37" s="127">
        <f>+'[2]4-1.2019년 4분기연령'!D38+'[2]4-1.2019년 4분기연령'!D39</f>
        <v>20193132</v>
      </c>
      <c r="D37" s="133">
        <v>1</v>
      </c>
      <c r="E37" s="132">
        <f>C37*D37</f>
        <v>20193132</v>
      </c>
    </row>
    <row r="38" spans="2:13" ht="14.25" customHeight="1" x14ac:dyDescent="0.3">
      <c r="B38" s="123" t="s">
        <v>323</v>
      </c>
      <c r="C38" s="127">
        <f>+'[2]4-1.2019년 4분기연령'!D40</f>
        <v>104815033</v>
      </c>
      <c r="D38" s="133">
        <v>1</v>
      </c>
      <c r="E38" s="132">
        <f>C38*D38</f>
        <v>104815033</v>
      </c>
    </row>
    <row r="44" spans="2:13" ht="14.25" customHeight="1" x14ac:dyDescent="0.3">
      <c r="B44" s="121" t="s">
        <v>143</v>
      </c>
      <c r="C44" s="122" t="s">
        <v>144</v>
      </c>
    </row>
    <row r="46" spans="2:13" ht="14.25" customHeight="1" x14ac:dyDescent="0.3">
      <c r="B46" s="122" t="s">
        <v>145</v>
      </c>
      <c r="C46" s="123" t="s">
        <v>146</v>
      </c>
      <c r="D46" s="132">
        <v>1000</v>
      </c>
    </row>
    <row r="47" spans="2:13" ht="14.25" customHeight="1" x14ac:dyDescent="0.3">
      <c r="C47" s="123" t="s">
        <v>147</v>
      </c>
    </row>
    <row r="48" spans="2:13" ht="14.25" customHeight="1" x14ac:dyDescent="0.3">
      <c r="C48" s="123" t="s">
        <v>324</v>
      </c>
      <c r="D48" s="137">
        <v>1000</v>
      </c>
    </row>
    <row r="51" spans="2:6" s="139" customFormat="1" ht="14.25" customHeight="1" x14ac:dyDescent="0.3">
      <c r="B51" s="122" t="s">
        <v>325</v>
      </c>
      <c r="C51" s="138" t="s">
        <v>326</v>
      </c>
      <c r="D51" s="138" t="s">
        <v>146</v>
      </c>
      <c r="E51" s="138" t="s">
        <v>152</v>
      </c>
      <c r="F51" s="138" t="s">
        <v>153</v>
      </c>
    </row>
    <row r="52" spans="2:6" ht="14.25" customHeight="1" x14ac:dyDescent="0.3">
      <c r="C52" s="123" t="s">
        <v>216</v>
      </c>
      <c r="D52" s="132">
        <v>1000</v>
      </c>
    </row>
    <row r="53" spans="2:6" ht="14.25" customHeight="1" x14ac:dyDescent="0.3">
      <c r="C53" s="123" t="s">
        <v>217</v>
      </c>
      <c r="D53" s="132">
        <v>1000</v>
      </c>
    </row>
    <row r="54" spans="2:6" ht="14.25" customHeight="1" x14ac:dyDescent="0.3">
      <c r="C54" s="123" t="s">
        <v>154</v>
      </c>
      <c r="D54" s="132">
        <v>1000</v>
      </c>
    </row>
    <row r="55" spans="2:6" ht="14.25" customHeight="1" x14ac:dyDescent="0.3">
      <c r="C55" s="123" t="s">
        <v>155</v>
      </c>
      <c r="D55" s="132">
        <v>1000</v>
      </c>
    </row>
    <row r="56" spans="2:6" ht="14.25" customHeight="1" x14ac:dyDescent="0.3">
      <c r="C56" s="123" t="s">
        <v>156</v>
      </c>
      <c r="D56" s="132">
        <v>1000</v>
      </c>
    </row>
    <row r="57" spans="2:6" ht="14.25" customHeight="1" x14ac:dyDescent="0.3">
      <c r="C57" s="123" t="s">
        <v>157</v>
      </c>
      <c r="D57" s="132">
        <v>1000</v>
      </c>
    </row>
    <row r="58" spans="2:6" ht="14.25" customHeight="1" x14ac:dyDescent="0.3">
      <c r="C58" s="123" t="s">
        <v>158</v>
      </c>
      <c r="D58" s="132">
        <v>1000</v>
      </c>
    </row>
    <row r="59" spans="2:6" ht="14.25" customHeight="1" x14ac:dyDescent="0.3">
      <c r="C59" s="123" t="s">
        <v>159</v>
      </c>
      <c r="D59" s="132">
        <v>1000</v>
      </c>
    </row>
    <row r="60" spans="2:6" ht="14.25" customHeight="1" x14ac:dyDescent="0.3">
      <c r="C60" s="123" t="s">
        <v>160</v>
      </c>
      <c r="D60" s="132">
        <v>1000</v>
      </c>
    </row>
    <row r="61" spans="2:6" ht="14.25" customHeight="1" x14ac:dyDescent="0.3">
      <c r="C61" s="123" t="s">
        <v>161</v>
      </c>
      <c r="D61" s="140">
        <v>1000</v>
      </c>
      <c r="E61" s="141"/>
      <c r="F61" s="141"/>
    </row>
    <row r="62" spans="2:6" ht="14.25" customHeight="1" thickBot="1" x14ac:dyDescent="0.35">
      <c r="C62" s="142" t="s">
        <v>164</v>
      </c>
      <c r="D62" s="143">
        <f>SUM(D52:D61)</f>
        <v>10000</v>
      </c>
      <c r="E62" s="142"/>
      <c r="F62" s="144">
        <f>E62/D62</f>
        <v>0</v>
      </c>
    </row>
    <row r="63" spans="2:6" ht="14.25" customHeight="1" thickTop="1" x14ac:dyDescent="0.3">
      <c r="C63" s="145"/>
      <c r="D63" s="145"/>
    </row>
    <row r="64" spans="2:6" ht="14.25" customHeight="1" x14ac:dyDescent="0.3">
      <c r="B64" s="122" t="s">
        <v>327</v>
      </c>
      <c r="C64" s="123" t="s">
        <v>166</v>
      </c>
    </row>
    <row r="65" spans="2:7" ht="14.25" customHeight="1" x14ac:dyDescent="0.3">
      <c r="C65" s="123" t="s">
        <v>167</v>
      </c>
      <c r="D65" s="123">
        <v>0</v>
      </c>
    </row>
    <row r="66" spans="2:7" ht="14.25" customHeight="1" x14ac:dyDescent="0.3">
      <c r="C66" s="141" t="s">
        <v>328</v>
      </c>
      <c r="D66" s="146">
        <v>0</v>
      </c>
    </row>
    <row r="68" spans="2:7" ht="14.25" customHeight="1" x14ac:dyDescent="0.3">
      <c r="B68" s="122" t="s">
        <v>169</v>
      </c>
      <c r="C68" s="138" t="s">
        <v>329</v>
      </c>
      <c r="D68" s="138" t="s">
        <v>171</v>
      </c>
      <c r="E68" s="138" t="s">
        <v>172</v>
      </c>
      <c r="F68" s="138" t="s">
        <v>173</v>
      </c>
      <c r="G68" s="138" t="s">
        <v>174</v>
      </c>
    </row>
    <row r="72" spans="2:7" ht="14.25" customHeight="1" x14ac:dyDescent="0.3">
      <c r="C72" s="141"/>
      <c r="D72" s="141"/>
      <c r="E72" s="141"/>
      <c r="F72" s="141"/>
      <c r="G72" s="141"/>
    </row>
    <row r="73" spans="2:7" ht="14.25" customHeight="1" thickBot="1" x14ac:dyDescent="0.35">
      <c r="C73" s="142"/>
      <c r="D73" s="142"/>
      <c r="E73" s="142"/>
      <c r="F73" s="142"/>
      <c r="G73" s="144">
        <f>1-F73</f>
        <v>1</v>
      </c>
    </row>
    <row r="74" spans="2:7" ht="14.25" customHeight="1" thickTop="1" x14ac:dyDescent="0.3"/>
    <row r="77" spans="2:7" ht="14.25" customHeight="1" x14ac:dyDescent="0.3">
      <c r="B77" s="122" t="s">
        <v>175</v>
      </c>
      <c r="C77" s="138" t="s">
        <v>330</v>
      </c>
      <c r="D77" s="138" t="s">
        <v>331</v>
      </c>
    </row>
    <row r="78" spans="2:7" ht="14.25" customHeight="1" x14ac:dyDescent="0.3">
      <c r="C78" s="123" t="s">
        <v>146</v>
      </c>
      <c r="D78" s="127">
        <f>D48</f>
        <v>1000</v>
      </c>
    </row>
    <row r="79" spans="2:7" ht="14.25" customHeight="1" x14ac:dyDescent="0.3">
      <c r="C79" s="123" t="s">
        <v>178</v>
      </c>
      <c r="D79" s="147">
        <f>F62</f>
        <v>0</v>
      </c>
    </row>
    <row r="80" spans="2:7" ht="14.25" customHeight="1" x14ac:dyDescent="0.3">
      <c r="C80" s="123" t="s">
        <v>179</v>
      </c>
      <c r="D80" s="132">
        <f>ROUND(D78*D79,0)</f>
        <v>0</v>
      </c>
    </row>
    <row r="81" spans="3:4" ht="14.25" customHeight="1" x14ac:dyDescent="0.3">
      <c r="C81" s="123" t="s">
        <v>180</v>
      </c>
      <c r="D81" s="147">
        <f>1-D66</f>
        <v>1</v>
      </c>
    </row>
    <row r="82" spans="3:4" ht="14.25" customHeight="1" x14ac:dyDescent="0.3">
      <c r="C82" s="123" t="s">
        <v>181</v>
      </c>
      <c r="D82" s="132">
        <f>D80*D81</f>
        <v>0</v>
      </c>
    </row>
    <row r="83" spans="3:4" ht="14.25" customHeight="1" x14ac:dyDescent="0.3">
      <c r="C83" s="123" t="s">
        <v>182</v>
      </c>
      <c r="D83" s="147">
        <f>G73</f>
        <v>1</v>
      </c>
    </row>
    <row r="84" spans="3:4" ht="14.25" customHeight="1" x14ac:dyDescent="0.3">
      <c r="C84" s="141" t="s">
        <v>183</v>
      </c>
      <c r="D84" s="148">
        <f>D82*D83</f>
        <v>0</v>
      </c>
    </row>
  </sheetData>
  <mergeCells count="1">
    <mergeCell ref="F30:I30"/>
  </mergeCells>
  <phoneticPr fontId="3"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2060"/>
  </sheetPr>
  <dimension ref="A2:O70"/>
  <sheetViews>
    <sheetView topLeftCell="A40" zoomScaleNormal="100" workbookViewId="0">
      <selection activeCell="I61" sqref="I61"/>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73</v>
      </c>
      <c r="D11" s="4" t="s">
        <v>74</v>
      </c>
      <c r="E11" s="4" t="s">
        <v>246</v>
      </c>
      <c r="F11" s="4" t="s">
        <v>355</v>
      </c>
      <c r="G11" s="4" t="s">
        <v>362</v>
      </c>
      <c r="H11" s="4" t="s">
        <v>363</v>
      </c>
      <c r="I11" s="4" t="s">
        <v>372</v>
      </c>
      <c r="J11" s="4" t="s">
        <v>379</v>
      </c>
      <c r="K11" s="4" t="s">
        <v>380</v>
      </c>
      <c r="L11" s="73" t="s">
        <v>392</v>
      </c>
      <c r="M11" s="4" t="s">
        <v>396</v>
      </c>
      <c r="N11" s="80" t="s">
        <v>398</v>
      </c>
    </row>
    <row r="12" spans="2:14" x14ac:dyDescent="0.3">
      <c r="B12" s="5" t="s">
        <v>27</v>
      </c>
      <c r="C12" s="6">
        <v>1838003129</v>
      </c>
      <c r="D12" s="6">
        <v>2474596079</v>
      </c>
      <c r="E12" s="6">
        <v>2202685666</v>
      </c>
      <c r="F12" s="6">
        <v>2448094402</v>
      </c>
      <c r="G12" s="6">
        <v>2436043383</v>
      </c>
      <c r="H12" s="6">
        <v>2452539804</v>
      </c>
      <c r="I12" s="6">
        <v>1715641447</v>
      </c>
      <c r="J12" s="6">
        <v>1962667876</v>
      </c>
      <c r="K12" s="6">
        <v>1587555486</v>
      </c>
      <c r="L12" s="74">
        <v>1852826474</v>
      </c>
      <c r="M12" s="6">
        <v>1553973714</v>
      </c>
      <c r="N12" s="81">
        <v>1245802334</v>
      </c>
    </row>
    <row r="13" spans="2:14" x14ac:dyDescent="0.3">
      <c r="B13" s="7" t="s">
        <v>39</v>
      </c>
      <c r="C13" s="6">
        <v>238208478</v>
      </c>
      <c r="D13" s="6">
        <v>167868169</v>
      </c>
      <c r="E13" s="6">
        <v>112476407</v>
      </c>
      <c r="F13" s="6">
        <v>46121428</v>
      </c>
      <c r="G13" s="6">
        <v>45386643</v>
      </c>
      <c r="H13" s="6">
        <v>166622154</v>
      </c>
      <c r="I13" s="6">
        <v>161509038</v>
      </c>
      <c r="J13" s="6">
        <v>102054537</v>
      </c>
      <c r="K13" s="6">
        <v>7902115</v>
      </c>
      <c r="L13" s="74">
        <v>60538016</v>
      </c>
      <c r="M13" s="6">
        <v>107186544</v>
      </c>
      <c r="N13" s="81">
        <v>46551407</v>
      </c>
    </row>
    <row r="14" spans="2:14" x14ac:dyDescent="0.3">
      <c r="B14" s="7" t="s">
        <v>92</v>
      </c>
      <c r="C14" s="6"/>
      <c r="D14" s="6">
        <v>73921998</v>
      </c>
      <c r="E14" s="6"/>
      <c r="F14" s="6">
        <v>1992302</v>
      </c>
      <c r="G14" s="6"/>
      <c r="H14" s="6"/>
      <c r="I14" s="6"/>
      <c r="J14" s="6">
        <v>20356752</v>
      </c>
      <c r="K14" s="6"/>
      <c r="L14" s="74"/>
      <c r="M14" s="6">
        <v>19629500</v>
      </c>
      <c r="N14" s="81"/>
    </row>
    <row r="15" spans="2:14" x14ac:dyDescent="0.3">
      <c r="B15" s="7" t="s">
        <v>30</v>
      </c>
      <c r="C15" s="6"/>
      <c r="D15" s="6"/>
      <c r="E15" s="6">
        <v>63921998</v>
      </c>
      <c r="F15" s="6"/>
      <c r="G15" s="6">
        <v>1992302</v>
      </c>
      <c r="H15" s="6"/>
      <c r="I15" s="6"/>
      <c r="J15" s="6"/>
      <c r="K15" s="6"/>
      <c r="L15" s="74"/>
      <c r="M15" s="6"/>
      <c r="N15" s="81"/>
    </row>
    <row r="16" spans="2:14" x14ac:dyDescent="0.3">
      <c r="B16" s="7" t="s">
        <v>32</v>
      </c>
      <c r="C16" s="6"/>
      <c r="D16" s="6"/>
      <c r="E16" s="6"/>
      <c r="F16" s="6">
        <v>61921998</v>
      </c>
      <c r="G16" s="6"/>
      <c r="H16" s="6">
        <v>204802</v>
      </c>
      <c r="I16" s="6"/>
      <c r="J16" s="6"/>
      <c r="K16" s="6"/>
      <c r="L16" s="74"/>
      <c r="M16" s="6"/>
      <c r="N16" s="81"/>
    </row>
    <row r="17" spans="2:15" x14ac:dyDescent="0.3">
      <c r="B17" s="7" t="s">
        <v>34</v>
      </c>
      <c r="C17" s="6"/>
      <c r="D17" s="6"/>
      <c r="E17" s="6"/>
      <c r="F17" s="6"/>
      <c r="G17" s="6">
        <v>53327600</v>
      </c>
      <c r="H17" s="6"/>
      <c r="I17" s="6">
        <v>204802</v>
      </c>
      <c r="J17" s="6"/>
      <c r="K17" s="6"/>
      <c r="L17" s="74"/>
      <c r="M17" s="6"/>
      <c r="N17" s="81"/>
    </row>
    <row r="18" spans="2:15" ht="14.25" thickBot="1" x14ac:dyDescent="0.35">
      <c r="B18" s="8" t="s">
        <v>93</v>
      </c>
      <c r="C18" s="9">
        <v>414321318</v>
      </c>
      <c r="D18" s="9">
        <v>414321318</v>
      </c>
      <c r="E18" s="9">
        <v>414321318</v>
      </c>
      <c r="F18" s="9">
        <v>414321318</v>
      </c>
      <c r="G18" s="9">
        <v>414321318</v>
      </c>
      <c r="H18" s="9">
        <v>467648918</v>
      </c>
      <c r="I18" s="9">
        <v>414321318</v>
      </c>
      <c r="J18" s="9">
        <v>114526120</v>
      </c>
      <c r="K18" s="9">
        <v>114526120</v>
      </c>
      <c r="L18" s="75">
        <v>114526120</v>
      </c>
      <c r="M18" s="9">
        <v>114526120</v>
      </c>
      <c r="N18" s="82">
        <v>114526120</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9.1331818945994847E-2</v>
      </c>
      <c r="D21" s="11">
        <f>IF(IFERROR(E13/D12,0)&gt;1,1,IFERROR(E13/D12,0))</f>
        <v>4.5452430784361557E-2</v>
      </c>
      <c r="E21" s="11">
        <f t="shared" ref="E21:M21" si="0">IF(IFERROR(F13/E12,0)&gt;1,1,IFERROR(F13/E12,0))</f>
        <v>2.0938724354508057E-2</v>
      </c>
      <c r="F21" s="11">
        <f t="shared" si="0"/>
        <v>1.8539580402994606E-2</v>
      </c>
      <c r="G21" s="11">
        <f t="shared" si="0"/>
        <v>6.8398680894920669E-2</v>
      </c>
      <c r="H21" s="11">
        <f t="shared" si="0"/>
        <v>6.585378868737822E-2</v>
      </c>
      <c r="I21" s="11">
        <f t="shared" si="0"/>
        <v>5.9484770071540481E-2</v>
      </c>
      <c r="J21" s="11">
        <f t="shared" si="0"/>
        <v>4.02621100423004E-3</v>
      </c>
      <c r="K21" s="11">
        <f t="shared" si="0"/>
        <v>3.8132850494902323E-2</v>
      </c>
      <c r="L21" s="11">
        <f t="shared" si="0"/>
        <v>5.7850287387463138E-2</v>
      </c>
      <c r="M21" s="83">
        <f t="shared" si="0"/>
        <v>2.9956367074044341E-2</v>
      </c>
      <c r="N21" s="84">
        <f>AVERAGE(C21:M21)</f>
        <v>4.5451410009303479E-2</v>
      </c>
      <c r="O21" s="174" t="s">
        <v>58</v>
      </c>
    </row>
    <row r="22" spans="2:15" x14ac:dyDescent="0.3">
      <c r="B22" s="13" t="s">
        <v>61</v>
      </c>
      <c r="C22" s="14">
        <f>IF(IFERROR(D14/C13,0)&gt;1,1,IFERROR(D14/C13,0))</f>
        <v>0.31032479876723784</v>
      </c>
      <c r="D22" s="14">
        <f t="shared" ref="D22:M22" si="1">IF(IFERROR(E14/D13,0)&gt;1,1,IFERROR(E14/D13,0))</f>
        <v>0</v>
      </c>
      <c r="E22" s="14">
        <f t="shared" si="1"/>
        <v>1.7713065816549422E-2</v>
      </c>
      <c r="F22" s="14">
        <f t="shared" si="1"/>
        <v>0</v>
      </c>
      <c r="G22" s="14">
        <f t="shared" si="1"/>
        <v>0</v>
      </c>
      <c r="H22" s="14">
        <f t="shared" si="1"/>
        <v>0</v>
      </c>
      <c r="I22" s="14">
        <f t="shared" si="1"/>
        <v>0.12604094638963795</v>
      </c>
      <c r="J22" s="14">
        <f t="shared" si="1"/>
        <v>0</v>
      </c>
      <c r="K22" s="14">
        <f t="shared" si="1"/>
        <v>0</v>
      </c>
      <c r="L22" s="14">
        <f t="shared" si="1"/>
        <v>0.32425079804399271</v>
      </c>
      <c r="M22" s="85">
        <f t="shared" si="1"/>
        <v>0</v>
      </c>
      <c r="N22" s="86">
        <f t="shared" ref="N22:N25" si="2">AVERAGE(C22:M22)</f>
        <v>7.0757237183401628E-2</v>
      </c>
      <c r="O22" s="174"/>
    </row>
    <row r="23" spans="2:15" x14ac:dyDescent="0.3">
      <c r="B23" s="13" t="s">
        <v>62</v>
      </c>
      <c r="C23" s="14">
        <f t="shared" ref="C23:M25" si="3">IF(IFERROR(D15/C14,0)&gt;1,1,IFERROR(D15/C14,0))</f>
        <v>0</v>
      </c>
      <c r="D23" s="14">
        <f t="shared" si="3"/>
        <v>0.86472227117021372</v>
      </c>
      <c r="E23" s="14">
        <f t="shared" si="3"/>
        <v>0</v>
      </c>
      <c r="F23" s="14">
        <f t="shared" si="3"/>
        <v>1</v>
      </c>
      <c r="G23" s="14">
        <f t="shared" si="3"/>
        <v>0</v>
      </c>
      <c r="H23" s="14">
        <f t="shared" si="3"/>
        <v>0</v>
      </c>
      <c r="I23" s="14">
        <f t="shared" si="3"/>
        <v>0</v>
      </c>
      <c r="J23" s="14">
        <f t="shared" si="3"/>
        <v>0</v>
      </c>
      <c r="K23" s="14">
        <f t="shared" si="3"/>
        <v>0</v>
      </c>
      <c r="L23" s="14">
        <f t="shared" si="3"/>
        <v>0</v>
      </c>
      <c r="M23" s="85">
        <f t="shared" si="3"/>
        <v>0</v>
      </c>
      <c r="N23" s="86">
        <f t="shared" si="2"/>
        <v>0.16952020647001945</v>
      </c>
      <c r="O23" s="174"/>
    </row>
    <row r="24" spans="2:15" x14ac:dyDescent="0.3">
      <c r="B24" s="13" t="s">
        <v>63</v>
      </c>
      <c r="C24" s="14">
        <f t="shared" si="3"/>
        <v>0</v>
      </c>
      <c r="D24" s="14">
        <f t="shared" si="3"/>
        <v>0</v>
      </c>
      <c r="E24" s="14">
        <f t="shared" si="3"/>
        <v>0.96871186660967634</v>
      </c>
      <c r="F24" s="14">
        <f t="shared" si="3"/>
        <v>0</v>
      </c>
      <c r="G24" s="14">
        <f t="shared" si="3"/>
        <v>0.10279666436112597</v>
      </c>
      <c r="H24" s="14">
        <f t="shared" si="3"/>
        <v>0</v>
      </c>
      <c r="I24" s="14">
        <f t="shared" si="3"/>
        <v>0</v>
      </c>
      <c r="J24" s="14">
        <f t="shared" si="3"/>
        <v>0</v>
      </c>
      <c r="K24" s="14">
        <f t="shared" si="3"/>
        <v>0</v>
      </c>
      <c r="L24" s="14">
        <f t="shared" si="3"/>
        <v>0</v>
      </c>
      <c r="M24" s="87">
        <f t="shared" si="3"/>
        <v>0</v>
      </c>
      <c r="N24" s="86">
        <f t="shared" si="2"/>
        <v>9.7409866451891119E-2</v>
      </c>
      <c r="O24" s="174"/>
    </row>
    <row r="25" spans="2:15" ht="14.25" thickBot="1" x14ac:dyDescent="0.35">
      <c r="B25" s="15" t="s">
        <v>64</v>
      </c>
      <c r="C25" s="16">
        <f t="shared" si="3"/>
        <v>0</v>
      </c>
      <c r="D25" s="16">
        <f t="shared" si="3"/>
        <v>0</v>
      </c>
      <c r="E25" s="16">
        <f t="shared" si="3"/>
        <v>0</v>
      </c>
      <c r="F25" s="16">
        <f t="shared" si="3"/>
        <v>0.86120606121268894</v>
      </c>
      <c r="G25" s="16">
        <f t="shared" si="3"/>
        <v>0</v>
      </c>
      <c r="H25" s="16">
        <f t="shared" si="3"/>
        <v>1</v>
      </c>
      <c r="I25" s="16">
        <f t="shared" si="3"/>
        <v>0</v>
      </c>
      <c r="J25" s="16">
        <f t="shared" si="3"/>
        <v>0</v>
      </c>
      <c r="K25" s="16">
        <f t="shared" si="3"/>
        <v>0</v>
      </c>
      <c r="L25" s="16">
        <f t="shared" si="3"/>
        <v>0</v>
      </c>
      <c r="M25" s="88">
        <f t="shared" si="3"/>
        <v>0</v>
      </c>
      <c r="N25" s="89">
        <f t="shared" si="2"/>
        <v>0.16920055101933534</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397</v>
      </c>
      <c r="D32" s="91" t="s">
        <v>397</v>
      </c>
      <c r="E32" s="92" t="s">
        <v>397</v>
      </c>
      <c r="F32" s="93" t="s">
        <v>397</v>
      </c>
      <c r="G32" s="56" t="s">
        <v>397</v>
      </c>
      <c r="I32" s="108"/>
      <c r="J32" s="108"/>
      <c r="K32" s="108"/>
    </row>
    <row r="33" spans="2:11" x14ac:dyDescent="0.3">
      <c r="B33" s="20" t="s">
        <v>26</v>
      </c>
      <c r="C33" s="94">
        <f t="shared" ref="C33:C39" si="4">N12</f>
        <v>1245802334</v>
      </c>
      <c r="D33" s="50">
        <f>C48</f>
        <v>0</v>
      </c>
      <c r="E33" s="95">
        <f>C33-D33</f>
        <v>1245802334</v>
      </c>
      <c r="F33" s="63">
        <f>PRODUCT(N21:$N$25)</f>
        <v>8.9855449514415311E-6</v>
      </c>
      <c r="G33" s="57">
        <f>ROUND(E33*F33,)</f>
        <v>11194</v>
      </c>
      <c r="I33" s="108"/>
      <c r="J33" s="108"/>
      <c r="K33" s="108"/>
    </row>
    <row r="34" spans="2:11" x14ac:dyDescent="0.3">
      <c r="B34" s="22" t="s">
        <v>38</v>
      </c>
      <c r="C34" s="96">
        <f t="shared" si="4"/>
        <v>46551407</v>
      </c>
      <c r="D34" s="52">
        <f t="shared" ref="D34:D39" si="5">C49</f>
        <v>0</v>
      </c>
      <c r="E34" s="97">
        <f t="shared" ref="E34:E39" si="6">C34-D34</f>
        <v>46551407</v>
      </c>
      <c r="F34" s="64">
        <f>PRODUCT(N22:$N$25)</f>
        <v>1.9769562593552703E-4</v>
      </c>
      <c r="G34" s="58">
        <f t="shared" ref="G34:G37" si="7">ROUND(E34*F34,)</f>
        <v>9203</v>
      </c>
      <c r="I34" s="108"/>
      <c r="J34" s="108"/>
      <c r="K34" s="108"/>
    </row>
    <row r="35" spans="2:11" x14ac:dyDescent="0.3">
      <c r="B35" s="22" t="s">
        <v>28</v>
      </c>
      <c r="C35" s="96">
        <f t="shared" si="4"/>
        <v>0</v>
      </c>
      <c r="D35" s="52">
        <f t="shared" si="5"/>
        <v>0</v>
      </c>
      <c r="E35" s="97">
        <f t="shared" si="6"/>
        <v>0</v>
      </c>
      <c r="F35" s="64">
        <f>PRODUCT(N23:$N$25)</f>
        <v>2.7939986608451531E-3</v>
      </c>
      <c r="G35" s="58">
        <f t="shared" si="7"/>
        <v>0</v>
      </c>
      <c r="I35" s="108"/>
      <c r="J35" s="108"/>
      <c r="K35" s="108"/>
    </row>
    <row r="36" spans="2:11" x14ac:dyDescent="0.3">
      <c r="B36" s="22" t="s">
        <v>29</v>
      </c>
      <c r="C36" s="96">
        <f t="shared" si="4"/>
        <v>0</v>
      </c>
      <c r="D36" s="52">
        <f>C51</f>
        <v>0</v>
      </c>
      <c r="E36" s="97">
        <f t="shared" si="6"/>
        <v>0</v>
      </c>
      <c r="F36" s="64">
        <f>PRODUCT(N24:$N$25)</f>
        <v>1.6481803078379844E-2</v>
      </c>
      <c r="G36" s="58">
        <f t="shared" si="7"/>
        <v>0</v>
      </c>
      <c r="I36" s="108"/>
      <c r="J36" s="108"/>
      <c r="K36" s="108"/>
    </row>
    <row r="37" spans="2:11" ht="14.25" thickBot="1" x14ac:dyDescent="0.35">
      <c r="B37" s="25" t="s">
        <v>31</v>
      </c>
      <c r="C37" s="98">
        <f t="shared" si="4"/>
        <v>0</v>
      </c>
      <c r="D37" s="55">
        <f t="shared" si="5"/>
        <v>0</v>
      </c>
      <c r="E37" s="99">
        <f t="shared" si="6"/>
        <v>0</v>
      </c>
      <c r="F37" s="67">
        <f>PRODUCT(N25:$N$25)</f>
        <v>0.16920055101933534</v>
      </c>
      <c r="G37" s="59">
        <f t="shared" si="7"/>
        <v>0</v>
      </c>
      <c r="I37" s="108"/>
      <c r="J37" s="108"/>
      <c r="K37" s="108"/>
    </row>
    <row r="38" spans="2:11" x14ac:dyDescent="0.3">
      <c r="B38" s="27" t="s">
        <v>33</v>
      </c>
      <c r="C38" s="94">
        <f t="shared" si="4"/>
        <v>0</v>
      </c>
      <c r="D38" s="50">
        <f t="shared" si="5"/>
        <v>0</v>
      </c>
      <c r="E38" s="29">
        <f t="shared" si="6"/>
        <v>0</v>
      </c>
      <c r="F38" s="100">
        <v>1</v>
      </c>
      <c r="G38" s="60">
        <f>ROUND(E38*F38,)</f>
        <v>0</v>
      </c>
      <c r="I38" s="108"/>
      <c r="J38" s="108"/>
      <c r="K38" s="108"/>
    </row>
    <row r="39" spans="2:11" ht="14.25" thickBot="1" x14ac:dyDescent="0.35">
      <c r="B39" s="30" t="s">
        <v>35</v>
      </c>
      <c r="C39" s="98">
        <f t="shared" si="4"/>
        <v>114526120</v>
      </c>
      <c r="D39" s="55">
        <f t="shared" si="5"/>
        <v>114321318</v>
      </c>
      <c r="E39" s="32">
        <f t="shared" si="6"/>
        <v>204802</v>
      </c>
      <c r="F39" s="67">
        <v>1</v>
      </c>
      <c r="G39" s="61">
        <f>ROUND(E39*F39,)</f>
        <v>204802</v>
      </c>
      <c r="I39" s="108"/>
      <c r="J39" s="108"/>
      <c r="K39" s="108"/>
    </row>
    <row r="40" spans="2:11" ht="14.25" thickBot="1" x14ac:dyDescent="0.35">
      <c r="B40" s="30" t="s">
        <v>41</v>
      </c>
      <c r="C40" s="101">
        <f>SUM(C33:C39)</f>
        <v>1406879861</v>
      </c>
      <c r="D40" s="101">
        <f>SUM(D33:D39)</f>
        <v>114321318</v>
      </c>
      <c r="E40" s="102">
        <f>SUM(E33:E39)</f>
        <v>1292558543</v>
      </c>
      <c r="F40" s="67"/>
      <c r="G40" s="61">
        <f>SUM(G33:G39)</f>
        <v>225199</v>
      </c>
      <c r="H40" s="108"/>
      <c r="I40" s="108"/>
      <c r="J40" s="108"/>
      <c r="K40" s="108"/>
    </row>
    <row r="41" spans="2:11" ht="14.25" thickBot="1" x14ac:dyDescent="0.35">
      <c r="B41" s="108"/>
      <c r="E41" s="109"/>
      <c r="F41" s="110"/>
      <c r="G41" s="115"/>
      <c r="H41" s="108"/>
      <c r="I41" s="108"/>
      <c r="J41" s="108"/>
      <c r="K41" s="108"/>
    </row>
    <row r="42" spans="2:11" ht="14.25" thickBot="1" x14ac:dyDescent="0.35">
      <c r="G42" s="33">
        <f>G40</f>
        <v>225199</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17" t="s">
        <v>397</v>
      </c>
      <c r="D47" s="19" t="s">
        <v>397</v>
      </c>
    </row>
    <row r="48" spans="2:11" x14ac:dyDescent="0.3">
      <c r="B48" s="20" t="s">
        <v>26</v>
      </c>
      <c r="C48" s="34">
        <v>0</v>
      </c>
      <c r="D48" s="35">
        <v>0</v>
      </c>
      <c r="F48" s="173" t="s">
        <v>85</v>
      </c>
      <c r="G48" s="173"/>
      <c r="H48" s="173"/>
      <c r="I48" s="173"/>
    </row>
    <row r="49" spans="1:10" x14ac:dyDescent="0.3">
      <c r="B49" s="22" t="s">
        <v>38</v>
      </c>
      <c r="C49" s="36">
        <v>0</v>
      </c>
      <c r="D49" s="37">
        <v>0</v>
      </c>
      <c r="F49" s="104" t="s">
        <v>86</v>
      </c>
      <c r="G49" s="105">
        <v>27256788</v>
      </c>
      <c r="H49" s="104" t="s">
        <v>87</v>
      </c>
      <c r="I49" s="105">
        <v>49060000</v>
      </c>
    </row>
    <row r="50" spans="1:10" x14ac:dyDescent="0.3">
      <c r="B50" s="22" t="s">
        <v>28</v>
      </c>
      <c r="C50" s="36">
        <v>0</v>
      </c>
      <c r="D50" s="37">
        <v>0</v>
      </c>
      <c r="F50" s="104" t="s">
        <v>88</v>
      </c>
      <c r="G50" s="105">
        <v>3228130</v>
      </c>
      <c r="H50" s="104" t="s">
        <v>89</v>
      </c>
      <c r="I50" s="105">
        <v>12000000</v>
      </c>
    </row>
    <row r="51" spans="1:10" x14ac:dyDescent="0.3">
      <c r="B51" s="22" t="s">
        <v>29</v>
      </c>
      <c r="C51" s="36">
        <v>0</v>
      </c>
      <c r="D51" s="37">
        <v>0</v>
      </c>
      <c r="F51" s="104" t="s">
        <v>354</v>
      </c>
      <c r="G51" s="105">
        <v>22776400</v>
      </c>
      <c r="H51" s="106"/>
      <c r="I51" s="105"/>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114321318</v>
      </c>
      <c r="D54" s="41">
        <f>C54</f>
        <v>114321318</v>
      </c>
    </row>
    <row r="55" spans="1:10" ht="14.25" thickBot="1" x14ac:dyDescent="0.35">
      <c r="B55" s="46" t="s">
        <v>11</v>
      </c>
      <c r="C55" s="47">
        <f>SUM(C48:C54)</f>
        <v>114321318</v>
      </c>
      <c r="D55" s="48">
        <f>SUM(D48:D54)</f>
        <v>114321318</v>
      </c>
    </row>
    <row r="56" spans="1:10" ht="14.25" thickBot="1" x14ac:dyDescent="0.35"/>
    <row r="57" spans="1:10" ht="14.25" thickBot="1" x14ac:dyDescent="0.35">
      <c r="E57" s="33">
        <f>D55</f>
        <v>114321318</v>
      </c>
      <c r="F57" s="2" t="s">
        <v>51</v>
      </c>
    </row>
    <row r="59" spans="1:10" x14ac:dyDescent="0.3">
      <c r="B59" s="111" t="s">
        <v>12</v>
      </c>
    </row>
    <row r="60" spans="1:10" x14ac:dyDescent="0.3">
      <c r="B60" s="2" t="s">
        <v>20</v>
      </c>
      <c r="H60" s="118" t="s">
        <v>370</v>
      </c>
      <c r="I60" s="118" t="s">
        <v>84</v>
      </c>
      <c r="J60" s="118" t="s">
        <v>78</v>
      </c>
    </row>
    <row r="61" spans="1:10" x14ac:dyDescent="0.3">
      <c r="B61" s="42" t="s">
        <v>14</v>
      </c>
      <c r="C61" s="42" t="s">
        <v>15</v>
      </c>
      <c r="D61" s="42" t="s">
        <v>98</v>
      </c>
      <c r="E61" s="42" t="s">
        <v>52</v>
      </c>
      <c r="H61" s="43" t="s">
        <v>400</v>
      </c>
      <c r="I61" s="119">
        <f>D63+'전이율 적용(2022.4Q)-수출'!D63</f>
        <v>1141107455</v>
      </c>
      <c r="J61" s="119">
        <v>414595593</v>
      </c>
    </row>
    <row r="62" spans="1:10" x14ac:dyDescent="0.3">
      <c r="A62" s="2" t="s">
        <v>18</v>
      </c>
      <c r="B62" s="103" t="s">
        <v>100</v>
      </c>
      <c r="C62" s="43" t="s">
        <v>4</v>
      </c>
      <c r="D62" s="44">
        <v>1406879861</v>
      </c>
      <c r="E62" s="43"/>
      <c r="H62" s="43" t="s">
        <v>399</v>
      </c>
      <c r="I62" s="119">
        <v>664315006</v>
      </c>
      <c r="J62" s="119">
        <v>650528038</v>
      </c>
    </row>
    <row r="63" spans="1:10" x14ac:dyDescent="0.3">
      <c r="A63" s="2" t="s">
        <v>19</v>
      </c>
      <c r="B63" s="43">
        <v>1110321</v>
      </c>
      <c r="C63" s="43" t="s">
        <v>13</v>
      </c>
      <c r="D63" s="44">
        <v>114546517</v>
      </c>
      <c r="E63" s="45">
        <f>D63-G42-E57</f>
        <v>0</v>
      </c>
      <c r="F63" s="2" t="s">
        <v>16</v>
      </c>
      <c r="H63" s="43" t="s">
        <v>81</v>
      </c>
      <c r="I63" s="119"/>
      <c r="J63" s="119"/>
    </row>
    <row r="64" spans="1:10" x14ac:dyDescent="0.3">
      <c r="B64" s="43"/>
      <c r="C64" s="43" t="s">
        <v>101</v>
      </c>
      <c r="D64" s="45">
        <f>D62-D63</f>
        <v>1292333344</v>
      </c>
      <c r="E64" s="45">
        <f>D64-E40-C55+G42+E57</f>
        <v>0</v>
      </c>
      <c r="F64" s="2" t="s">
        <v>16</v>
      </c>
      <c r="H64" s="106" t="s">
        <v>82</v>
      </c>
      <c r="I64" s="120">
        <f>I61-I62+I63</f>
        <v>476792449</v>
      </c>
      <c r="J64" s="107">
        <f>J61-J62+J63</f>
        <v>-235932445</v>
      </c>
    </row>
    <row r="66" spans="8:10" x14ac:dyDescent="0.3">
      <c r="H66" s="118" t="s">
        <v>371</v>
      </c>
      <c r="I66" s="118" t="s">
        <v>84</v>
      </c>
      <c r="J66" s="118" t="s">
        <v>78</v>
      </c>
    </row>
    <row r="67" spans="8:10" x14ac:dyDescent="0.3">
      <c r="H67" s="43" t="s">
        <v>377</v>
      </c>
      <c r="I67" s="119">
        <v>70000000</v>
      </c>
      <c r="J67" s="119"/>
    </row>
    <row r="68" spans="8:10" x14ac:dyDescent="0.3">
      <c r="H68" s="43" t="s">
        <v>378</v>
      </c>
      <c r="I68" s="119">
        <v>80000000</v>
      </c>
      <c r="J68" s="119"/>
    </row>
    <row r="69" spans="8:10" x14ac:dyDescent="0.3">
      <c r="H69" s="43" t="s">
        <v>81</v>
      </c>
      <c r="I69" s="119"/>
      <c r="J69" s="119"/>
    </row>
    <row r="70" spans="8:10" x14ac:dyDescent="0.3">
      <c r="H70" s="106" t="s">
        <v>82</v>
      </c>
      <c r="I70" s="120">
        <f>I68+I67</f>
        <v>150000000</v>
      </c>
      <c r="J70" s="107">
        <f>J67-J68+J69</f>
        <v>0</v>
      </c>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2060"/>
  </sheetPr>
  <dimension ref="A2:O64"/>
  <sheetViews>
    <sheetView topLeftCell="A34" zoomScaleNormal="100" workbookViewId="0">
      <selection activeCell="D63" sqref="D63"/>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73</v>
      </c>
      <c r="D11" s="4" t="s">
        <v>74</v>
      </c>
      <c r="E11" s="4" t="s">
        <v>246</v>
      </c>
      <c r="F11" s="4" t="s">
        <v>355</v>
      </c>
      <c r="G11" s="4" t="s">
        <v>362</v>
      </c>
      <c r="H11" s="4" t="s">
        <v>363</v>
      </c>
      <c r="I11" s="4" t="s">
        <v>372</v>
      </c>
      <c r="J11" s="4" t="s">
        <v>379</v>
      </c>
      <c r="K11" s="4" t="s">
        <v>380</v>
      </c>
      <c r="L11" s="73" t="s">
        <v>392</v>
      </c>
      <c r="M11" s="4" t="s">
        <v>397</v>
      </c>
      <c r="N11" s="80" t="s">
        <v>397</v>
      </c>
    </row>
    <row r="12" spans="2:14" x14ac:dyDescent="0.3">
      <c r="B12" s="5" t="s">
        <v>27</v>
      </c>
      <c r="C12" s="6">
        <v>5476373785</v>
      </c>
      <c r="D12" s="6">
        <v>5197654177</v>
      </c>
      <c r="E12" s="6">
        <v>5226625839</v>
      </c>
      <c r="F12" s="6">
        <v>5177507228</v>
      </c>
      <c r="G12" s="6">
        <v>7686782434</v>
      </c>
      <c r="H12" s="6">
        <v>6513914814</v>
      </c>
      <c r="I12" s="6">
        <v>6967970393</v>
      </c>
      <c r="J12" s="6">
        <v>6661971596</v>
      </c>
      <c r="K12" s="6">
        <v>6815296486</v>
      </c>
      <c r="L12" s="74">
        <v>6608289603</v>
      </c>
      <c r="M12" s="6">
        <v>4987984096</v>
      </c>
      <c r="N12" s="81">
        <v>5361948616</v>
      </c>
    </row>
    <row r="13" spans="2:14" x14ac:dyDescent="0.3">
      <c r="B13" s="7" t="s">
        <v>39</v>
      </c>
      <c r="C13" s="6">
        <v>1895954647</v>
      </c>
      <c r="D13" s="6">
        <v>1734563258</v>
      </c>
      <c r="E13" s="6">
        <v>1217048730</v>
      </c>
      <c r="F13" s="6">
        <v>1057246878</v>
      </c>
      <c r="G13" s="6">
        <v>844001742</v>
      </c>
      <c r="H13" s="6">
        <v>1826886285</v>
      </c>
      <c r="I13" s="6">
        <v>1492293396</v>
      </c>
      <c r="J13" s="6">
        <v>1580210690</v>
      </c>
      <c r="K13" s="6">
        <v>1897812424</v>
      </c>
      <c r="L13" s="74">
        <v>2068394905</v>
      </c>
      <c r="M13" s="6">
        <v>2126571324</v>
      </c>
      <c r="N13" s="81">
        <v>1229193136</v>
      </c>
    </row>
    <row r="14" spans="2:14" x14ac:dyDescent="0.3">
      <c r="B14" s="7" t="s">
        <v>92</v>
      </c>
      <c r="C14" s="6">
        <v>979650983</v>
      </c>
      <c r="D14" s="6">
        <v>559786018</v>
      </c>
      <c r="E14" s="6">
        <v>239763111</v>
      </c>
      <c r="F14" s="6">
        <v>311848277</v>
      </c>
      <c r="G14" s="6">
        <v>392955886</v>
      </c>
      <c r="H14" s="6">
        <v>253537343</v>
      </c>
      <c r="I14" s="6">
        <v>417162571</v>
      </c>
      <c r="J14" s="6">
        <v>515963566</v>
      </c>
      <c r="K14" s="6">
        <v>907853734</v>
      </c>
      <c r="L14" s="74">
        <v>1477183747</v>
      </c>
      <c r="M14" s="6">
        <v>889839372</v>
      </c>
      <c r="N14" s="81">
        <v>842344784</v>
      </c>
    </row>
    <row r="15" spans="2:14" x14ac:dyDescent="0.3">
      <c r="B15" s="7" t="s">
        <v>30</v>
      </c>
      <c r="C15" s="6">
        <v>446127690</v>
      </c>
      <c r="D15" s="6">
        <v>273503838</v>
      </c>
      <c r="E15" s="6">
        <v>283828249</v>
      </c>
      <c r="F15" s="6">
        <v>134444998</v>
      </c>
      <c r="G15" s="6">
        <v>159098911</v>
      </c>
      <c r="H15" s="6">
        <v>68481932</v>
      </c>
      <c r="I15" s="6">
        <v>13279209</v>
      </c>
      <c r="J15" s="6">
        <v>151736282</v>
      </c>
      <c r="K15" s="6">
        <v>71447359</v>
      </c>
      <c r="L15" s="74">
        <v>408606940</v>
      </c>
      <c r="M15" s="6">
        <v>1281498393</v>
      </c>
      <c r="N15" s="81">
        <v>785958626</v>
      </c>
    </row>
    <row r="16" spans="2:14" x14ac:dyDescent="0.3">
      <c r="B16" s="7" t="s">
        <v>32</v>
      </c>
      <c r="C16" s="6">
        <v>35618067</v>
      </c>
      <c r="D16" s="6">
        <v>77613140</v>
      </c>
      <c r="E16" s="6">
        <v>56425025</v>
      </c>
      <c r="F16" s="6">
        <v>58227888</v>
      </c>
      <c r="G16" s="6"/>
      <c r="H16" s="6">
        <v>21947673</v>
      </c>
      <c r="I16" s="6">
        <v>33188303</v>
      </c>
      <c r="J16" s="6">
        <v>13285934</v>
      </c>
      <c r="K16" s="6"/>
      <c r="L16" s="74"/>
      <c r="M16" s="6">
        <v>338136532</v>
      </c>
      <c r="N16" s="81">
        <v>682700820</v>
      </c>
    </row>
    <row r="17" spans="2:15" x14ac:dyDescent="0.3">
      <c r="B17" s="7" t="s">
        <v>34</v>
      </c>
      <c r="C17" s="6">
        <v>21323305</v>
      </c>
      <c r="D17" s="6">
        <v>34980053</v>
      </c>
      <c r="E17" s="6">
        <v>56383366</v>
      </c>
      <c r="F17" s="6">
        <v>52313956</v>
      </c>
      <c r="G17" s="6">
        <v>4080600</v>
      </c>
      <c r="H17" s="6"/>
      <c r="I17" s="6">
        <v>23013981</v>
      </c>
      <c r="J17" s="6">
        <v>31912914</v>
      </c>
      <c r="K17" s="6">
        <v>8979292</v>
      </c>
      <c r="L17" s="74"/>
      <c r="M17" s="6"/>
      <c r="N17" s="81">
        <v>189357178</v>
      </c>
    </row>
    <row r="18" spans="2:15" ht="14.25" thickBot="1" x14ac:dyDescent="0.35">
      <c r="B18" s="8" t="s">
        <v>93</v>
      </c>
      <c r="C18" s="9">
        <v>127164358</v>
      </c>
      <c r="D18" s="9">
        <v>148105707</v>
      </c>
      <c r="E18" s="9">
        <v>127164358</v>
      </c>
      <c r="F18" s="9">
        <v>168559690</v>
      </c>
      <c r="G18" s="9">
        <v>202122554</v>
      </c>
      <c r="H18" s="9">
        <v>172059100</v>
      </c>
      <c r="I18" s="9">
        <v>138693269</v>
      </c>
      <c r="J18" s="9">
        <v>151920823</v>
      </c>
      <c r="K18" s="9">
        <v>185043129</v>
      </c>
      <c r="L18" s="75">
        <v>198555826</v>
      </c>
      <c r="M18" s="9">
        <v>206391272</v>
      </c>
      <c r="N18" s="82">
        <v>197142243</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0.31673573172653702</v>
      </c>
      <c r="D21" s="11">
        <f>IF(IFERROR(E13/D12,0)&gt;1,1,IFERROR(E13/D12,0))</f>
        <v>0.23415346395793887</v>
      </c>
      <c r="E21" s="11">
        <f t="shared" ref="E21:M21" si="0">IF(IFERROR(F13/E12,0)&gt;1,1,IFERROR(F13/E12,0))</f>
        <v>0.2022809572690363</v>
      </c>
      <c r="F21" s="11">
        <f t="shared" si="0"/>
        <v>0.16301314606296094</v>
      </c>
      <c r="G21" s="11">
        <f t="shared" si="0"/>
        <v>0.23766592858402735</v>
      </c>
      <c r="H21" s="11">
        <f t="shared" si="0"/>
        <v>0.22909317033018234</v>
      </c>
      <c r="I21" s="11">
        <f t="shared" si="0"/>
        <v>0.2267820614719423</v>
      </c>
      <c r="J21" s="11">
        <f t="shared" si="0"/>
        <v>0.28487248806937121</v>
      </c>
      <c r="K21" s="11">
        <f t="shared" si="0"/>
        <v>0.30349301886556251</v>
      </c>
      <c r="L21" s="11">
        <f t="shared" si="0"/>
        <v>0.32180359090718258</v>
      </c>
      <c r="M21" s="83">
        <f t="shared" si="0"/>
        <v>0.24643084507541302</v>
      </c>
      <c r="N21" s="84">
        <f>AVERAGE(C21:M21)</f>
        <v>0.25148403657455948</v>
      </c>
      <c r="O21" s="174" t="s">
        <v>58</v>
      </c>
    </row>
    <row r="22" spans="2:15" x14ac:dyDescent="0.3">
      <c r="B22" s="13" t="s">
        <v>61</v>
      </c>
      <c r="C22" s="14">
        <f>IF(IFERROR(D14/C13,0)&gt;1,1,IFERROR(D14/C13,0))</f>
        <v>0.29525285263851569</v>
      </c>
      <c r="D22" s="14">
        <f t="shared" ref="D22:M22" si="1">IF(IFERROR(E14/D13,0)&gt;1,1,IFERROR(E14/D13,0))</f>
        <v>0.13822678988165216</v>
      </c>
      <c r="E22" s="14">
        <f t="shared" si="1"/>
        <v>0.25623318878940859</v>
      </c>
      <c r="F22" s="14">
        <f t="shared" si="1"/>
        <v>0.37167845484051643</v>
      </c>
      <c r="G22" s="14">
        <f t="shared" si="1"/>
        <v>0.30039907547963329</v>
      </c>
      <c r="H22" s="14">
        <f t="shared" si="1"/>
        <v>0.22834621641488759</v>
      </c>
      <c r="I22" s="14">
        <f t="shared" si="1"/>
        <v>0.34575209364526333</v>
      </c>
      <c r="J22" s="14">
        <f t="shared" si="1"/>
        <v>0.57451436048695503</v>
      </c>
      <c r="K22" s="14">
        <f t="shared" si="1"/>
        <v>0.77836130078996679</v>
      </c>
      <c r="L22" s="14">
        <f t="shared" si="1"/>
        <v>0.43020767932127546</v>
      </c>
      <c r="M22" s="85">
        <f t="shared" si="1"/>
        <v>0.39610464718182198</v>
      </c>
      <c r="N22" s="86">
        <f t="shared" ref="N22:N25" si="2">AVERAGE(C22:M22)</f>
        <v>0.37409787813362688</v>
      </c>
      <c r="O22" s="174"/>
    </row>
    <row r="23" spans="2:15" x14ac:dyDescent="0.3">
      <c r="B23" s="13" t="s">
        <v>62</v>
      </c>
      <c r="C23" s="14">
        <f t="shared" ref="C23:M25" si="3">IF(IFERROR(D15/C14,0)&gt;1,1,IFERROR(D15/C14,0))</f>
        <v>0.27918497786063062</v>
      </c>
      <c r="D23" s="14">
        <f t="shared" si="3"/>
        <v>0.50702990048601038</v>
      </c>
      <c r="E23" s="14">
        <f t="shared" si="3"/>
        <v>0.56074096402594642</v>
      </c>
      <c r="F23" s="14">
        <f t="shared" si="3"/>
        <v>0.51018050357866818</v>
      </c>
      <c r="G23" s="14">
        <f t="shared" si="3"/>
        <v>0.17427384202612503</v>
      </c>
      <c r="H23" s="14">
        <f t="shared" si="3"/>
        <v>5.2375752001155899E-2</v>
      </c>
      <c r="I23" s="14">
        <f t="shared" si="3"/>
        <v>0.36373417115602158</v>
      </c>
      <c r="J23" s="14">
        <f t="shared" si="3"/>
        <v>0.1384736514515833</v>
      </c>
      <c r="K23" s="14">
        <f t="shared" si="3"/>
        <v>0.45008014473838137</v>
      </c>
      <c r="L23" s="14">
        <f t="shared" si="3"/>
        <v>0.86752808890741195</v>
      </c>
      <c r="M23" s="85">
        <f t="shared" si="3"/>
        <v>0.88325899115194462</v>
      </c>
      <c r="N23" s="86">
        <f t="shared" si="2"/>
        <v>0.43516918067126187</v>
      </c>
      <c r="O23" s="174"/>
    </row>
    <row r="24" spans="2:15" x14ac:dyDescent="0.3">
      <c r="B24" s="13" t="s">
        <v>63</v>
      </c>
      <c r="C24" s="14">
        <f t="shared" si="3"/>
        <v>0.17397068538830218</v>
      </c>
      <c r="D24" s="14">
        <f t="shared" si="3"/>
        <v>0.20630432615720734</v>
      </c>
      <c r="E24" s="14">
        <f t="shared" si="3"/>
        <v>0.20515184166886785</v>
      </c>
      <c r="F24" s="14">
        <f t="shared" si="3"/>
        <v>0</v>
      </c>
      <c r="G24" s="14">
        <f t="shared" si="3"/>
        <v>0.13794986315148317</v>
      </c>
      <c r="H24" s="14">
        <f t="shared" si="3"/>
        <v>0.48462860247575962</v>
      </c>
      <c r="I24" s="14">
        <f t="shared" si="3"/>
        <v>1</v>
      </c>
      <c r="J24" s="14">
        <f t="shared" si="3"/>
        <v>0</v>
      </c>
      <c r="K24" s="14">
        <f t="shared" si="3"/>
        <v>0</v>
      </c>
      <c r="L24" s="14">
        <f t="shared" si="3"/>
        <v>0.82753497040456536</v>
      </c>
      <c r="M24" s="87">
        <f t="shared" si="3"/>
        <v>0.53273638400887169</v>
      </c>
      <c r="N24" s="86">
        <f t="shared" si="2"/>
        <v>0.32438878847773245</v>
      </c>
      <c r="O24" s="174"/>
    </row>
    <row r="25" spans="2:15" ht="14.25" thickBot="1" x14ac:dyDescent="0.35">
      <c r="B25" s="15" t="s">
        <v>64</v>
      </c>
      <c r="C25" s="16">
        <f t="shared" si="3"/>
        <v>0.98208734909729944</v>
      </c>
      <c r="D25" s="16">
        <f t="shared" si="3"/>
        <v>0.72646675550042172</v>
      </c>
      <c r="E25" s="16">
        <f t="shared" si="3"/>
        <v>0.92714103361053013</v>
      </c>
      <c r="F25" s="16">
        <f t="shared" si="3"/>
        <v>7.0079821545304885E-2</v>
      </c>
      <c r="G25" s="16">
        <f t="shared" si="3"/>
        <v>0</v>
      </c>
      <c r="H25" s="16">
        <f t="shared" si="3"/>
        <v>1</v>
      </c>
      <c r="I25" s="16">
        <f t="shared" si="3"/>
        <v>0.96157112944280398</v>
      </c>
      <c r="J25" s="16">
        <f t="shared" si="3"/>
        <v>0.67584951121991121</v>
      </c>
      <c r="K25" s="16">
        <f t="shared" si="3"/>
        <v>0</v>
      </c>
      <c r="L25" s="16">
        <f t="shared" si="3"/>
        <v>0</v>
      </c>
      <c r="M25" s="88">
        <f t="shared" si="3"/>
        <v>0.56000212955398743</v>
      </c>
      <c r="N25" s="89">
        <f t="shared" si="2"/>
        <v>0.53665433908820537</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397</v>
      </c>
      <c r="D32" s="90" t="s">
        <v>397</v>
      </c>
      <c r="E32" s="90" t="s">
        <v>397</v>
      </c>
      <c r="F32" s="90" t="s">
        <v>397</v>
      </c>
      <c r="G32" s="90" t="s">
        <v>397</v>
      </c>
      <c r="I32" s="108"/>
      <c r="J32" s="108"/>
      <c r="K32" s="108"/>
    </row>
    <row r="33" spans="2:11" x14ac:dyDescent="0.3">
      <c r="B33" s="20" t="s">
        <v>26</v>
      </c>
      <c r="C33" s="94">
        <f t="shared" ref="C33:C39" si="4">N12</f>
        <v>5361948616</v>
      </c>
      <c r="D33" s="50">
        <f>C48</f>
        <v>0</v>
      </c>
      <c r="E33" s="95">
        <f>C33-D33</f>
        <v>5361948616</v>
      </c>
      <c r="F33" s="63">
        <f>PRODUCT(N21:$N$25)</f>
        <v>7.1271234082144422E-3</v>
      </c>
      <c r="G33" s="57">
        <f>ROUND(E33*F33,)</f>
        <v>38215269</v>
      </c>
      <c r="I33" s="108"/>
      <c r="J33" s="108"/>
      <c r="K33" s="108"/>
    </row>
    <row r="34" spans="2:11" x14ac:dyDescent="0.3">
      <c r="B34" s="22" t="s">
        <v>38</v>
      </c>
      <c r="C34" s="96">
        <f t="shared" si="4"/>
        <v>1229193136</v>
      </c>
      <c r="D34" s="52">
        <f t="shared" ref="D34:D39" si="5">C49</f>
        <v>0</v>
      </c>
      <c r="E34" s="97">
        <f t="shared" ref="E34:E39" si="6">C34-D34</f>
        <v>1229193136</v>
      </c>
      <c r="F34" s="64">
        <f>PRODUCT(N22:$N$25)</f>
        <v>2.8340261693315903E-2</v>
      </c>
      <c r="G34" s="58">
        <f t="shared" ref="G34:G39" si="7">ROUND(E34*F34,)</f>
        <v>34835655</v>
      </c>
      <c r="I34" s="108"/>
      <c r="J34" s="108"/>
      <c r="K34" s="108"/>
    </row>
    <row r="35" spans="2:11" x14ac:dyDescent="0.3">
      <c r="B35" s="22" t="s">
        <v>28</v>
      </c>
      <c r="C35" s="96">
        <f t="shared" si="4"/>
        <v>842344784</v>
      </c>
      <c r="D35" s="52">
        <f t="shared" si="5"/>
        <v>0</v>
      </c>
      <c r="E35" s="97">
        <f t="shared" si="6"/>
        <v>842344784</v>
      </c>
      <c r="F35" s="64">
        <f>PRODUCT(N23:$N$25)</f>
        <v>7.5756274894435038E-2</v>
      </c>
      <c r="G35" s="58">
        <f t="shared" si="7"/>
        <v>63812903</v>
      </c>
      <c r="I35" s="108"/>
      <c r="J35" s="108"/>
      <c r="K35" s="108"/>
    </row>
    <row r="36" spans="2:11" x14ac:dyDescent="0.3">
      <c r="B36" s="22" t="s">
        <v>29</v>
      </c>
      <c r="C36" s="96">
        <f t="shared" si="4"/>
        <v>785958626</v>
      </c>
      <c r="D36" s="52">
        <f t="shared" si="5"/>
        <v>0</v>
      </c>
      <c r="E36" s="97">
        <f t="shared" si="6"/>
        <v>785958626</v>
      </c>
      <c r="F36" s="64">
        <f>PRODUCT(N24:$N$25)</f>
        <v>0.17408465088814115</v>
      </c>
      <c r="G36" s="58">
        <f t="shared" si="7"/>
        <v>136823333</v>
      </c>
      <c r="I36" s="108"/>
      <c r="J36" s="108"/>
      <c r="K36" s="108"/>
    </row>
    <row r="37" spans="2:11" ht="14.25" thickBot="1" x14ac:dyDescent="0.35">
      <c r="B37" s="25" t="s">
        <v>31</v>
      </c>
      <c r="C37" s="98">
        <f t="shared" si="4"/>
        <v>682700820</v>
      </c>
      <c r="D37" s="55">
        <f t="shared" si="5"/>
        <v>0</v>
      </c>
      <c r="E37" s="99">
        <f t="shared" si="6"/>
        <v>682700820</v>
      </c>
      <c r="F37" s="67">
        <f>PRODUCT(N25:$N$25)</f>
        <v>0.53665433908820537</v>
      </c>
      <c r="G37" s="59">
        <f t="shared" si="7"/>
        <v>366374357</v>
      </c>
      <c r="I37" s="108"/>
      <c r="J37" s="108"/>
      <c r="K37" s="108"/>
    </row>
    <row r="38" spans="2:11" x14ac:dyDescent="0.3">
      <c r="B38" s="27" t="s">
        <v>33</v>
      </c>
      <c r="C38" s="94">
        <f t="shared" si="4"/>
        <v>189357178</v>
      </c>
      <c r="D38" s="50">
        <f t="shared" si="5"/>
        <v>0</v>
      </c>
      <c r="E38" s="29">
        <f t="shared" si="6"/>
        <v>189357178</v>
      </c>
      <c r="F38" s="100">
        <v>1</v>
      </c>
      <c r="G38" s="60">
        <f t="shared" si="7"/>
        <v>189357178</v>
      </c>
      <c r="I38" s="108"/>
      <c r="J38" s="108"/>
      <c r="K38" s="108"/>
    </row>
    <row r="39" spans="2:11" ht="14.25" thickBot="1" x14ac:dyDescent="0.35">
      <c r="B39" s="30" t="s">
        <v>35</v>
      </c>
      <c r="C39" s="98">
        <f t="shared" si="4"/>
        <v>197142243</v>
      </c>
      <c r="D39" s="55">
        <f t="shared" si="5"/>
        <v>27647453</v>
      </c>
      <c r="E39" s="32">
        <f t="shared" si="6"/>
        <v>169494790</v>
      </c>
      <c r="F39" s="67">
        <v>1</v>
      </c>
      <c r="G39" s="61">
        <f t="shared" si="7"/>
        <v>169494790</v>
      </c>
      <c r="I39" s="108"/>
      <c r="J39" s="108"/>
      <c r="K39" s="108"/>
    </row>
    <row r="40" spans="2:11" ht="14.25" thickBot="1" x14ac:dyDescent="0.35">
      <c r="B40" s="30" t="s">
        <v>41</v>
      </c>
      <c r="C40" s="101">
        <f>SUM(C33:C39)</f>
        <v>9288645403</v>
      </c>
      <c r="D40" s="101">
        <f>SUM(D33:D39)</f>
        <v>27647453</v>
      </c>
      <c r="E40" s="102">
        <f>SUM(E33:E39)</f>
        <v>9260997950</v>
      </c>
      <c r="F40" s="67"/>
      <c r="G40" s="61">
        <f>SUM(G33:G39)</f>
        <v>998913485</v>
      </c>
      <c r="H40" s="108"/>
      <c r="I40" s="108"/>
      <c r="J40" s="108"/>
      <c r="K40" s="108"/>
    </row>
    <row r="41" spans="2:11" ht="14.25" thickBot="1" x14ac:dyDescent="0.35">
      <c r="B41" s="108"/>
      <c r="E41" s="109"/>
      <c r="F41" s="110"/>
      <c r="G41" s="115"/>
      <c r="H41" s="108"/>
      <c r="I41" s="108"/>
      <c r="J41" s="108"/>
      <c r="K41" s="108"/>
    </row>
    <row r="42" spans="2:11" ht="14.25" thickBot="1" x14ac:dyDescent="0.35">
      <c r="G42" s="33">
        <f>G40</f>
        <v>998913485</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90" t="s">
        <v>397</v>
      </c>
      <c r="D47" s="90" t="s">
        <v>397</v>
      </c>
    </row>
    <row r="48" spans="2:11" x14ac:dyDescent="0.3">
      <c r="B48" s="20" t="s">
        <v>26</v>
      </c>
      <c r="C48" s="34">
        <v>0</v>
      </c>
      <c r="D48" s="35">
        <v>0</v>
      </c>
      <c r="F48" s="173" t="s">
        <v>85</v>
      </c>
      <c r="G48" s="173"/>
      <c r="H48" s="173"/>
      <c r="I48" s="173"/>
    </row>
    <row r="49" spans="1:10" x14ac:dyDescent="0.3">
      <c r="B49" s="22" t="s">
        <v>38</v>
      </c>
      <c r="C49" s="36">
        <v>0</v>
      </c>
      <c r="D49" s="37">
        <v>0</v>
      </c>
      <c r="F49" s="104" t="s">
        <v>90</v>
      </c>
      <c r="G49" s="105">
        <v>27647453</v>
      </c>
      <c r="H49" s="104"/>
      <c r="I49" s="105"/>
    </row>
    <row r="50" spans="1:10" x14ac:dyDescent="0.3">
      <c r="B50" s="22" t="s">
        <v>28</v>
      </c>
      <c r="C50" s="36">
        <v>0</v>
      </c>
      <c r="D50" s="37">
        <v>0</v>
      </c>
      <c r="F50" s="104"/>
      <c r="G50" s="105"/>
      <c r="H50" s="104"/>
      <c r="I50" s="105"/>
    </row>
    <row r="51" spans="1:10" x14ac:dyDescent="0.3">
      <c r="B51" s="22" t="s">
        <v>29</v>
      </c>
      <c r="C51" s="36">
        <v>0</v>
      </c>
      <c r="D51" s="37">
        <v>0</v>
      </c>
      <c r="F51" s="104"/>
      <c r="G51" s="105"/>
      <c r="H51" s="106"/>
      <c r="I51" s="106"/>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27647453</v>
      </c>
      <c r="D54" s="41">
        <f>C54</f>
        <v>27647453</v>
      </c>
    </row>
    <row r="55" spans="1:10" ht="14.25" thickBot="1" x14ac:dyDescent="0.35">
      <c r="B55" s="46" t="s">
        <v>11</v>
      </c>
      <c r="C55" s="47">
        <f>SUM(C48:C54)</f>
        <v>27647453</v>
      </c>
      <c r="D55" s="48">
        <f>SUM(D48:D54)</f>
        <v>27647453</v>
      </c>
    </row>
    <row r="56" spans="1:10" ht="14.25" thickBot="1" x14ac:dyDescent="0.35"/>
    <row r="57" spans="1:10" ht="14.25" thickBot="1" x14ac:dyDescent="0.35">
      <c r="E57" s="33">
        <f>D55</f>
        <v>27647453</v>
      </c>
      <c r="F57" s="2" t="s">
        <v>51</v>
      </c>
    </row>
    <row r="59" spans="1:10" x14ac:dyDescent="0.3">
      <c r="B59" s="111" t="s">
        <v>12</v>
      </c>
    </row>
    <row r="60" spans="1:10" x14ac:dyDescent="0.3">
      <c r="B60" s="2" t="s">
        <v>20</v>
      </c>
      <c r="H60" s="118"/>
      <c r="I60" s="118"/>
      <c r="J60" s="118"/>
    </row>
    <row r="61" spans="1:10" x14ac:dyDescent="0.3">
      <c r="B61" s="42" t="s">
        <v>14</v>
      </c>
      <c r="C61" s="42" t="s">
        <v>15</v>
      </c>
      <c r="D61" s="42" t="s">
        <v>98</v>
      </c>
      <c r="E61" s="42" t="s">
        <v>52</v>
      </c>
      <c r="H61" s="43"/>
      <c r="I61" s="119"/>
      <c r="J61" s="119"/>
    </row>
    <row r="62" spans="1:10" x14ac:dyDescent="0.3">
      <c r="A62" s="2" t="s">
        <v>18</v>
      </c>
      <c r="B62" s="103" t="s">
        <v>100</v>
      </c>
      <c r="C62" s="43" t="s">
        <v>4</v>
      </c>
      <c r="D62" s="44">
        <v>9288645403</v>
      </c>
      <c r="E62" s="43"/>
      <c r="H62" s="43"/>
      <c r="I62" s="119"/>
      <c r="J62" s="119"/>
    </row>
    <row r="63" spans="1:10" x14ac:dyDescent="0.3">
      <c r="A63" s="2" t="s">
        <v>19</v>
      </c>
      <c r="B63" s="43">
        <v>1110321</v>
      </c>
      <c r="C63" s="43" t="s">
        <v>13</v>
      </c>
      <c r="D63" s="44">
        <v>1026560938</v>
      </c>
      <c r="E63" s="45">
        <f>D63-G42-E57</f>
        <v>0</v>
      </c>
      <c r="F63" s="2" t="s">
        <v>16</v>
      </c>
      <c r="H63" s="43"/>
      <c r="I63" s="119"/>
      <c r="J63" s="119"/>
    </row>
    <row r="64" spans="1:10" x14ac:dyDescent="0.3">
      <c r="B64" s="43"/>
      <c r="C64" s="43" t="s">
        <v>101</v>
      </c>
      <c r="D64" s="45">
        <f>D62-D63</f>
        <v>8262084465</v>
      </c>
      <c r="E64" s="45">
        <f>D64-E40-C55+G42+E57</f>
        <v>0</v>
      </c>
      <c r="F64" s="2" t="s">
        <v>16</v>
      </c>
      <c r="H64" s="106"/>
      <c r="I64" s="120"/>
      <c r="J64" s="107"/>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2060"/>
  </sheetPr>
  <dimension ref="A2:O70"/>
  <sheetViews>
    <sheetView topLeftCell="B53" zoomScaleNormal="100" workbookViewId="0">
      <selection activeCell="I61" sqref="I61"/>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74</v>
      </c>
      <c r="D11" s="4" t="s">
        <v>246</v>
      </c>
      <c r="E11" s="4" t="s">
        <v>355</v>
      </c>
      <c r="F11" s="4" t="s">
        <v>362</v>
      </c>
      <c r="G11" s="4" t="s">
        <v>363</v>
      </c>
      <c r="H11" s="4" t="s">
        <v>372</v>
      </c>
      <c r="I11" s="4" t="s">
        <v>379</v>
      </c>
      <c r="J11" s="4" t="s">
        <v>380</v>
      </c>
      <c r="K11" s="4" t="s">
        <v>392</v>
      </c>
      <c r="L11" s="73" t="s">
        <v>396</v>
      </c>
      <c r="M11" s="4" t="s">
        <v>444</v>
      </c>
      <c r="N11" s="80" t="s">
        <v>443</v>
      </c>
    </row>
    <row r="12" spans="2:14" x14ac:dyDescent="0.3">
      <c r="B12" s="5" t="s">
        <v>27</v>
      </c>
      <c r="C12" s="6">
        <v>2474596079</v>
      </c>
      <c r="D12" s="6">
        <v>2202685666</v>
      </c>
      <c r="E12" s="6">
        <v>2448094402</v>
      </c>
      <c r="F12" s="6">
        <v>2436043383</v>
      </c>
      <c r="G12" s="6">
        <v>2452539804</v>
      </c>
      <c r="H12" s="6">
        <v>1715641447</v>
      </c>
      <c r="I12" s="6">
        <v>1962667876</v>
      </c>
      <c r="J12" s="6">
        <v>1587555486</v>
      </c>
      <c r="K12" s="6">
        <v>1852826474</v>
      </c>
      <c r="L12" s="74">
        <v>1553973714</v>
      </c>
      <c r="M12" s="6">
        <v>1245802334</v>
      </c>
      <c r="N12" s="81">
        <v>1578960725</v>
      </c>
    </row>
    <row r="13" spans="2:14" x14ac:dyDescent="0.3">
      <c r="B13" s="7" t="s">
        <v>39</v>
      </c>
      <c r="C13" s="6">
        <v>167868169</v>
      </c>
      <c r="D13" s="6">
        <v>112476407</v>
      </c>
      <c r="E13" s="6">
        <v>46121428</v>
      </c>
      <c r="F13" s="6">
        <v>45386643</v>
      </c>
      <c r="G13" s="6">
        <v>166622154</v>
      </c>
      <c r="H13" s="6">
        <v>161509038</v>
      </c>
      <c r="I13" s="6">
        <v>102054537</v>
      </c>
      <c r="J13" s="6">
        <v>7902115</v>
      </c>
      <c r="K13" s="6">
        <v>60538016</v>
      </c>
      <c r="L13" s="74">
        <v>107186544</v>
      </c>
      <c r="M13" s="6">
        <v>46551407</v>
      </c>
      <c r="N13" s="81">
        <v>27280000</v>
      </c>
    </row>
    <row r="14" spans="2:14" x14ac:dyDescent="0.3">
      <c r="B14" s="7" t="s">
        <v>92</v>
      </c>
      <c r="C14" s="6">
        <v>73921998</v>
      </c>
      <c r="D14" s="6"/>
      <c r="E14" s="6">
        <v>1992302</v>
      </c>
      <c r="F14" s="6"/>
      <c r="G14" s="6"/>
      <c r="H14" s="6"/>
      <c r="I14" s="6">
        <v>20356752</v>
      </c>
      <c r="J14" s="6"/>
      <c r="K14" s="6"/>
      <c r="L14" s="74">
        <v>19629500</v>
      </c>
      <c r="M14" s="6"/>
      <c r="N14" s="81"/>
    </row>
    <row r="15" spans="2:14" x14ac:dyDescent="0.3">
      <c r="B15" s="7" t="s">
        <v>30</v>
      </c>
      <c r="C15" s="6"/>
      <c r="D15" s="6">
        <v>63921998</v>
      </c>
      <c r="E15" s="6"/>
      <c r="F15" s="6">
        <v>1992302</v>
      </c>
      <c r="G15" s="6"/>
      <c r="H15" s="6"/>
      <c r="I15" s="6"/>
      <c r="J15" s="6"/>
      <c r="K15" s="6"/>
      <c r="L15" s="74"/>
      <c r="M15" s="6"/>
      <c r="N15" s="81"/>
    </row>
    <row r="16" spans="2:14" x14ac:dyDescent="0.3">
      <c r="B16" s="7" t="s">
        <v>32</v>
      </c>
      <c r="C16" s="6"/>
      <c r="D16" s="6"/>
      <c r="E16" s="6">
        <v>61921998</v>
      </c>
      <c r="F16" s="6"/>
      <c r="G16" s="6">
        <v>204802</v>
      </c>
      <c r="H16" s="6"/>
      <c r="I16" s="6"/>
      <c r="J16" s="6"/>
      <c r="K16" s="6"/>
      <c r="L16" s="74"/>
      <c r="M16" s="6"/>
      <c r="N16" s="81"/>
    </row>
    <row r="17" spans="2:15" x14ac:dyDescent="0.3">
      <c r="B17" s="7" t="s">
        <v>34</v>
      </c>
      <c r="C17" s="6"/>
      <c r="D17" s="6"/>
      <c r="E17" s="6"/>
      <c r="F17" s="6">
        <v>53327600</v>
      </c>
      <c r="G17" s="6"/>
      <c r="H17" s="6">
        <v>204802</v>
      </c>
      <c r="I17" s="6"/>
      <c r="J17" s="6"/>
      <c r="K17" s="6"/>
      <c r="L17" s="74"/>
      <c r="M17" s="6"/>
      <c r="N17" s="81"/>
    </row>
    <row r="18" spans="2:15" ht="14.25" thickBot="1" x14ac:dyDescent="0.35">
      <c r="B18" s="8" t="s">
        <v>93</v>
      </c>
      <c r="C18" s="9">
        <v>414321318</v>
      </c>
      <c r="D18" s="9">
        <v>414321318</v>
      </c>
      <c r="E18" s="9">
        <v>414321318</v>
      </c>
      <c r="F18" s="9">
        <v>414321318</v>
      </c>
      <c r="G18" s="9">
        <v>467648918</v>
      </c>
      <c r="H18" s="9">
        <v>414321318</v>
      </c>
      <c r="I18" s="9">
        <v>114526120</v>
      </c>
      <c r="J18" s="9">
        <v>114526120</v>
      </c>
      <c r="K18" s="9">
        <v>114526120</v>
      </c>
      <c r="L18" s="75">
        <v>114526120</v>
      </c>
      <c r="M18" s="9">
        <v>114526120</v>
      </c>
      <c r="N18" s="82">
        <v>114526120</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4.5452430784361557E-2</v>
      </c>
      <c r="D21" s="11">
        <f>IF(IFERROR(E13/D12,0)&gt;1,1,IFERROR(E13/D12,0))</f>
        <v>2.0938724354508057E-2</v>
      </c>
      <c r="E21" s="11">
        <f t="shared" ref="E21:M21" si="0">IF(IFERROR(F13/E12,0)&gt;1,1,IFERROR(F13/E12,0))</f>
        <v>1.8539580402994606E-2</v>
      </c>
      <c r="F21" s="11">
        <f t="shared" si="0"/>
        <v>6.8398680894920669E-2</v>
      </c>
      <c r="G21" s="11">
        <f t="shared" si="0"/>
        <v>6.585378868737822E-2</v>
      </c>
      <c r="H21" s="11">
        <f t="shared" si="0"/>
        <v>5.9484770071540481E-2</v>
      </c>
      <c r="I21" s="11">
        <f t="shared" si="0"/>
        <v>4.02621100423004E-3</v>
      </c>
      <c r="J21" s="11">
        <f t="shared" si="0"/>
        <v>3.8132850494902323E-2</v>
      </c>
      <c r="K21" s="11">
        <f t="shared" si="0"/>
        <v>5.7850287387463138E-2</v>
      </c>
      <c r="L21" s="11">
        <f t="shared" si="0"/>
        <v>2.9956367074044341E-2</v>
      </c>
      <c r="M21" s="83">
        <f t="shared" si="0"/>
        <v>2.1897534829951604E-2</v>
      </c>
      <c r="N21" s="84">
        <f>AVERAGE(C21:M21)</f>
        <v>3.9139202362390463E-2</v>
      </c>
      <c r="O21" s="174" t="s">
        <v>58</v>
      </c>
    </row>
    <row r="22" spans="2:15" x14ac:dyDescent="0.3">
      <c r="B22" s="13" t="s">
        <v>61</v>
      </c>
      <c r="C22" s="14">
        <f>IF(IFERROR(D14/C13,0)&gt;1,1,IFERROR(D14/C13,0))</f>
        <v>0</v>
      </c>
      <c r="D22" s="14">
        <f t="shared" ref="D22:M22" si="1">IF(IFERROR(E14/D13,0)&gt;1,1,IFERROR(E14/D13,0))</f>
        <v>1.7713065816549422E-2</v>
      </c>
      <c r="E22" s="14">
        <f t="shared" si="1"/>
        <v>0</v>
      </c>
      <c r="F22" s="14">
        <f t="shared" si="1"/>
        <v>0</v>
      </c>
      <c r="G22" s="14">
        <f t="shared" si="1"/>
        <v>0</v>
      </c>
      <c r="H22" s="14">
        <f t="shared" si="1"/>
        <v>0.12604094638963795</v>
      </c>
      <c r="I22" s="14">
        <f t="shared" si="1"/>
        <v>0</v>
      </c>
      <c r="J22" s="14">
        <f t="shared" si="1"/>
        <v>0</v>
      </c>
      <c r="K22" s="14">
        <f t="shared" si="1"/>
        <v>0.32425079804399271</v>
      </c>
      <c r="L22" s="14">
        <f t="shared" si="1"/>
        <v>0</v>
      </c>
      <c r="M22" s="85">
        <f t="shared" si="1"/>
        <v>0</v>
      </c>
      <c r="N22" s="86">
        <f t="shared" ref="N22:N25" si="2">AVERAGE(C22:M22)</f>
        <v>4.2545891840925457E-2</v>
      </c>
      <c r="O22" s="174"/>
    </row>
    <row r="23" spans="2:15" x14ac:dyDescent="0.3">
      <c r="B23" s="13" t="s">
        <v>62</v>
      </c>
      <c r="C23" s="14">
        <f t="shared" ref="C23:M25" si="3">IF(IFERROR(D15/C14,0)&gt;1,1,IFERROR(D15/C14,0))</f>
        <v>0.86472227117021372</v>
      </c>
      <c r="D23" s="14">
        <f t="shared" si="3"/>
        <v>0</v>
      </c>
      <c r="E23" s="14">
        <f t="shared" si="3"/>
        <v>1</v>
      </c>
      <c r="F23" s="14">
        <f t="shared" si="3"/>
        <v>0</v>
      </c>
      <c r="G23" s="14">
        <f t="shared" si="3"/>
        <v>0</v>
      </c>
      <c r="H23" s="14">
        <f t="shared" si="3"/>
        <v>0</v>
      </c>
      <c r="I23" s="14">
        <f t="shared" si="3"/>
        <v>0</v>
      </c>
      <c r="J23" s="14">
        <f t="shared" si="3"/>
        <v>0</v>
      </c>
      <c r="K23" s="14">
        <f t="shared" si="3"/>
        <v>0</v>
      </c>
      <c r="L23" s="14">
        <f t="shared" si="3"/>
        <v>0</v>
      </c>
      <c r="M23" s="85">
        <f t="shared" si="3"/>
        <v>0</v>
      </c>
      <c r="N23" s="86">
        <f t="shared" si="2"/>
        <v>0.16952020647001945</v>
      </c>
      <c r="O23" s="174"/>
    </row>
    <row r="24" spans="2:15" x14ac:dyDescent="0.3">
      <c r="B24" s="13" t="s">
        <v>63</v>
      </c>
      <c r="C24" s="14">
        <f t="shared" si="3"/>
        <v>0</v>
      </c>
      <c r="D24" s="14">
        <f t="shared" si="3"/>
        <v>0.96871186660967634</v>
      </c>
      <c r="E24" s="14">
        <f t="shared" si="3"/>
        <v>0</v>
      </c>
      <c r="F24" s="14">
        <f t="shared" si="3"/>
        <v>0.10279666436112597</v>
      </c>
      <c r="G24" s="14">
        <f t="shared" si="3"/>
        <v>0</v>
      </c>
      <c r="H24" s="14">
        <f t="shared" si="3"/>
        <v>0</v>
      </c>
      <c r="I24" s="14">
        <f t="shared" si="3"/>
        <v>0</v>
      </c>
      <c r="J24" s="14">
        <f t="shared" si="3"/>
        <v>0</v>
      </c>
      <c r="K24" s="14">
        <f t="shared" si="3"/>
        <v>0</v>
      </c>
      <c r="L24" s="14">
        <f t="shared" si="3"/>
        <v>0</v>
      </c>
      <c r="M24" s="87">
        <f t="shared" si="3"/>
        <v>0</v>
      </c>
      <c r="N24" s="86">
        <f t="shared" si="2"/>
        <v>9.7409866451891119E-2</v>
      </c>
      <c r="O24" s="174"/>
    </row>
    <row r="25" spans="2:15" ht="14.25" thickBot="1" x14ac:dyDescent="0.35">
      <c r="B25" s="15" t="s">
        <v>64</v>
      </c>
      <c r="C25" s="16">
        <f t="shared" si="3"/>
        <v>0</v>
      </c>
      <c r="D25" s="16">
        <f t="shared" si="3"/>
        <v>0</v>
      </c>
      <c r="E25" s="16">
        <f t="shared" si="3"/>
        <v>0.86120606121268894</v>
      </c>
      <c r="F25" s="16">
        <f t="shared" si="3"/>
        <v>0</v>
      </c>
      <c r="G25" s="16">
        <f t="shared" si="3"/>
        <v>1</v>
      </c>
      <c r="H25" s="16">
        <f t="shared" si="3"/>
        <v>0</v>
      </c>
      <c r="I25" s="16">
        <f t="shared" si="3"/>
        <v>0</v>
      </c>
      <c r="J25" s="16">
        <f t="shared" si="3"/>
        <v>0</v>
      </c>
      <c r="K25" s="16">
        <f t="shared" si="3"/>
        <v>0</v>
      </c>
      <c r="L25" s="16">
        <f t="shared" si="3"/>
        <v>0</v>
      </c>
      <c r="M25" s="88">
        <f t="shared" si="3"/>
        <v>0</v>
      </c>
      <c r="N25" s="89">
        <f t="shared" si="2"/>
        <v>0.16920055101933534</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443</v>
      </c>
      <c r="D32" s="91" t="s">
        <v>443</v>
      </c>
      <c r="E32" s="92" t="s">
        <v>443</v>
      </c>
      <c r="F32" s="93" t="s">
        <v>443</v>
      </c>
      <c r="G32" s="56" t="s">
        <v>443</v>
      </c>
      <c r="I32" s="108"/>
      <c r="J32" s="108"/>
      <c r="K32" s="108"/>
    </row>
    <row r="33" spans="2:11" x14ac:dyDescent="0.3">
      <c r="B33" s="20" t="s">
        <v>26</v>
      </c>
      <c r="C33" s="94">
        <f t="shared" ref="C33:C39" si="4">N12</f>
        <v>1578960725</v>
      </c>
      <c r="D33" s="50">
        <f>C48</f>
        <v>0</v>
      </c>
      <c r="E33" s="95">
        <f>C33-D33</f>
        <v>1578960725</v>
      </c>
      <c r="F33" s="63">
        <f>PRODUCT(N21:$N$25)</f>
        <v>4.6526008536612199E-6</v>
      </c>
      <c r="G33" s="57">
        <f>ROUND(E33*F33,)</f>
        <v>7346</v>
      </c>
      <c r="I33" s="108"/>
      <c r="J33" s="108"/>
      <c r="K33" s="108"/>
    </row>
    <row r="34" spans="2:11" x14ac:dyDescent="0.3">
      <c r="B34" s="22" t="s">
        <v>38</v>
      </c>
      <c r="C34" s="96">
        <f t="shared" si="4"/>
        <v>27280000</v>
      </c>
      <c r="D34" s="52">
        <f t="shared" ref="D34:D39" si="5">C49</f>
        <v>0</v>
      </c>
      <c r="E34" s="97">
        <f t="shared" ref="E34:E39" si="6">C34-D34</f>
        <v>27280000</v>
      </c>
      <c r="F34" s="64">
        <f>PRODUCT(N22:$N$25)</f>
        <v>1.1887316482800847E-4</v>
      </c>
      <c r="G34" s="58">
        <f t="shared" ref="G34:G37" si="7">ROUND(E34*F34,)</f>
        <v>3243</v>
      </c>
      <c r="I34" s="108"/>
      <c r="J34" s="108"/>
      <c r="K34" s="108"/>
    </row>
    <row r="35" spans="2:11" x14ac:dyDescent="0.3">
      <c r="B35" s="22" t="s">
        <v>28</v>
      </c>
      <c r="C35" s="96">
        <f t="shared" si="4"/>
        <v>0</v>
      </c>
      <c r="D35" s="52">
        <f t="shared" si="5"/>
        <v>0</v>
      </c>
      <c r="E35" s="97">
        <f t="shared" si="6"/>
        <v>0</v>
      </c>
      <c r="F35" s="64">
        <f>PRODUCT(N23:$N$25)</f>
        <v>2.7939986608451531E-3</v>
      </c>
      <c r="G35" s="58">
        <f t="shared" si="7"/>
        <v>0</v>
      </c>
      <c r="I35" s="108"/>
      <c r="J35" s="108"/>
      <c r="K35" s="108"/>
    </row>
    <row r="36" spans="2:11" x14ac:dyDescent="0.3">
      <c r="B36" s="22" t="s">
        <v>29</v>
      </c>
      <c r="C36" s="96">
        <f t="shared" si="4"/>
        <v>0</v>
      </c>
      <c r="D36" s="52">
        <f>C51</f>
        <v>0</v>
      </c>
      <c r="E36" s="97">
        <f t="shared" si="6"/>
        <v>0</v>
      </c>
      <c r="F36" s="64">
        <f>PRODUCT(N24:$N$25)</f>
        <v>1.6481803078379844E-2</v>
      </c>
      <c r="G36" s="58">
        <f t="shared" si="7"/>
        <v>0</v>
      </c>
      <c r="I36" s="108"/>
      <c r="J36" s="108"/>
      <c r="K36" s="108"/>
    </row>
    <row r="37" spans="2:11" ht="14.25" thickBot="1" x14ac:dyDescent="0.35">
      <c r="B37" s="25" t="s">
        <v>31</v>
      </c>
      <c r="C37" s="98">
        <f t="shared" si="4"/>
        <v>0</v>
      </c>
      <c r="D37" s="55">
        <f t="shared" si="5"/>
        <v>0</v>
      </c>
      <c r="E37" s="99">
        <f t="shared" si="6"/>
        <v>0</v>
      </c>
      <c r="F37" s="67">
        <f>PRODUCT(N25:$N$25)</f>
        <v>0.16920055101933534</v>
      </c>
      <c r="G37" s="59">
        <f t="shared" si="7"/>
        <v>0</v>
      </c>
      <c r="I37" s="108"/>
      <c r="J37" s="108"/>
      <c r="K37" s="108"/>
    </row>
    <row r="38" spans="2:11" x14ac:dyDescent="0.3">
      <c r="B38" s="27" t="s">
        <v>33</v>
      </c>
      <c r="C38" s="94">
        <f t="shared" si="4"/>
        <v>0</v>
      </c>
      <c r="D38" s="50">
        <f t="shared" si="5"/>
        <v>0</v>
      </c>
      <c r="E38" s="29">
        <f t="shared" si="6"/>
        <v>0</v>
      </c>
      <c r="F38" s="100">
        <v>1</v>
      </c>
      <c r="G38" s="60">
        <f>ROUND(E38*F38,)</f>
        <v>0</v>
      </c>
      <c r="I38" s="108"/>
      <c r="J38" s="108"/>
      <c r="K38" s="108"/>
    </row>
    <row r="39" spans="2:11" ht="14.25" thickBot="1" x14ac:dyDescent="0.35">
      <c r="B39" s="30" t="s">
        <v>35</v>
      </c>
      <c r="C39" s="98">
        <f t="shared" si="4"/>
        <v>114526120</v>
      </c>
      <c r="D39" s="55">
        <f t="shared" si="5"/>
        <v>114321318</v>
      </c>
      <c r="E39" s="32">
        <f t="shared" si="6"/>
        <v>204802</v>
      </c>
      <c r="F39" s="67">
        <v>1</v>
      </c>
      <c r="G39" s="61">
        <f>ROUND(E39*F39,)</f>
        <v>204802</v>
      </c>
      <c r="I39" s="108"/>
      <c r="J39" s="108"/>
      <c r="K39" s="108"/>
    </row>
    <row r="40" spans="2:11" ht="14.25" thickBot="1" x14ac:dyDescent="0.35">
      <c r="B40" s="30" t="s">
        <v>41</v>
      </c>
      <c r="C40" s="101">
        <f>SUM(C33:C39)</f>
        <v>1720766845</v>
      </c>
      <c r="D40" s="101">
        <f>SUM(D33:D39)</f>
        <v>114321318</v>
      </c>
      <c r="E40" s="102">
        <f>SUM(E33:E39)</f>
        <v>1606445527</v>
      </c>
      <c r="F40" s="67"/>
      <c r="G40" s="61">
        <f>SUM(G33:G39)</f>
        <v>215391</v>
      </c>
      <c r="H40" s="108"/>
      <c r="I40" s="108"/>
      <c r="J40" s="108"/>
      <c r="K40" s="108"/>
    </row>
    <row r="41" spans="2:11" ht="14.25" thickBot="1" x14ac:dyDescent="0.35">
      <c r="B41" s="108"/>
      <c r="E41" s="109"/>
      <c r="F41" s="110"/>
      <c r="G41" s="115"/>
      <c r="H41" s="108"/>
      <c r="I41" s="108"/>
      <c r="J41" s="108"/>
      <c r="K41" s="108"/>
    </row>
    <row r="42" spans="2:11" ht="14.25" thickBot="1" x14ac:dyDescent="0.35">
      <c r="G42" s="33">
        <f>G40</f>
        <v>215391</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17" t="s">
        <v>443</v>
      </c>
      <c r="D47" s="19" t="s">
        <v>443</v>
      </c>
    </row>
    <row r="48" spans="2:11" x14ac:dyDescent="0.3">
      <c r="B48" s="20" t="s">
        <v>26</v>
      </c>
      <c r="C48" s="34">
        <v>0</v>
      </c>
      <c r="D48" s="35">
        <v>0</v>
      </c>
      <c r="F48" s="173" t="s">
        <v>85</v>
      </c>
      <c r="G48" s="173"/>
      <c r="H48" s="173"/>
      <c r="I48" s="173"/>
    </row>
    <row r="49" spans="1:10" x14ac:dyDescent="0.3">
      <c r="B49" s="22" t="s">
        <v>38</v>
      </c>
      <c r="C49" s="36">
        <v>0</v>
      </c>
      <c r="D49" s="37">
        <v>0</v>
      </c>
      <c r="F49" s="104" t="s">
        <v>86</v>
      </c>
      <c r="G49" s="105">
        <v>27256788</v>
      </c>
      <c r="H49" s="104" t="s">
        <v>87</v>
      </c>
      <c r="I49" s="105">
        <v>49060000</v>
      </c>
    </row>
    <row r="50" spans="1:10" x14ac:dyDescent="0.3">
      <c r="B50" s="22" t="s">
        <v>28</v>
      </c>
      <c r="C50" s="36">
        <v>0</v>
      </c>
      <c r="D50" s="37">
        <v>0</v>
      </c>
      <c r="F50" s="104" t="s">
        <v>88</v>
      </c>
      <c r="G50" s="105">
        <v>3228130</v>
      </c>
      <c r="H50" s="104" t="s">
        <v>89</v>
      </c>
      <c r="I50" s="105">
        <v>12000000</v>
      </c>
    </row>
    <row r="51" spans="1:10" x14ac:dyDescent="0.3">
      <c r="B51" s="22" t="s">
        <v>29</v>
      </c>
      <c r="C51" s="36">
        <v>0</v>
      </c>
      <c r="D51" s="37">
        <v>0</v>
      </c>
      <c r="F51" s="104" t="s">
        <v>354</v>
      </c>
      <c r="G51" s="105">
        <v>22776400</v>
      </c>
      <c r="H51" s="106"/>
      <c r="I51" s="105"/>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114321318</v>
      </c>
      <c r="D54" s="41">
        <f>C54</f>
        <v>114321318</v>
      </c>
    </row>
    <row r="55" spans="1:10" ht="14.25" thickBot="1" x14ac:dyDescent="0.35">
      <c r="B55" s="46" t="s">
        <v>11</v>
      </c>
      <c r="C55" s="47">
        <f>SUM(C48:C54)</f>
        <v>114321318</v>
      </c>
      <c r="D55" s="48">
        <f>SUM(D48:D54)</f>
        <v>114321318</v>
      </c>
    </row>
    <row r="56" spans="1:10" ht="14.25" thickBot="1" x14ac:dyDescent="0.35"/>
    <row r="57" spans="1:10" ht="14.25" thickBot="1" x14ac:dyDescent="0.35">
      <c r="E57" s="33">
        <f>D55</f>
        <v>114321318</v>
      </c>
      <c r="F57" s="2" t="s">
        <v>51</v>
      </c>
    </row>
    <row r="59" spans="1:10" x14ac:dyDescent="0.3">
      <c r="B59" s="111" t="s">
        <v>12</v>
      </c>
    </row>
    <row r="60" spans="1:10" x14ac:dyDescent="0.3">
      <c r="B60" s="2" t="s">
        <v>20</v>
      </c>
      <c r="H60" s="118" t="s">
        <v>370</v>
      </c>
      <c r="I60" s="118" t="s">
        <v>84</v>
      </c>
      <c r="J60" s="118" t="s">
        <v>78</v>
      </c>
    </row>
    <row r="61" spans="1:10" x14ac:dyDescent="0.3">
      <c r="B61" s="42" t="s">
        <v>14</v>
      </c>
      <c r="C61" s="42" t="s">
        <v>15</v>
      </c>
      <c r="D61" s="42" t="s">
        <v>98</v>
      </c>
      <c r="E61" s="42" t="s">
        <v>52</v>
      </c>
      <c r="H61" s="43" t="s">
        <v>446</v>
      </c>
      <c r="I61" s="119">
        <f>D63+'전이율 적용(2023.1Q)-수출'!D63</f>
        <v>1218843175</v>
      </c>
      <c r="J61" s="119">
        <v>422391830</v>
      </c>
    </row>
    <row r="62" spans="1:10" x14ac:dyDescent="0.3">
      <c r="A62" s="2" t="s">
        <v>18</v>
      </c>
      <c r="B62" s="103" t="s">
        <v>100</v>
      </c>
      <c r="C62" s="43" t="s">
        <v>4</v>
      </c>
      <c r="D62" s="44">
        <v>1720766845</v>
      </c>
      <c r="E62" s="43"/>
      <c r="H62" s="43" t="s">
        <v>445</v>
      </c>
      <c r="I62" s="119">
        <v>1141107455</v>
      </c>
      <c r="J62" s="119">
        <v>414595593</v>
      </c>
    </row>
    <row r="63" spans="1:10" x14ac:dyDescent="0.3">
      <c r="A63" s="2" t="s">
        <v>19</v>
      </c>
      <c r="B63" s="43">
        <v>1110321</v>
      </c>
      <c r="C63" s="43" t="s">
        <v>13</v>
      </c>
      <c r="D63" s="44">
        <v>114536709</v>
      </c>
      <c r="E63" s="45">
        <f>D63-G42-E57</f>
        <v>0</v>
      </c>
      <c r="F63" s="2" t="s">
        <v>16</v>
      </c>
      <c r="H63" s="43" t="s">
        <v>81</v>
      </c>
      <c r="I63" s="119"/>
      <c r="J63" s="119"/>
    </row>
    <row r="64" spans="1:10" x14ac:dyDescent="0.3">
      <c r="B64" s="43"/>
      <c r="C64" s="43" t="s">
        <v>101</v>
      </c>
      <c r="D64" s="45">
        <f>D62-D63</f>
        <v>1606230136</v>
      </c>
      <c r="E64" s="45">
        <f>D64-E40-C55+G42+E57</f>
        <v>0</v>
      </c>
      <c r="F64" s="2" t="s">
        <v>16</v>
      </c>
      <c r="H64" s="106" t="s">
        <v>82</v>
      </c>
      <c r="I64" s="120">
        <f>I61-I62+I63</f>
        <v>77735720</v>
      </c>
      <c r="J64" s="107">
        <f>J61-J62+J63</f>
        <v>7796237</v>
      </c>
    </row>
    <row r="66" spans="8:10" x14ac:dyDescent="0.3">
      <c r="H66" s="118" t="s">
        <v>371</v>
      </c>
      <c r="I66" s="118" t="s">
        <v>84</v>
      </c>
      <c r="J66" s="118" t="s">
        <v>78</v>
      </c>
    </row>
    <row r="67" spans="8:10" x14ac:dyDescent="0.3">
      <c r="H67" s="43" t="s">
        <v>377</v>
      </c>
      <c r="I67" s="119">
        <v>70000000</v>
      </c>
      <c r="J67" s="119"/>
    </row>
    <row r="68" spans="8:10" x14ac:dyDescent="0.3">
      <c r="H68" s="43" t="s">
        <v>378</v>
      </c>
      <c r="I68" s="119">
        <v>80000000</v>
      </c>
      <c r="J68" s="119"/>
    </row>
    <row r="69" spans="8:10" x14ac:dyDescent="0.3">
      <c r="H69" s="43" t="s">
        <v>81</v>
      </c>
      <c r="I69" s="119"/>
      <c r="J69" s="119"/>
    </row>
    <row r="70" spans="8:10" x14ac:dyDescent="0.3">
      <c r="H70" s="106" t="s">
        <v>82</v>
      </c>
      <c r="I70" s="120">
        <f>I68+I67</f>
        <v>150000000</v>
      </c>
      <c r="J70" s="107">
        <f>J67-J68+J69</f>
        <v>0</v>
      </c>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2060"/>
  </sheetPr>
  <dimension ref="A2:O64"/>
  <sheetViews>
    <sheetView topLeftCell="A43" zoomScaleNormal="100" workbookViewId="0">
      <selection activeCell="D62" sqref="D62"/>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74</v>
      </c>
      <c r="D11" s="4" t="s">
        <v>246</v>
      </c>
      <c r="E11" s="4" t="s">
        <v>355</v>
      </c>
      <c r="F11" s="4" t="s">
        <v>362</v>
      </c>
      <c r="G11" s="4" t="s">
        <v>363</v>
      </c>
      <c r="H11" s="4" t="s">
        <v>372</v>
      </c>
      <c r="I11" s="4" t="s">
        <v>379</v>
      </c>
      <c r="J11" s="4" t="s">
        <v>380</v>
      </c>
      <c r="K11" s="4" t="s">
        <v>392</v>
      </c>
      <c r="L11" s="73" t="s">
        <v>393</v>
      </c>
      <c r="M11" s="4" t="s">
        <v>398</v>
      </c>
      <c r="N11" s="80" t="s">
        <v>443</v>
      </c>
    </row>
    <row r="12" spans="2:14" x14ac:dyDescent="0.3">
      <c r="B12" s="5" t="s">
        <v>27</v>
      </c>
      <c r="C12" s="6">
        <v>5197654177</v>
      </c>
      <c r="D12" s="6">
        <v>5226625839</v>
      </c>
      <c r="E12" s="6">
        <v>5177507228</v>
      </c>
      <c r="F12" s="6">
        <v>7686782434</v>
      </c>
      <c r="G12" s="6">
        <v>6513914814</v>
      </c>
      <c r="H12" s="6">
        <v>6967970393</v>
      </c>
      <c r="I12" s="6">
        <v>6661971596</v>
      </c>
      <c r="J12" s="6">
        <v>6815296486</v>
      </c>
      <c r="K12" s="6">
        <v>6608289603</v>
      </c>
      <c r="L12" s="74">
        <v>4987984096</v>
      </c>
      <c r="M12" s="6">
        <v>5361948616</v>
      </c>
      <c r="N12" s="81">
        <v>5377612564</v>
      </c>
    </row>
    <row r="13" spans="2:14" x14ac:dyDescent="0.3">
      <c r="B13" s="7" t="s">
        <v>39</v>
      </c>
      <c r="C13" s="6">
        <v>1734563258</v>
      </c>
      <c r="D13" s="6">
        <v>1217048730</v>
      </c>
      <c r="E13" s="6">
        <v>1057246878</v>
      </c>
      <c r="F13" s="6">
        <v>844001742</v>
      </c>
      <c r="G13" s="6">
        <v>1826886285</v>
      </c>
      <c r="H13" s="6">
        <v>1492293396</v>
      </c>
      <c r="I13" s="6">
        <v>1580210690</v>
      </c>
      <c r="J13" s="6">
        <v>1897812424</v>
      </c>
      <c r="K13" s="6">
        <v>2068394905</v>
      </c>
      <c r="L13" s="74">
        <v>2126571324</v>
      </c>
      <c r="M13" s="6">
        <v>1229193136</v>
      </c>
      <c r="N13" s="81">
        <v>2162956966</v>
      </c>
    </row>
    <row r="14" spans="2:14" x14ac:dyDescent="0.3">
      <c r="B14" s="7" t="s">
        <v>92</v>
      </c>
      <c r="C14" s="6">
        <v>559786018</v>
      </c>
      <c r="D14" s="6">
        <v>239763111</v>
      </c>
      <c r="E14" s="6">
        <v>311848277</v>
      </c>
      <c r="F14" s="6">
        <v>392955886</v>
      </c>
      <c r="G14" s="6">
        <v>253537343</v>
      </c>
      <c r="H14" s="6">
        <v>417162571</v>
      </c>
      <c r="I14" s="6">
        <v>515963566</v>
      </c>
      <c r="J14" s="6">
        <v>907853734</v>
      </c>
      <c r="K14" s="6">
        <v>1477183747</v>
      </c>
      <c r="L14" s="74">
        <v>889839372</v>
      </c>
      <c r="M14" s="6">
        <v>842344784</v>
      </c>
      <c r="N14" s="81">
        <v>498936898</v>
      </c>
    </row>
    <row r="15" spans="2:14" x14ac:dyDescent="0.3">
      <c r="B15" s="7" t="s">
        <v>30</v>
      </c>
      <c r="C15" s="6">
        <v>273503838</v>
      </c>
      <c r="D15" s="6">
        <v>283828249</v>
      </c>
      <c r="E15" s="6">
        <v>134444998</v>
      </c>
      <c r="F15" s="6">
        <v>159098911</v>
      </c>
      <c r="G15" s="6">
        <v>68481932</v>
      </c>
      <c r="H15" s="6">
        <v>13279209</v>
      </c>
      <c r="I15" s="6">
        <v>151736282</v>
      </c>
      <c r="J15" s="6">
        <v>71447359</v>
      </c>
      <c r="K15" s="6">
        <v>408606940</v>
      </c>
      <c r="L15" s="74">
        <v>1281498393</v>
      </c>
      <c r="M15" s="6">
        <v>785958626</v>
      </c>
      <c r="N15" s="81">
        <v>298742678</v>
      </c>
    </row>
    <row r="16" spans="2:14" x14ac:dyDescent="0.3">
      <c r="B16" s="7" t="s">
        <v>32</v>
      </c>
      <c r="C16" s="6">
        <v>77613140</v>
      </c>
      <c r="D16" s="6">
        <v>56425025</v>
      </c>
      <c r="E16" s="6">
        <v>58227888</v>
      </c>
      <c r="F16" s="6"/>
      <c r="G16" s="6">
        <v>21947673</v>
      </c>
      <c r="H16" s="6">
        <v>33188303</v>
      </c>
      <c r="I16" s="6">
        <v>13285934</v>
      </c>
      <c r="J16" s="6"/>
      <c r="K16" s="6"/>
      <c r="L16" s="74">
        <v>338136532</v>
      </c>
      <c r="M16" s="6">
        <v>682700820</v>
      </c>
      <c r="N16" s="81">
        <v>201307083</v>
      </c>
    </row>
    <row r="17" spans="2:15" x14ac:dyDescent="0.3">
      <c r="B17" s="7" t="s">
        <v>34</v>
      </c>
      <c r="C17" s="6">
        <v>34980053</v>
      </c>
      <c r="D17" s="6">
        <v>56383366</v>
      </c>
      <c r="E17" s="6">
        <v>52313956</v>
      </c>
      <c r="F17" s="6">
        <v>4080600</v>
      </c>
      <c r="G17" s="6"/>
      <c r="H17" s="6">
        <v>23013981</v>
      </c>
      <c r="I17" s="6">
        <v>31912914</v>
      </c>
      <c r="J17" s="6">
        <v>8979292</v>
      </c>
      <c r="K17" s="6"/>
      <c r="L17" s="74"/>
      <c r="M17" s="6">
        <v>189357178</v>
      </c>
      <c r="N17" s="81">
        <v>462586424</v>
      </c>
    </row>
    <row r="18" spans="2:15" ht="14.25" thickBot="1" x14ac:dyDescent="0.35">
      <c r="B18" s="8" t="s">
        <v>93</v>
      </c>
      <c r="C18" s="9">
        <v>148105707</v>
      </c>
      <c r="D18" s="9">
        <v>127164358</v>
      </c>
      <c r="E18" s="9">
        <v>168559690</v>
      </c>
      <c r="F18" s="9">
        <v>202122554</v>
      </c>
      <c r="G18" s="9">
        <v>172059100</v>
      </c>
      <c r="H18" s="9">
        <v>138693269</v>
      </c>
      <c r="I18" s="9">
        <v>151920823</v>
      </c>
      <c r="J18" s="9">
        <v>185043129</v>
      </c>
      <c r="K18" s="9">
        <v>198555826</v>
      </c>
      <c r="L18" s="75">
        <v>206391272</v>
      </c>
      <c r="M18" s="9">
        <v>197142243</v>
      </c>
      <c r="N18" s="82">
        <v>349507863</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0.23415346395793887</v>
      </c>
      <c r="D21" s="11">
        <f>IF(IFERROR(E13/D12,0)&gt;1,1,IFERROR(E13/D12,0))</f>
        <v>0.2022809572690363</v>
      </c>
      <c r="E21" s="11">
        <f t="shared" ref="E21:M21" si="0">IF(IFERROR(F13/E12,0)&gt;1,1,IFERROR(F13/E12,0))</f>
        <v>0.16301314606296094</v>
      </c>
      <c r="F21" s="11">
        <f t="shared" si="0"/>
        <v>0.23766592858402735</v>
      </c>
      <c r="G21" s="11">
        <f t="shared" si="0"/>
        <v>0.22909317033018234</v>
      </c>
      <c r="H21" s="11">
        <f t="shared" si="0"/>
        <v>0.2267820614719423</v>
      </c>
      <c r="I21" s="11">
        <f t="shared" si="0"/>
        <v>0.28487248806937121</v>
      </c>
      <c r="J21" s="11">
        <f t="shared" si="0"/>
        <v>0.30349301886556251</v>
      </c>
      <c r="K21" s="11">
        <f t="shared" si="0"/>
        <v>0.32180359090718258</v>
      </c>
      <c r="L21" s="11">
        <f t="shared" si="0"/>
        <v>0.24643084507541302</v>
      </c>
      <c r="M21" s="83">
        <f t="shared" si="0"/>
        <v>0.40339009582183583</v>
      </c>
      <c r="N21" s="84">
        <f>AVERAGE(C21:M21)</f>
        <v>0.25936170603776842</v>
      </c>
      <c r="O21" s="174" t="s">
        <v>58</v>
      </c>
    </row>
    <row r="22" spans="2:15" x14ac:dyDescent="0.3">
      <c r="B22" s="13" t="s">
        <v>61</v>
      </c>
      <c r="C22" s="14">
        <f>IF(IFERROR(D14/C13,0)&gt;1,1,IFERROR(D14/C13,0))</f>
        <v>0.13822678988165216</v>
      </c>
      <c r="D22" s="14">
        <f t="shared" ref="D22:M22" si="1">IF(IFERROR(E14/D13,0)&gt;1,1,IFERROR(E14/D13,0))</f>
        <v>0.25623318878940859</v>
      </c>
      <c r="E22" s="14">
        <f t="shared" si="1"/>
        <v>0.37167845484051643</v>
      </c>
      <c r="F22" s="14">
        <f t="shared" si="1"/>
        <v>0.30039907547963329</v>
      </c>
      <c r="G22" s="14">
        <f t="shared" si="1"/>
        <v>0.22834621641488759</v>
      </c>
      <c r="H22" s="14">
        <f t="shared" si="1"/>
        <v>0.34575209364526333</v>
      </c>
      <c r="I22" s="14">
        <f t="shared" si="1"/>
        <v>0.57451436048695503</v>
      </c>
      <c r="J22" s="14">
        <f t="shared" si="1"/>
        <v>0.77836130078996679</v>
      </c>
      <c r="K22" s="14">
        <f t="shared" si="1"/>
        <v>0.43020767932127546</v>
      </c>
      <c r="L22" s="14">
        <f t="shared" si="1"/>
        <v>0.39610464718182198</v>
      </c>
      <c r="M22" s="85">
        <f t="shared" si="1"/>
        <v>0.4059060235429105</v>
      </c>
      <c r="N22" s="86">
        <f t="shared" ref="N22:N25" si="2">AVERAGE(C22:M22)</f>
        <v>0.38415725730675371</v>
      </c>
      <c r="O22" s="174"/>
    </row>
    <row r="23" spans="2:15" x14ac:dyDescent="0.3">
      <c r="B23" s="13" t="s">
        <v>62</v>
      </c>
      <c r="C23" s="14">
        <f t="shared" ref="C23:M25" si="3">IF(IFERROR(D15/C14,0)&gt;1,1,IFERROR(D15/C14,0))</f>
        <v>0.50702990048601038</v>
      </c>
      <c r="D23" s="14">
        <f t="shared" si="3"/>
        <v>0.56074096402594642</v>
      </c>
      <c r="E23" s="14">
        <f t="shared" si="3"/>
        <v>0.51018050357866818</v>
      </c>
      <c r="F23" s="14">
        <f t="shared" si="3"/>
        <v>0.17427384202612503</v>
      </c>
      <c r="G23" s="14">
        <f t="shared" si="3"/>
        <v>5.2375752001155899E-2</v>
      </c>
      <c r="H23" s="14">
        <f t="shared" si="3"/>
        <v>0.36373417115602158</v>
      </c>
      <c r="I23" s="14">
        <f t="shared" si="3"/>
        <v>0.1384736514515833</v>
      </c>
      <c r="J23" s="14">
        <f t="shared" si="3"/>
        <v>0.45008014473838137</v>
      </c>
      <c r="K23" s="14">
        <f t="shared" si="3"/>
        <v>0.86752808890741195</v>
      </c>
      <c r="L23" s="14">
        <f t="shared" si="3"/>
        <v>0.88325899115194462</v>
      </c>
      <c r="M23" s="85">
        <f t="shared" si="3"/>
        <v>0.35465605494863489</v>
      </c>
      <c r="N23" s="86">
        <f t="shared" si="2"/>
        <v>0.44203018767926211</v>
      </c>
      <c r="O23" s="174"/>
    </row>
    <row r="24" spans="2:15" x14ac:dyDescent="0.3">
      <c r="B24" s="13" t="s">
        <v>63</v>
      </c>
      <c r="C24" s="14">
        <f t="shared" si="3"/>
        <v>0.20630432615720734</v>
      </c>
      <c r="D24" s="14">
        <f t="shared" si="3"/>
        <v>0.20515184166886785</v>
      </c>
      <c r="E24" s="14">
        <f t="shared" si="3"/>
        <v>0</v>
      </c>
      <c r="F24" s="14">
        <f t="shared" si="3"/>
        <v>0.13794986315148317</v>
      </c>
      <c r="G24" s="14">
        <f t="shared" si="3"/>
        <v>0.48462860247575962</v>
      </c>
      <c r="H24" s="14">
        <f t="shared" si="3"/>
        <v>1</v>
      </c>
      <c r="I24" s="14">
        <f t="shared" si="3"/>
        <v>0</v>
      </c>
      <c r="J24" s="14">
        <f t="shared" si="3"/>
        <v>0</v>
      </c>
      <c r="K24" s="14">
        <f t="shared" si="3"/>
        <v>0.82753497040456536</v>
      </c>
      <c r="L24" s="14">
        <f t="shared" si="3"/>
        <v>0.53273638400887169</v>
      </c>
      <c r="M24" s="87">
        <f t="shared" si="3"/>
        <v>0.25612936399021086</v>
      </c>
      <c r="N24" s="86">
        <f t="shared" si="2"/>
        <v>0.33185775925972416</v>
      </c>
      <c r="O24" s="174"/>
    </row>
    <row r="25" spans="2:15" ht="14.25" thickBot="1" x14ac:dyDescent="0.35">
      <c r="B25" s="15" t="s">
        <v>64</v>
      </c>
      <c r="C25" s="16">
        <f t="shared" si="3"/>
        <v>0.72646675550042172</v>
      </c>
      <c r="D25" s="16">
        <f t="shared" si="3"/>
        <v>0.92714103361053013</v>
      </c>
      <c r="E25" s="16">
        <f t="shared" si="3"/>
        <v>7.0079821545304885E-2</v>
      </c>
      <c r="F25" s="16">
        <f t="shared" si="3"/>
        <v>0</v>
      </c>
      <c r="G25" s="16">
        <f t="shared" si="3"/>
        <v>1</v>
      </c>
      <c r="H25" s="16">
        <f t="shared" si="3"/>
        <v>0.96157112944280398</v>
      </c>
      <c r="I25" s="16">
        <f t="shared" si="3"/>
        <v>0.67584951121991121</v>
      </c>
      <c r="J25" s="16">
        <f t="shared" si="3"/>
        <v>0</v>
      </c>
      <c r="K25" s="16">
        <f t="shared" si="3"/>
        <v>0</v>
      </c>
      <c r="L25" s="16">
        <f t="shared" si="3"/>
        <v>0.56000212955398743</v>
      </c>
      <c r="M25" s="88">
        <f t="shared" si="3"/>
        <v>0.67758293303353578</v>
      </c>
      <c r="N25" s="89">
        <f t="shared" si="2"/>
        <v>0.50897211944604492</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443</v>
      </c>
      <c r="D32" s="90" t="s">
        <v>443</v>
      </c>
      <c r="E32" s="90" t="s">
        <v>443</v>
      </c>
      <c r="F32" s="90" t="s">
        <v>443</v>
      </c>
      <c r="G32" s="90" t="s">
        <v>443</v>
      </c>
      <c r="I32" s="108"/>
      <c r="J32" s="108"/>
      <c r="K32" s="108"/>
    </row>
    <row r="33" spans="2:11" x14ac:dyDescent="0.3">
      <c r="B33" s="20" t="s">
        <v>26</v>
      </c>
      <c r="C33" s="94">
        <f t="shared" ref="C33:C39" si="4">N12</f>
        <v>5377612564</v>
      </c>
      <c r="D33" s="50">
        <f>C48</f>
        <v>0</v>
      </c>
      <c r="E33" s="95">
        <f>C33-D33</f>
        <v>5377612564</v>
      </c>
      <c r="F33" s="63">
        <f>PRODUCT(N21:$N$25)</f>
        <v>7.4389698006951553E-3</v>
      </c>
      <c r="G33" s="57">
        <f>ROUND(E33*F33,)</f>
        <v>40003897</v>
      </c>
      <c r="I33" s="108"/>
      <c r="J33" s="108"/>
      <c r="K33" s="108"/>
    </row>
    <row r="34" spans="2:11" x14ac:dyDescent="0.3">
      <c r="B34" s="22" t="s">
        <v>38</v>
      </c>
      <c r="C34" s="96">
        <f t="shared" si="4"/>
        <v>2162956966</v>
      </c>
      <c r="D34" s="52">
        <f t="shared" ref="D34:D39" si="5">C49</f>
        <v>0</v>
      </c>
      <c r="E34" s="97">
        <f t="shared" ref="E34:E39" si="6">C34-D34</f>
        <v>2162956966</v>
      </c>
      <c r="F34" s="64">
        <f>PRODUCT(N22:$N$25)</f>
        <v>2.8681835550587748E-2</v>
      </c>
      <c r="G34" s="58">
        <f t="shared" ref="G34:G39" si="7">ROUND(E34*F34,)</f>
        <v>62037576</v>
      </c>
      <c r="I34" s="108"/>
      <c r="J34" s="108"/>
      <c r="K34" s="108"/>
    </row>
    <row r="35" spans="2:11" x14ac:dyDescent="0.3">
      <c r="B35" s="22" t="s">
        <v>28</v>
      </c>
      <c r="C35" s="96">
        <f t="shared" si="4"/>
        <v>498936898</v>
      </c>
      <c r="D35" s="52">
        <f t="shared" si="5"/>
        <v>0</v>
      </c>
      <c r="E35" s="97">
        <f t="shared" si="6"/>
        <v>498936898</v>
      </c>
      <c r="F35" s="64">
        <f>PRODUCT(N23:$N$25)</f>
        <v>7.4661704302217552E-2</v>
      </c>
      <c r="G35" s="58">
        <f t="shared" si="7"/>
        <v>37251479</v>
      </c>
      <c r="I35" s="108"/>
      <c r="J35" s="108"/>
      <c r="K35" s="108"/>
    </row>
    <row r="36" spans="2:11" x14ac:dyDescent="0.3">
      <c r="B36" s="22" t="s">
        <v>29</v>
      </c>
      <c r="C36" s="96">
        <f t="shared" si="4"/>
        <v>298742678</v>
      </c>
      <c r="D36" s="52">
        <f t="shared" si="5"/>
        <v>0</v>
      </c>
      <c r="E36" s="97">
        <f t="shared" si="6"/>
        <v>298742678</v>
      </c>
      <c r="F36" s="64">
        <f>PRODUCT(N24:$N$25)</f>
        <v>0.16890634708503716</v>
      </c>
      <c r="G36" s="58">
        <f t="shared" si="7"/>
        <v>50459534</v>
      </c>
      <c r="I36" s="108"/>
      <c r="J36" s="108"/>
      <c r="K36" s="108"/>
    </row>
    <row r="37" spans="2:11" ht="14.25" thickBot="1" x14ac:dyDescent="0.35">
      <c r="B37" s="25" t="s">
        <v>31</v>
      </c>
      <c r="C37" s="98">
        <f t="shared" si="4"/>
        <v>201307083</v>
      </c>
      <c r="D37" s="55">
        <f t="shared" si="5"/>
        <v>0</v>
      </c>
      <c r="E37" s="99">
        <f t="shared" si="6"/>
        <v>201307083</v>
      </c>
      <c r="F37" s="67">
        <f>PRODUCT(N25:$N$25)</f>
        <v>0.50897211944604492</v>
      </c>
      <c r="G37" s="59">
        <f t="shared" si="7"/>
        <v>102459693</v>
      </c>
      <c r="I37" s="108"/>
      <c r="J37" s="108"/>
      <c r="K37" s="108"/>
    </row>
    <row r="38" spans="2:11" x14ac:dyDescent="0.3">
      <c r="B38" s="27" t="s">
        <v>33</v>
      </c>
      <c r="C38" s="94">
        <f t="shared" si="4"/>
        <v>462586424</v>
      </c>
      <c r="D38" s="50">
        <f t="shared" si="5"/>
        <v>0</v>
      </c>
      <c r="E38" s="29">
        <f t="shared" si="6"/>
        <v>462586424</v>
      </c>
      <c r="F38" s="100">
        <v>1</v>
      </c>
      <c r="G38" s="60">
        <f t="shared" si="7"/>
        <v>462586424</v>
      </c>
      <c r="I38" s="108"/>
      <c r="J38" s="108"/>
      <c r="K38" s="108"/>
    </row>
    <row r="39" spans="2:11" ht="14.25" thickBot="1" x14ac:dyDescent="0.35">
      <c r="B39" s="30" t="s">
        <v>35</v>
      </c>
      <c r="C39" s="98">
        <f t="shared" si="4"/>
        <v>349507863</v>
      </c>
      <c r="D39" s="55">
        <f t="shared" si="5"/>
        <v>27647453</v>
      </c>
      <c r="E39" s="32">
        <f t="shared" si="6"/>
        <v>321860410</v>
      </c>
      <c r="F39" s="67">
        <v>1</v>
      </c>
      <c r="G39" s="61">
        <f t="shared" si="7"/>
        <v>321860410</v>
      </c>
      <c r="I39" s="108"/>
      <c r="J39" s="108"/>
      <c r="K39" s="108"/>
    </row>
    <row r="40" spans="2:11" ht="14.25" thickBot="1" x14ac:dyDescent="0.35">
      <c r="B40" s="30" t="s">
        <v>41</v>
      </c>
      <c r="C40" s="101">
        <f>SUM(C33:C39)</f>
        <v>9351650476</v>
      </c>
      <c r="D40" s="101">
        <f>SUM(D33:D39)</f>
        <v>27647453</v>
      </c>
      <c r="E40" s="102">
        <f>SUM(E33:E39)</f>
        <v>9324003023</v>
      </c>
      <c r="F40" s="67"/>
      <c r="G40" s="61">
        <f>SUM(G33:G39)</f>
        <v>1076659013</v>
      </c>
      <c r="H40" s="108"/>
      <c r="I40" s="108"/>
      <c r="J40" s="108"/>
      <c r="K40" s="108"/>
    </row>
    <row r="41" spans="2:11" ht="14.25" thickBot="1" x14ac:dyDescent="0.35">
      <c r="B41" s="108"/>
      <c r="E41" s="109"/>
      <c r="F41" s="110"/>
      <c r="G41" s="115"/>
      <c r="H41" s="108"/>
      <c r="I41" s="108"/>
      <c r="J41" s="108"/>
      <c r="K41" s="108"/>
    </row>
    <row r="42" spans="2:11" ht="14.25" thickBot="1" x14ac:dyDescent="0.35">
      <c r="G42" s="33">
        <f>G40</f>
        <v>1076659013</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90" t="s">
        <v>443</v>
      </c>
      <c r="D47" s="90" t="s">
        <v>443</v>
      </c>
    </row>
    <row r="48" spans="2:11" x14ac:dyDescent="0.3">
      <c r="B48" s="20" t="s">
        <v>26</v>
      </c>
      <c r="C48" s="34">
        <v>0</v>
      </c>
      <c r="D48" s="35">
        <v>0</v>
      </c>
      <c r="F48" s="173" t="s">
        <v>85</v>
      </c>
      <c r="G48" s="173"/>
      <c r="H48" s="173"/>
      <c r="I48" s="173"/>
    </row>
    <row r="49" spans="1:10" x14ac:dyDescent="0.3">
      <c r="B49" s="22" t="s">
        <v>38</v>
      </c>
      <c r="C49" s="36">
        <v>0</v>
      </c>
      <c r="D49" s="37">
        <v>0</v>
      </c>
      <c r="F49" s="104" t="s">
        <v>90</v>
      </c>
      <c r="G49" s="105">
        <v>27647453</v>
      </c>
      <c r="H49" s="104"/>
      <c r="I49" s="105"/>
    </row>
    <row r="50" spans="1:10" x14ac:dyDescent="0.3">
      <c r="B50" s="22" t="s">
        <v>28</v>
      </c>
      <c r="C50" s="36">
        <v>0</v>
      </c>
      <c r="D50" s="37">
        <v>0</v>
      </c>
      <c r="F50" s="104"/>
      <c r="G50" s="105"/>
      <c r="H50" s="104"/>
      <c r="I50" s="105"/>
    </row>
    <row r="51" spans="1:10" x14ac:dyDescent="0.3">
      <c r="B51" s="22" t="s">
        <v>29</v>
      </c>
      <c r="C51" s="36">
        <v>0</v>
      </c>
      <c r="D51" s="37">
        <v>0</v>
      </c>
      <c r="F51" s="104"/>
      <c r="G51" s="105"/>
      <c r="H51" s="106"/>
      <c r="I51" s="106"/>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27647453</v>
      </c>
      <c r="D54" s="41">
        <f>C54</f>
        <v>27647453</v>
      </c>
    </row>
    <row r="55" spans="1:10" ht="14.25" thickBot="1" x14ac:dyDescent="0.35">
      <c r="B55" s="46" t="s">
        <v>11</v>
      </c>
      <c r="C55" s="47">
        <f>SUM(C48:C54)</f>
        <v>27647453</v>
      </c>
      <c r="D55" s="48">
        <f>SUM(D48:D54)</f>
        <v>27647453</v>
      </c>
    </row>
    <row r="56" spans="1:10" ht="14.25" thickBot="1" x14ac:dyDescent="0.35"/>
    <row r="57" spans="1:10" ht="14.25" thickBot="1" x14ac:dyDescent="0.35">
      <c r="E57" s="33">
        <f>D55</f>
        <v>27647453</v>
      </c>
      <c r="F57" s="2" t="s">
        <v>51</v>
      </c>
    </row>
    <row r="59" spans="1:10" x14ac:dyDescent="0.3">
      <c r="B59" s="111" t="s">
        <v>12</v>
      </c>
    </row>
    <row r="60" spans="1:10" x14ac:dyDescent="0.3">
      <c r="B60" s="2" t="s">
        <v>20</v>
      </c>
      <c r="H60" s="118"/>
      <c r="I60" s="118"/>
      <c r="J60" s="118"/>
    </row>
    <row r="61" spans="1:10" x14ac:dyDescent="0.3">
      <c r="B61" s="42" t="s">
        <v>14</v>
      </c>
      <c r="C61" s="42" t="s">
        <v>15</v>
      </c>
      <c r="D61" s="42" t="s">
        <v>98</v>
      </c>
      <c r="E61" s="42" t="s">
        <v>52</v>
      </c>
      <c r="H61" s="43"/>
      <c r="I61" s="119"/>
      <c r="J61" s="119"/>
    </row>
    <row r="62" spans="1:10" x14ac:dyDescent="0.3">
      <c r="A62" s="2" t="s">
        <v>18</v>
      </c>
      <c r="B62" s="103" t="s">
        <v>100</v>
      </c>
      <c r="C62" s="43" t="s">
        <v>4</v>
      </c>
      <c r="D62" s="44">
        <v>9351650476</v>
      </c>
      <c r="E62" s="43"/>
      <c r="H62" s="43"/>
      <c r="I62" s="119"/>
      <c r="J62" s="119"/>
    </row>
    <row r="63" spans="1:10" x14ac:dyDescent="0.3">
      <c r="A63" s="2" t="s">
        <v>19</v>
      </c>
      <c r="B63" s="43">
        <v>1110321</v>
      </c>
      <c r="C63" s="43" t="s">
        <v>13</v>
      </c>
      <c r="D63" s="44">
        <v>1104306466</v>
      </c>
      <c r="E63" s="45">
        <f>D63-G42-E57</f>
        <v>0</v>
      </c>
      <c r="F63" s="2" t="s">
        <v>16</v>
      </c>
      <c r="H63" s="43"/>
      <c r="I63" s="119"/>
      <c r="J63" s="119"/>
    </row>
    <row r="64" spans="1:10" x14ac:dyDescent="0.3">
      <c r="B64" s="43"/>
      <c r="C64" s="43" t="s">
        <v>101</v>
      </c>
      <c r="D64" s="45">
        <f>D62-D63</f>
        <v>8247344010</v>
      </c>
      <c r="E64" s="45">
        <f>D64-E40-C55+G42+E57</f>
        <v>0</v>
      </c>
      <c r="F64" s="2" t="s">
        <v>16</v>
      </c>
      <c r="H64" s="106"/>
      <c r="I64" s="120"/>
      <c r="J64" s="107"/>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2060"/>
  </sheetPr>
  <dimension ref="A2:O70"/>
  <sheetViews>
    <sheetView topLeftCell="C40" zoomScaleNormal="100" workbookViewId="0">
      <selection activeCell="J61" sqref="J61:J62"/>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246</v>
      </c>
      <c r="D11" s="4" t="s">
        <v>355</v>
      </c>
      <c r="E11" s="4" t="s">
        <v>362</v>
      </c>
      <c r="F11" s="4" t="s">
        <v>363</v>
      </c>
      <c r="G11" s="4" t="s">
        <v>372</v>
      </c>
      <c r="H11" s="4" t="s">
        <v>379</v>
      </c>
      <c r="I11" s="4" t="s">
        <v>380</v>
      </c>
      <c r="J11" s="4" t="s">
        <v>392</v>
      </c>
      <c r="K11" s="4" t="s">
        <v>396</v>
      </c>
      <c r="L11" s="73" t="s">
        <v>397</v>
      </c>
      <c r="M11" s="4" t="s">
        <v>443</v>
      </c>
      <c r="N11" s="80" t="s">
        <v>449</v>
      </c>
    </row>
    <row r="12" spans="2:14" x14ac:dyDescent="0.3">
      <c r="B12" s="5" t="s">
        <v>27</v>
      </c>
      <c r="C12" s="6">
        <v>2202685666</v>
      </c>
      <c r="D12" s="6">
        <v>2448094402</v>
      </c>
      <c r="E12" s="6">
        <v>2436043383</v>
      </c>
      <c r="F12" s="6">
        <v>2452539804</v>
      </c>
      <c r="G12" s="6">
        <v>1715641447</v>
      </c>
      <c r="H12" s="6">
        <v>1962667876</v>
      </c>
      <c r="I12" s="6">
        <v>1587555486</v>
      </c>
      <c r="J12" s="6">
        <v>1852826474</v>
      </c>
      <c r="K12" s="6">
        <v>1553973714</v>
      </c>
      <c r="L12" s="74">
        <v>1245802334</v>
      </c>
      <c r="M12" s="6">
        <v>1578960725</v>
      </c>
      <c r="N12" s="81">
        <v>1798569847</v>
      </c>
    </row>
    <row r="13" spans="2:14" x14ac:dyDescent="0.3">
      <c r="B13" s="7" t="s">
        <v>39</v>
      </c>
      <c r="C13" s="6">
        <v>112476407</v>
      </c>
      <c r="D13" s="6">
        <v>46121428</v>
      </c>
      <c r="E13" s="6">
        <v>45386643</v>
      </c>
      <c r="F13" s="6">
        <v>166622154</v>
      </c>
      <c r="G13" s="6">
        <v>161509038</v>
      </c>
      <c r="H13" s="6">
        <v>102054537</v>
      </c>
      <c r="I13" s="6">
        <v>7902115</v>
      </c>
      <c r="J13" s="6">
        <v>60538016</v>
      </c>
      <c r="K13" s="6">
        <v>107186544</v>
      </c>
      <c r="L13" s="74">
        <v>46551407</v>
      </c>
      <c r="M13" s="6">
        <v>27280000</v>
      </c>
      <c r="N13" s="81">
        <v>162357328</v>
      </c>
    </row>
    <row r="14" spans="2:14" x14ac:dyDescent="0.3">
      <c r="B14" s="7" t="s">
        <v>92</v>
      </c>
      <c r="C14" s="6"/>
      <c r="D14" s="6">
        <v>1992302</v>
      </c>
      <c r="E14" s="6"/>
      <c r="F14" s="6"/>
      <c r="G14" s="6"/>
      <c r="H14" s="6">
        <v>20356752</v>
      </c>
      <c r="I14" s="6"/>
      <c r="J14" s="6"/>
      <c r="K14" s="6">
        <v>19629500</v>
      </c>
      <c r="L14" s="74"/>
      <c r="M14" s="6"/>
      <c r="N14" s="81"/>
    </row>
    <row r="15" spans="2:14" x14ac:dyDescent="0.3">
      <c r="B15" s="7" t="s">
        <v>30</v>
      </c>
      <c r="C15" s="6">
        <v>63921998</v>
      </c>
      <c r="D15" s="6"/>
      <c r="E15" s="6">
        <v>1992302</v>
      </c>
      <c r="F15" s="6"/>
      <c r="G15" s="6"/>
      <c r="H15" s="6"/>
      <c r="I15" s="6"/>
      <c r="J15" s="6"/>
      <c r="K15" s="6"/>
      <c r="L15" s="74"/>
      <c r="M15" s="6"/>
      <c r="N15" s="81"/>
    </row>
    <row r="16" spans="2:14" x14ac:dyDescent="0.3">
      <c r="B16" s="7" t="s">
        <v>32</v>
      </c>
      <c r="C16" s="6"/>
      <c r="D16" s="6">
        <v>61921998</v>
      </c>
      <c r="E16" s="6"/>
      <c r="F16" s="6">
        <v>204802</v>
      </c>
      <c r="G16" s="6"/>
      <c r="H16" s="6"/>
      <c r="I16" s="6"/>
      <c r="J16" s="6"/>
      <c r="K16" s="6"/>
      <c r="L16" s="74"/>
      <c r="M16" s="6"/>
      <c r="N16" s="81"/>
    </row>
    <row r="17" spans="2:15" x14ac:dyDescent="0.3">
      <c r="B17" s="7" t="s">
        <v>34</v>
      </c>
      <c r="C17" s="6"/>
      <c r="D17" s="6"/>
      <c r="E17" s="6">
        <v>53327600</v>
      </c>
      <c r="F17" s="6"/>
      <c r="G17" s="6">
        <v>204802</v>
      </c>
      <c r="H17" s="6"/>
      <c r="I17" s="6"/>
      <c r="J17" s="6"/>
      <c r="K17" s="6"/>
      <c r="L17" s="74"/>
      <c r="M17" s="6"/>
      <c r="N17" s="81"/>
    </row>
    <row r="18" spans="2:15" ht="14.25" thickBot="1" x14ac:dyDescent="0.35">
      <c r="B18" s="8" t="s">
        <v>93</v>
      </c>
      <c r="C18" s="9">
        <v>414321318</v>
      </c>
      <c r="D18" s="9">
        <v>414321318</v>
      </c>
      <c r="E18" s="9">
        <v>414321318</v>
      </c>
      <c r="F18" s="9">
        <v>467648918</v>
      </c>
      <c r="G18" s="9">
        <v>414321318</v>
      </c>
      <c r="H18" s="9">
        <v>114526120</v>
      </c>
      <c r="I18" s="9">
        <v>114526120</v>
      </c>
      <c r="J18" s="9">
        <v>114526120</v>
      </c>
      <c r="K18" s="9">
        <v>114526120</v>
      </c>
      <c r="L18" s="75">
        <v>114526120</v>
      </c>
      <c r="M18" s="9">
        <v>114526120</v>
      </c>
      <c r="N18" s="82">
        <v>114526120</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2.0938724354508057E-2</v>
      </c>
      <c r="D21" s="11">
        <f>IF(IFERROR(E13/D12,0)&gt;1,1,IFERROR(E13/D12,0))</f>
        <v>1.8539580402994606E-2</v>
      </c>
      <c r="E21" s="11">
        <f t="shared" ref="E21:M21" si="0">IF(IFERROR(F13/E12,0)&gt;1,1,IFERROR(F13/E12,0))</f>
        <v>6.8398680894920669E-2</v>
      </c>
      <c r="F21" s="11">
        <f t="shared" si="0"/>
        <v>6.585378868737822E-2</v>
      </c>
      <c r="G21" s="11">
        <f t="shared" si="0"/>
        <v>5.9484770071540481E-2</v>
      </c>
      <c r="H21" s="11">
        <f t="shared" si="0"/>
        <v>4.02621100423004E-3</v>
      </c>
      <c r="I21" s="11">
        <f t="shared" si="0"/>
        <v>3.8132850494902323E-2</v>
      </c>
      <c r="J21" s="11">
        <f t="shared" si="0"/>
        <v>5.7850287387463138E-2</v>
      </c>
      <c r="K21" s="11">
        <f t="shared" si="0"/>
        <v>2.9956367074044341E-2</v>
      </c>
      <c r="L21" s="11">
        <f t="shared" si="0"/>
        <v>2.1897534829951604E-2</v>
      </c>
      <c r="M21" s="83">
        <f t="shared" si="0"/>
        <v>0.10282543791581643</v>
      </c>
      <c r="N21" s="84">
        <f>AVERAGE(C21:M21)</f>
        <v>4.4354930283431813E-2</v>
      </c>
      <c r="O21" s="174" t="s">
        <v>58</v>
      </c>
    </row>
    <row r="22" spans="2:15" x14ac:dyDescent="0.3">
      <c r="B22" s="13" t="s">
        <v>61</v>
      </c>
      <c r="C22" s="14">
        <f>IF(IFERROR(D14/C13,0)&gt;1,1,IFERROR(D14/C13,0))</f>
        <v>1.7713065816549422E-2</v>
      </c>
      <c r="D22" s="14">
        <f t="shared" ref="D22:M22" si="1">IF(IFERROR(E14/D13,0)&gt;1,1,IFERROR(E14/D13,0))</f>
        <v>0</v>
      </c>
      <c r="E22" s="14">
        <f t="shared" si="1"/>
        <v>0</v>
      </c>
      <c r="F22" s="14">
        <f t="shared" si="1"/>
        <v>0</v>
      </c>
      <c r="G22" s="14">
        <f t="shared" si="1"/>
        <v>0.12604094638963795</v>
      </c>
      <c r="H22" s="14">
        <f t="shared" si="1"/>
        <v>0</v>
      </c>
      <c r="I22" s="14">
        <f t="shared" si="1"/>
        <v>0</v>
      </c>
      <c r="J22" s="14">
        <f t="shared" si="1"/>
        <v>0.32425079804399271</v>
      </c>
      <c r="K22" s="14">
        <f t="shared" si="1"/>
        <v>0</v>
      </c>
      <c r="L22" s="14">
        <f t="shared" si="1"/>
        <v>0</v>
      </c>
      <c r="M22" s="85">
        <f t="shared" si="1"/>
        <v>0</v>
      </c>
      <c r="N22" s="86">
        <f t="shared" ref="N22:N25" si="2">AVERAGE(C22:M22)</f>
        <v>4.2545891840925457E-2</v>
      </c>
      <c r="O22" s="174"/>
    </row>
    <row r="23" spans="2:15" x14ac:dyDescent="0.3">
      <c r="B23" s="13" t="s">
        <v>62</v>
      </c>
      <c r="C23" s="14">
        <f t="shared" ref="C23:M25" si="3">IF(IFERROR(D15/C14,0)&gt;1,1,IFERROR(D15/C14,0))</f>
        <v>0</v>
      </c>
      <c r="D23" s="14">
        <f t="shared" si="3"/>
        <v>1</v>
      </c>
      <c r="E23" s="14">
        <f t="shared" si="3"/>
        <v>0</v>
      </c>
      <c r="F23" s="14">
        <f t="shared" si="3"/>
        <v>0</v>
      </c>
      <c r="G23" s="14">
        <f t="shared" si="3"/>
        <v>0</v>
      </c>
      <c r="H23" s="14">
        <f t="shared" si="3"/>
        <v>0</v>
      </c>
      <c r="I23" s="14">
        <f t="shared" si="3"/>
        <v>0</v>
      </c>
      <c r="J23" s="14">
        <f t="shared" si="3"/>
        <v>0</v>
      </c>
      <c r="K23" s="14">
        <f t="shared" si="3"/>
        <v>0</v>
      </c>
      <c r="L23" s="14">
        <f t="shared" si="3"/>
        <v>0</v>
      </c>
      <c r="M23" s="85">
        <f t="shared" si="3"/>
        <v>0</v>
      </c>
      <c r="N23" s="86">
        <f t="shared" si="2"/>
        <v>9.0909090909090912E-2</v>
      </c>
      <c r="O23" s="174"/>
    </row>
    <row r="24" spans="2:15" x14ac:dyDescent="0.3">
      <c r="B24" s="13" t="s">
        <v>63</v>
      </c>
      <c r="C24" s="14">
        <f t="shared" si="3"/>
        <v>0.96871186660967634</v>
      </c>
      <c r="D24" s="14">
        <f t="shared" si="3"/>
        <v>0</v>
      </c>
      <c r="E24" s="14">
        <f t="shared" si="3"/>
        <v>0.10279666436112597</v>
      </c>
      <c r="F24" s="14">
        <f t="shared" si="3"/>
        <v>0</v>
      </c>
      <c r="G24" s="14">
        <f t="shared" si="3"/>
        <v>0</v>
      </c>
      <c r="H24" s="14">
        <f t="shared" si="3"/>
        <v>0</v>
      </c>
      <c r="I24" s="14">
        <f t="shared" si="3"/>
        <v>0</v>
      </c>
      <c r="J24" s="14">
        <f t="shared" si="3"/>
        <v>0</v>
      </c>
      <c r="K24" s="14">
        <f t="shared" si="3"/>
        <v>0</v>
      </c>
      <c r="L24" s="14">
        <f t="shared" si="3"/>
        <v>0</v>
      </c>
      <c r="M24" s="87">
        <f t="shared" si="3"/>
        <v>0</v>
      </c>
      <c r="N24" s="86">
        <f t="shared" si="2"/>
        <v>9.7409866451891119E-2</v>
      </c>
      <c r="O24" s="174"/>
    </row>
    <row r="25" spans="2:15" ht="14.25" thickBot="1" x14ac:dyDescent="0.35">
      <c r="B25" s="15" t="s">
        <v>64</v>
      </c>
      <c r="C25" s="16">
        <f t="shared" si="3"/>
        <v>0</v>
      </c>
      <c r="D25" s="16">
        <f t="shared" si="3"/>
        <v>0.86120606121268894</v>
      </c>
      <c r="E25" s="16">
        <f t="shared" si="3"/>
        <v>0</v>
      </c>
      <c r="F25" s="16">
        <f t="shared" si="3"/>
        <v>1</v>
      </c>
      <c r="G25" s="16">
        <f t="shared" si="3"/>
        <v>0</v>
      </c>
      <c r="H25" s="16">
        <f t="shared" si="3"/>
        <v>0</v>
      </c>
      <c r="I25" s="16">
        <f t="shared" si="3"/>
        <v>0</v>
      </c>
      <c r="J25" s="16">
        <f t="shared" si="3"/>
        <v>0</v>
      </c>
      <c r="K25" s="16">
        <f t="shared" si="3"/>
        <v>0</v>
      </c>
      <c r="L25" s="16">
        <f t="shared" si="3"/>
        <v>0</v>
      </c>
      <c r="M25" s="88">
        <f t="shared" si="3"/>
        <v>0</v>
      </c>
      <c r="N25" s="89">
        <f t="shared" si="2"/>
        <v>0.16920055101933534</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448</v>
      </c>
      <c r="D32" s="91" t="s">
        <v>448</v>
      </c>
      <c r="E32" s="92" t="s">
        <v>448</v>
      </c>
      <c r="F32" s="93" t="s">
        <v>448</v>
      </c>
      <c r="G32" s="56" t="s">
        <v>448</v>
      </c>
      <c r="I32" s="108"/>
      <c r="J32" s="108"/>
      <c r="K32" s="108"/>
    </row>
    <row r="33" spans="2:11" x14ac:dyDescent="0.3">
      <c r="B33" s="20" t="s">
        <v>26</v>
      </c>
      <c r="C33" s="94">
        <f t="shared" ref="C33:C39" si="4">N12</f>
        <v>1798569847</v>
      </c>
      <c r="D33" s="50">
        <f>C48</f>
        <v>0</v>
      </c>
      <c r="E33" s="95">
        <f>C33-D33</f>
        <v>1798569847</v>
      </c>
      <c r="F33" s="63">
        <f>PRODUCT(N21:$N$25)</f>
        <v>2.827558301863562E-6</v>
      </c>
      <c r="G33" s="57">
        <f>ROUND(E33*F33,)</f>
        <v>5086</v>
      </c>
      <c r="I33" s="108"/>
      <c r="J33" s="108"/>
      <c r="K33" s="108"/>
    </row>
    <row r="34" spans="2:11" x14ac:dyDescent="0.3">
      <c r="B34" s="22" t="s">
        <v>38</v>
      </c>
      <c r="C34" s="96">
        <f t="shared" si="4"/>
        <v>162357328</v>
      </c>
      <c r="D34" s="52">
        <f t="shared" ref="D34:D39" si="5">C49</f>
        <v>0</v>
      </c>
      <c r="E34" s="97">
        <f t="shared" ref="E34:E39" si="6">C34-D34</f>
        <v>162357328</v>
      </c>
      <c r="F34" s="64">
        <f>PRODUCT(N22:$N$25)</f>
        <v>6.374845555601648E-5</v>
      </c>
      <c r="G34" s="58">
        <f t="shared" ref="G34:G37" si="7">ROUND(E34*F34,)</f>
        <v>10350</v>
      </c>
      <c r="I34" s="108"/>
      <c r="J34" s="108"/>
      <c r="K34" s="108"/>
    </row>
    <row r="35" spans="2:11" x14ac:dyDescent="0.3">
      <c r="B35" s="22" t="s">
        <v>28</v>
      </c>
      <c r="C35" s="96">
        <f t="shared" si="4"/>
        <v>0</v>
      </c>
      <c r="D35" s="52">
        <f t="shared" si="5"/>
        <v>0</v>
      </c>
      <c r="E35" s="97">
        <f t="shared" si="6"/>
        <v>0</v>
      </c>
      <c r="F35" s="64">
        <f>PRODUCT(N23:$N$25)</f>
        <v>1.4983457343981676E-3</v>
      </c>
      <c r="G35" s="58">
        <f t="shared" si="7"/>
        <v>0</v>
      </c>
      <c r="I35" s="108"/>
      <c r="J35" s="108"/>
      <c r="K35" s="108"/>
    </row>
    <row r="36" spans="2:11" x14ac:dyDescent="0.3">
      <c r="B36" s="22" t="s">
        <v>29</v>
      </c>
      <c r="C36" s="96">
        <f t="shared" si="4"/>
        <v>0</v>
      </c>
      <c r="D36" s="52">
        <f>C51</f>
        <v>0</v>
      </c>
      <c r="E36" s="97">
        <f t="shared" si="6"/>
        <v>0</v>
      </c>
      <c r="F36" s="64">
        <f>PRODUCT(N24:$N$25)</f>
        <v>1.6481803078379844E-2</v>
      </c>
      <c r="G36" s="58">
        <f t="shared" si="7"/>
        <v>0</v>
      </c>
      <c r="I36" s="108"/>
      <c r="J36" s="108"/>
      <c r="K36" s="108"/>
    </row>
    <row r="37" spans="2:11" ht="14.25" thickBot="1" x14ac:dyDescent="0.35">
      <c r="B37" s="25" t="s">
        <v>31</v>
      </c>
      <c r="C37" s="98">
        <f t="shared" si="4"/>
        <v>0</v>
      </c>
      <c r="D37" s="55">
        <f t="shared" si="5"/>
        <v>0</v>
      </c>
      <c r="E37" s="99">
        <f t="shared" si="6"/>
        <v>0</v>
      </c>
      <c r="F37" s="67">
        <f>PRODUCT(N25:$N$25)</f>
        <v>0.16920055101933534</v>
      </c>
      <c r="G37" s="59">
        <f t="shared" si="7"/>
        <v>0</v>
      </c>
      <c r="I37" s="108"/>
      <c r="J37" s="108"/>
      <c r="K37" s="108"/>
    </row>
    <row r="38" spans="2:11" x14ac:dyDescent="0.3">
      <c r="B38" s="27" t="s">
        <v>33</v>
      </c>
      <c r="C38" s="94">
        <f t="shared" si="4"/>
        <v>0</v>
      </c>
      <c r="D38" s="50">
        <f t="shared" si="5"/>
        <v>0</v>
      </c>
      <c r="E38" s="29">
        <f t="shared" si="6"/>
        <v>0</v>
      </c>
      <c r="F38" s="100">
        <v>1</v>
      </c>
      <c r="G38" s="60">
        <f>ROUND(E38*F38,)</f>
        <v>0</v>
      </c>
      <c r="I38" s="108"/>
      <c r="J38" s="108"/>
      <c r="K38" s="108"/>
    </row>
    <row r="39" spans="2:11" ht="14.25" thickBot="1" x14ac:dyDescent="0.35">
      <c r="B39" s="30" t="s">
        <v>35</v>
      </c>
      <c r="C39" s="98">
        <f t="shared" si="4"/>
        <v>114526120</v>
      </c>
      <c r="D39" s="55">
        <f t="shared" si="5"/>
        <v>114321318</v>
      </c>
      <c r="E39" s="32">
        <f t="shared" si="6"/>
        <v>204802</v>
      </c>
      <c r="F39" s="67">
        <v>1</v>
      </c>
      <c r="G39" s="61">
        <f>ROUND(E39*F39,)</f>
        <v>204802</v>
      </c>
      <c r="I39" s="108"/>
      <c r="J39" s="108"/>
      <c r="K39" s="108"/>
    </row>
    <row r="40" spans="2:11" ht="14.25" thickBot="1" x14ac:dyDescent="0.35">
      <c r="B40" s="30" t="s">
        <v>41</v>
      </c>
      <c r="C40" s="101">
        <f>SUM(C33:C39)</f>
        <v>2075453295</v>
      </c>
      <c r="D40" s="101">
        <f>SUM(D33:D39)</f>
        <v>114321318</v>
      </c>
      <c r="E40" s="102">
        <f>SUM(E33:E39)</f>
        <v>1961131977</v>
      </c>
      <c r="F40" s="67"/>
      <c r="G40" s="61">
        <f>SUM(G33:G39)</f>
        <v>220238</v>
      </c>
      <c r="H40" s="108"/>
      <c r="I40" s="108"/>
      <c r="J40" s="108"/>
      <c r="K40" s="108"/>
    </row>
    <row r="41" spans="2:11" ht="14.25" thickBot="1" x14ac:dyDescent="0.35">
      <c r="B41" s="108"/>
      <c r="E41" s="109"/>
      <c r="F41" s="110"/>
      <c r="G41" s="115"/>
      <c r="H41" s="108"/>
      <c r="I41" s="108"/>
      <c r="J41" s="108"/>
      <c r="K41" s="108"/>
    </row>
    <row r="42" spans="2:11" ht="14.25" thickBot="1" x14ac:dyDescent="0.35">
      <c r="G42" s="33">
        <f>G40</f>
        <v>220238</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17" t="s">
        <v>448</v>
      </c>
      <c r="D47" s="19" t="s">
        <v>448</v>
      </c>
    </row>
    <row r="48" spans="2:11" x14ac:dyDescent="0.3">
      <c r="B48" s="20" t="s">
        <v>26</v>
      </c>
      <c r="C48" s="34">
        <v>0</v>
      </c>
      <c r="D48" s="35">
        <v>0</v>
      </c>
      <c r="F48" s="173" t="s">
        <v>85</v>
      </c>
      <c r="G48" s="173"/>
      <c r="H48" s="173"/>
      <c r="I48" s="173"/>
    </row>
    <row r="49" spans="1:10" x14ac:dyDescent="0.3">
      <c r="B49" s="22" t="s">
        <v>38</v>
      </c>
      <c r="C49" s="36">
        <v>0</v>
      </c>
      <c r="D49" s="37">
        <v>0</v>
      </c>
      <c r="F49" s="104" t="s">
        <v>86</v>
      </c>
      <c r="G49" s="105">
        <v>27256788</v>
      </c>
      <c r="H49" s="104" t="s">
        <v>87</v>
      </c>
      <c r="I49" s="105">
        <v>49060000</v>
      </c>
    </row>
    <row r="50" spans="1:10" x14ac:dyDescent="0.3">
      <c r="B50" s="22" t="s">
        <v>28</v>
      </c>
      <c r="C50" s="36">
        <v>0</v>
      </c>
      <c r="D50" s="37">
        <v>0</v>
      </c>
      <c r="F50" s="104" t="s">
        <v>88</v>
      </c>
      <c r="G50" s="105">
        <v>3228130</v>
      </c>
      <c r="H50" s="104" t="s">
        <v>89</v>
      </c>
      <c r="I50" s="105">
        <v>12000000</v>
      </c>
    </row>
    <row r="51" spans="1:10" x14ac:dyDescent="0.3">
      <c r="B51" s="22" t="s">
        <v>29</v>
      </c>
      <c r="C51" s="36">
        <v>0</v>
      </c>
      <c r="D51" s="37">
        <v>0</v>
      </c>
      <c r="F51" s="104" t="s">
        <v>354</v>
      </c>
      <c r="G51" s="105">
        <v>22776400</v>
      </c>
      <c r="H51" s="106"/>
      <c r="I51" s="105"/>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114321318</v>
      </c>
      <c r="D54" s="41">
        <f>C54</f>
        <v>114321318</v>
      </c>
    </row>
    <row r="55" spans="1:10" ht="14.25" thickBot="1" x14ac:dyDescent="0.35">
      <c r="B55" s="46" t="s">
        <v>11</v>
      </c>
      <c r="C55" s="47">
        <f>SUM(C48:C54)</f>
        <v>114321318</v>
      </c>
      <c r="D55" s="48">
        <f>SUM(D48:D54)</f>
        <v>114321318</v>
      </c>
    </row>
    <row r="56" spans="1:10" ht="14.25" thickBot="1" x14ac:dyDescent="0.35"/>
    <row r="57" spans="1:10" ht="14.25" thickBot="1" x14ac:dyDescent="0.35">
      <c r="E57" s="33">
        <f>D55</f>
        <v>114321318</v>
      </c>
      <c r="F57" s="2" t="s">
        <v>51</v>
      </c>
    </row>
    <row r="59" spans="1:10" x14ac:dyDescent="0.3">
      <c r="B59" s="111" t="s">
        <v>12</v>
      </c>
    </row>
    <row r="60" spans="1:10" x14ac:dyDescent="0.3">
      <c r="B60" s="2" t="s">
        <v>20</v>
      </c>
      <c r="H60" s="118" t="s">
        <v>370</v>
      </c>
      <c r="I60" s="118" t="s">
        <v>84</v>
      </c>
      <c r="J60" s="118" t="s">
        <v>78</v>
      </c>
    </row>
    <row r="61" spans="1:10" x14ac:dyDescent="0.3">
      <c r="B61" s="42" t="s">
        <v>14</v>
      </c>
      <c r="C61" s="42" t="s">
        <v>15</v>
      </c>
      <c r="D61" s="42" t="s">
        <v>98</v>
      </c>
      <c r="E61" s="42" t="s">
        <v>52</v>
      </c>
      <c r="H61" s="43" t="s">
        <v>447</v>
      </c>
      <c r="I61" s="119">
        <f>D63+'전이율 적용(2023.2Q)-수출'!D63</f>
        <v>1303171086</v>
      </c>
      <c r="J61" s="119">
        <v>505762865</v>
      </c>
    </row>
    <row r="62" spans="1:10" x14ac:dyDescent="0.3">
      <c r="A62" s="2" t="s">
        <v>18</v>
      </c>
      <c r="B62" s="103" t="s">
        <v>100</v>
      </c>
      <c r="C62" s="43" t="s">
        <v>4</v>
      </c>
      <c r="D62" s="44">
        <v>2075453295</v>
      </c>
      <c r="E62" s="43"/>
      <c r="H62" s="43" t="s">
        <v>384</v>
      </c>
      <c r="I62" s="119">
        <v>1218843175</v>
      </c>
      <c r="J62" s="119">
        <v>422391830</v>
      </c>
    </row>
    <row r="63" spans="1:10" x14ac:dyDescent="0.3">
      <c r="A63" s="2" t="s">
        <v>19</v>
      </c>
      <c r="B63" s="43">
        <v>1110321</v>
      </c>
      <c r="C63" s="43" t="s">
        <v>13</v>
      </c>
      <c r="D63" s="44">
        <v>114541556</v>
      </c>
      <c r="E63" s="45">
        <f>D63-G42-E57</f>
        <v>0</v>
      </c>
      <c r="F63" s="2" t="s">
        <v>16</v>
      </c>
      <c r="H63" s="43" t="s">
        <v>81</v>
      </c>
      <c r="I63" s="119"/>
      <c r="J63" s="119"/>
    </row>
    <row r="64" spans="1:10" x14ac:dyDescent="0.3">
      <c r="B64" s="43"/>
      <c r="C64" s="43" t="s">
        <v>101</v>
      </c>
      <c r="D64" s="45">
        <f>D62-D63</f>
        <v>1960911739</v>
      </c>
      <c r="E64" s="45">
        <f>D64-E40-C55+G42+E57</f>
        <v>0</v>
      </c>
      <c r="F64" s="2" t="s">
        <v>16</v>
      </c>
      <c r="H64" s="106" t="s">
        <v>82</v>
      </c>
      <c r="I64" s="120">
        <f>I61-I62+I63</f>
        <v>84327911</v>
      </c>
      <c r="J64" s="107">
        <f>J61-J62+J63</f>
        <v>83371035</v>
      </c>
    </row>
    <row r="66" spans="8:10" hidden="1" x14ac:dyDescent="0.3">
      <c r="H66" s="118" t="s">
        <v>371</v>
      </c>
      <c r="I66" s="118" t="s">
        <v>84</v>
      </c>
      <c r="J66" s="118" t="s">
        <v>78</v>
      </c>
    </row>
    <row r="67" spans="8:10" hidden="1" x14ac:dyDescent="0.3">
      <c r="H67" s="43" t="s">
        <v>377</v>
      </c>
      <c r="I67" s="119">
        <v>70000000</v>
      </c>
      <c r="J67" s="119"/>
    </row>
    <row r="68" spans="8:10" hidden="1" x14ac:dyDescent="0.3">
      <c r="H68" s="43" t="s">
        <v>378</v>
      </c>
      <c r="I68" s="119">
        <v>80000000</v>
      </c>
      <c r="J68" s="119"/>
    </row>
    <row r="69" spans="8:10" hidden="1" x14ac:dyDescent="0.3">
      <c r="H69" s="43" t="s">
        <v>81</v>
      </c>
      <c r="I69" s="119"/>
      <c r="J69" s="119"/>
    </row>
    <row r="70" spans="8:10" hidden="1" x14ac:dyDescent="0.3">
      <c r="H70" s="106" t="s">
        <v>82</v>
      </c>
      <c r="I70" s="120">
        <f>I68+I67</f>
        <v>150000000</v>
      </c>
      <c r="J70" s="107">
        <f>J67-J68+J69</f>
        <v>0</v>
      </c>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2060"/>
  </sheetPr>
  <dimension ref="A2:O64"/>
  <sheetViews>
    <sheetView topLeftCell="A49" zoomScaleNormal="100" workbookViewId="0">
      <selection activeCell="D64" sqref="D64"/>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246</v>
      </c>
      <c r="D11" s="4" t="s">
        <v>355</v>
      </c>
      <c r="E11" s="4" t="s">
        <v>362</v>
      </c>
      <c r="F11" s="4" t="s">
        <v>363</v>
      </c>
      <c r="G11" s="4" t="s">
        <v>372</v>
      </c>
      <c r="H11" s="4" t="s">
        <v>379</v>
      </c>
      <c r="I11" s="4" t="s">
        <v>380</v>
      </c>
      <c r="J11" s="4" t="s">
        <v>392</v>
      </c>
      <c r="K11" s="4" t="s">
        <v>396</v>
      </c>
      <c r="L11" s="73" t="s">
        <v>397</v>
      </c>
      <c r="M11" s="4" t="s">
        <v>443</v>
      </c>
      <c r="N11" s="80" t="s">
        <v>449</v>
      </c>
    </row>
    <row r="12" spans="2:14" x14ac:dyDescent="0.3">
      <c r="B12" s="5" t="s">
        <v>27</v>
      </c>
      <c r="C12" s="6">
        <v>5226625839</v>
      </c>
      <c r="D12" s="6">
        <v>5177507228</v>
      </c>
      <c r="E12" s="6">
        <v>7686782434</v>
      </c>
      <c r="F12" s="6">
        <v>6513914814</v>
      </c>
      <c r="G12" s="6">
        <v>6967970393</v>
      </c>
      <c r="H12" s="6">
        <v>6661971596</v>
      </c>
      <c r="I12" s="6">
        <v>6815296486</v>
      </c>
      <c r="J12" s="6">
        <v>6608289603</v>
      </c>
      <c r="K12" s="6">
        <v>4987984096</v>
      </c>
      <c r="L12" s="74">
        <v>5361948616</v>
      </c>
      <c r="M12" s="6">
        <v>5377612564</v>
      </c>
      <c r="N12" s="81">
        <v>5770717397</v>
      </c>
    </row>
    <row r="13" spans="2:14" x14ac:dyDescent="0.3">
      <c r="B13" s="7" t="s">
        <v>39</v>
      </c>
      <c r="C13" s="6">
        <v>1217048730</v>
      </c>
      <c r="D13" s="6">
        <v>1057246878</v>
      </c>
      <c r="E13" s="6">
        <v>844001742</v>
      </c>
      <c r="F13" s="6">
        <v>1826886285</v>
      </c>
      <c r="G13" s="6">
        <v>1492293396</v>
      </c>
      <c r="H13" s="6">
        <v>1580210690</v>
      </c>
      <c r="I13" s="6">
        <v>1897812424</v>
      </c>
      <c r="J13" s="6">
        <v>2068394905</v>
      </c>
      <c r="K13" s="6">
        <v>2126571324</v>
      </c>
      <c r="L13" s="74">
        <v>1229193136</v>
      </c>
      <c r="M13" s="6">
        <v>2162956966</v>
      </c>
      <c r="N13" s="81">
        <v>2218561179</v>
      </c>
    </row>
    <row r="14" spans="2:14" x14ac:dyDescent="0.3">
      <c r="B14" s="7" t="s">
        <v>92</v>
      </c>
      <c r="C14" s="6">
        <v>239763111</v>
      </c>
      <c r="D14" s="6">
        <v>311848277</v>
      </c>
      <c r="E14" s="6">
        <v>392955886</v>
      </c>
      <c r="F14" s="6">
        <v>253537343</v>
      </c>
      <c r="G14" s="6">
        <v>417162571</v>
      </c>
      <c r="H14" s="6">
        <v>515963566</v>
      </c>
      <c r="I14" s="6">
        <v>907853734</v>
      </c>
      <c r="J14" s="6">
        <v>1477183747</v>
      </c>
      <c r="K14" s="6">
        <v>889839372</v>
      </c>
      <c r="L14" s="74">
        <v>842344784</v>
      </c>
      <c r="M14" s="6">
        <v>498936898</v>
      </c>
      <c r="N14" s="81">
        <v>1076737336</v>
      </c>
    </row>
    <row r="15" spans="2:14" x14ac:dyDescent="0.3">
      <c r="B15" s="7" t="s">
        <v>30</v>
      </c>
      <c r="C15" s="6">
        <v>283828249</v>
      </c>
      <c r="D15" s="6">
        <v>134444998</v>
      </c>
      <c r="E15" s="6">
        <v>159098911</v>
      </c>
      <c r="F15" s="6">
        <v>68481932</v>
      </c>
      <c r="G15" s="6">
        <v>13279209</v>
      </c>
      <c r="H15" s="6">
        <v>151736282</v>
      </c>
      <c r="I15" s="6">
        <v>71447359</v>
      </c>
      <c r="J15" s="6">
        <v>408606940</v>
      </c>
      <c r="K15" s="6">
        <v>1281498393</v>
      </c>
      <c r="L15" s="74">
        <v>785958626</v>
      </c>
      <c r="M15" s="6">
        <v>298742678</v>
      </c>
      <c r="N15" s="81">
        <v>364543463</v>
      </c>
    </row>
    <row r="16" spans="2:14" x14ac:dyDescent="0.3">
      <c r="B16" s="7" t="s">
        <v>32</v>
      </c>
      <c r="C16" s="6">
        <v>56425025</v>
      </c>
      <c r="D16" s="6">
        <v>58227888</v>
      </c>
      <c r="E16" s="6"/>
      <c r="F16" s="6">
        <v>21947673</v>
      </c>
      <c r="G16" s="6">
        <v>33188303</v>
      </c>
      <c r="H16" s="6">
        <v>13285934</v>
      </c>
      <c r="I16" s="6"/>
      <c r="J16" s="6"/>
      <c r="K16" s="6">
        <v>338136532</v>
      </c>
      <c r="L16" s="74">
        <v>682700820</v>
      </c>
      <c r="M16" s="6">
        <v>201307083</v>
      </c>
      <c r="N16" s="81">
        <v>77696453</v>
      </c>
    </row>
    <row r="17" spans="2:15" x14ac:dyDescent="0.3">
      <c r="B17" s="7" t="s">
        <v>34</v>
      </c>
      <c r="C17" s="6">
        <v>56383366</v>
      </c>
      <c r="D17" s="6">
        <v>52313956</v>
      </c>
      <c r="E17" s="6">
        <v>4080600</v>
      </c>
      <c r="F17" s="6"/>
      <c r="G17" s="6">
        <v>23013981</v>
      </c>
      <c r="H17" s="6">
        <v>31912914</v>
      </c>
      <c r="I17" s="6">
        <v>8979292</v>
      </c>
      <c r="J17" s="6"/>
      <c r="K17" s="6"/>
      <c r="L17" s="74">
        <v>189357178</v>
      </c>
      <c r="M17" s="6">
        <v>462586424</v>
      </c>
      <c r="N17" s="81">
        <v>144835880</v>
      </c>
    </row>
    <row r="18" spans="2:15" ht="14.25" thickBot="1" x14ac:dyDescent="0.35">
      <c r="B18" s="8" t="s">
        <v>93</v>
      </c>
      <c r="C18" s="9">
        <v>127164358</v>
      </c>
      <c r="D18" s="9">
        <v>168559690</v>
      </c>
      <c r="E18" s="9">
        <v>202122554</v>
      </c>
      <c r="F18" s="9">
        <v>172059100</v>
      </c>
      <c r="G18" s="9">
        <v>138693269</v>
      </c>
      <c r="H18" s="9">
        <v>151920823</v>
      </c>
      <c r="I18" s="9">
        <v>185043129</v>
      </c>
      <c r="J18" s="9">
        <v>198555826</v>
      </c>
      <c r="K18" s="9">
        <v>206391272</v>
      </c>
      <c r="L18" s="75">
        <v>197142243</v>
      </c>
      <c r="M18" s="9">
        <v>349507863</v>
      </c>
      <c r="N18" s="82">
        <v>731012776</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0.2022809572690363</v>
      </c>
      <c r="D21" s="11">
        <f>IF(IFERROR(E13/D12,0)&gt;1,1,IFERROR(E13/D12,0))</f>
        <v>0.16301314606296094</v>
      </c>
      <c r="E21" s="11">
        <f t="shared" ref="E21:M21" si="0">IF(IFERROR(F13/E12,0)&gt;1,1,IFERROR(F13/E12,0))</f>
        <v>0.23766592858402735</v>
      </c>
      <c r="F21" s="11">
        <f t="shared" si="0"/>
        <v>0.22909317033018234</v>
      </c>
      <c r="G21" s="11">
        <f t="shared" si="0"/>
        <v>0.2267820614719423</v>
      </c>
      <c r="H21" s="11">
        <f t="shared" si="0"/>
        <v>0.28487248806937121</v>
      </c>
      <c r="I21" s="11">
        <f t="shared" si="0"/>
        <v>0.30349301886556251</v>
      </c>
      <c r="J21" s="11">
        <f t="shared" si="0"/>
        <v>0.32180359090718258</v>
      </c>
      <c r="K21" s="11">
        <f t="shared" si="0"/>
        <v>0.24643084507541302</v>
      </c>
      <c r="L21" s="11">
        <f t="shared" si="0"/>
        <v>0.40339009582183583</v>
      </c>
      <c r="M21" s="83">
        <f t="shared" si="0"/>
        <v>0.41255504233458201</v>
      </c>
      <c r="N21" s="84">
        <f>AVERAGE(C21:M21)</f>
        <v>0.27558003134473602</v>
      </c>
      <c r="O21" s="174" t="s">
        <v>58</v>
      </c>
    </row>
    <row r="22" spans="2:15" x14ac:dyDescent="0.3">
      <c r="B22" s="13" t="s">
        <v>61</v>
      </c>
      <c r="C22" s="14">
        <f>IF(IFERROR(D14/C13,0)&gt;1,1,IFERROR(D14/C13,0))</f>
        <v>0.25623318878940859</v>
      </c>
      <c r="D22" s="14">
        <f t="shared" ref="D22:M22" si="1">IF(IFERROR(E14/D13,0)&gt;1,1,IFERROR(E14/D13,0))</f>
        <v>0.37167845484051643</v>
      </c>
      <c r="E22" s="14">
        <f t="shared" si="1"/>
        <v>0.30039907547963329</v>
      </c>
      <c r="F22" s="14">
        <f t="shared" si="1"/>
        <v>0.22834621641488759</v>
      </c>
      <c r="G22" s="14">
        <f t="shared" si="1"/>
        <v>0.34575209364526333</v>
      </c>
      <c r="H22" s="14">
        <f t="shared" si="1"/>
        <v>0.57451436048695503</v>
      </c>
      <c r="I22" s="14">
        <f t="shared" si="1"/>
        <v>0.77836130078996679</v>
      </c>
      <c r="J22" s="14">
        <f t="shared" si="1"/>
        <v>0.43020767932127546</v>
      </c>
      <c r="K22" s="14">
        <f t="shared" si="1"/>
        <v>0.39610464718182198</v>
      </c>
      <c r="L22" s="14">
        <f t="shared" si="1"/>
        <v>0.4059060235429105</v>
      </c>
      <c r="M22" s="85">
        <f t="shared" si="1"/>
        <v>0.49780802527533968</v>
      </c>
      <c r="N22" s="86">
        <f t="shared" ref="N22:N25" si="2">AVERAGE(C22:M22)</f>
        <v>0.41684646052436169</v>
      </c>
      <c r="O22" s="174"/>
    </row>
    <row r="23" spans="2:15" x14ac:dyDescent="0.3">
      <c r="B23" s="13" t="s">
        <v>62</v>
      </c>
      <c r="C23" s="14">
        <f t="shared" ref="C23:M25" si="3">IF(IFERROR(D15/C14,0)&gt;1,1,IFERROR(D15/C14,0))</f>
        <v>0.56074096402594642</v>
      </c>
      <c r="D23" s="14">
        <f t="shared" si="3"/>
        <v>0.51018050357866818</v>
      </c>
      <c r="E23" s="14">
        <f t="shared" si="3"/>
        <v>0.17427384202612503</v>
      </c>
      <c r="F23" s="14">
        <f t="shared" si="3"/>
        <v>5.2375752001155899E-2</v>
      </c>
      <c r="G23" s="14">
        <f t="shared" si="3"/>
        <v>0.36373417115602158</v>
      </c>
      <c r="H23" s="14">
        <f t="shared" si="3"/>
        <v>0.1384736514515833</v>
      </c>
      <c r="I23" s="14">
        <f t="shared" si="3"/>
        <v>0.45008014473838137</v>
      </c>
      <c r="J23" s="14">
        <f t="shared" si="3"/>
        <v>0.86752808890741195</v>
      </c>
      <c r="K23" s="14">
        <f t="shared" si="3"/>
        <v>0.88325899115194462</v>
      </c>
      <c r="L23" s="14">
        <f t="shared" si="3"/>
        <v>0.35465605494863489</v>
      </c>
      <c r="M23" s="85">
        <f t="shared" si="3"/>
        <v>0.7306404165762862</v>
      </c>
      <c r="N23" s="86">
        <f t="shared" si="2"/>
        <v>0.46235841641474179</v>
      </c>
      <c r="O23" s="174"/>
    </row>
    <row r="24" spans="2:15" x14ac:dyDescent="0.3">
      <c r="B24" s="13" t="s">
        <v>63</v>
      </c>
      <c r="C24" s="14">
        <f t="shared" si="3"/>
        <v>0.20515184166886785</v>
      </c>
      <c r="D24" s="14">
        <f t="shared" si="3"/>
        <v>0</v>
      </c>
      <c r="E24" s="14">
        <f t="shared" si="3"/>
        <v>0.13794986315148317</v>
      </c>
      <c r="F24" s="14">
        <f t="shared" si="3"/>
        <v>0.48462860247575962</v>
      </c>
      <c r="G24" s="14">
        <f t="shared" si="3"/>
        <v>1</v>
      </c>
      <c r="H24" s="14">
        <f t="shared" si="3"/>
        <v>0</v>
      </c>
      <c r="I24" s="14">
        <f t="shared" si="3"/>
        <v>0</v>
      </c>
      <c r="J24" s="14">
        <f t="shared" si="3"/>
        <v>0.82753497040456536</v>
      </c>
      <c r="K24" s="14">
        <f t="shared" si="3"/>
        <v>0.53273638400887169</v>
      </c>
      <c r="L24" s="14">
        <f t="shared" si="3"/>
        <v>0.25612936399021086</v>
      </c>
      <c r="M24" s="87">
        <f t="shared" si="3"/>
        <v>0.26007818340572014</v>
      </c>
      <c r="N24" s="86">
        <f t="shared" si="2"/>
        <v>0.33674629173686166</v>
      </c>
      <c r="O24" s="174"/>
    </row>
    <row r="25" spans="2:15" ht="14.25" thickBot="1" x14ac:dyDescent="0.35">
      <c r="B25" s="15" t="s">
        <v>64</v>
      </c>
      <c r="C25" s="16">
        <f t="shared" si="3"/>
        <v>0.92714103361053013</v>
      </c>
      <c r="D25" s="16">
        <f t="shared" si="3"/>
        <v>7.0079821545304885E-2</v>
      </c>
      <c r="E25" s="16">
        <f t="shared" si="3"/>
        <v>0</v>
      </c>
      <c r="F25" s="16">
        <f t="shared" si="3"/>
        <v>1</v>
      </c>
      <c r="G25" s="16">
        <f t="shared" si="3"/>
        <v>0.96157112944280398</v>
      </c>
      <c r="H25" s="16">
        <f t="shared" si="3"/>
        <v>0.67584951121991121</v>
      </c>
      <c r="I25" s="16">
        <f t="shared" si="3"/>
        <v>0</v>
      </c>
      <c r="J25" s="16">
        <f t="shared" si="3"/>
        <v>0</v>
      </c>
      <c r="K25" s="16">
        <f t="shared" si="3"/>
        <v>0.56000212955398743</v>
      </c>
      <c r="L25" s="16">
        <f t="shared" si="3"/>
        <v>0.67758293303353578</v>
      </c>
      <c r="M25" s="88">
        <f t="shared" si="3"/>
        <v>0.71947731714934238</v>
      </c>
      <c r="N25" s="89">
        <f t="shared" si="2"/>
        <v>0.50833671595958319</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448</v>
      </c>
      <c r="D32" s="90" t="s">
        <v>448</v>
      </c>
      <c r="E32" s="90" t="s">
        <v>448</v>
      </c>
      <c r="F32" s="90" t="s">
        <v>448</v>
      </c>
      <c r="G32" s="90" t="s">
        <v>448</v>
      </c>
      <c r="I32" s="108"/>
      <c r="J32" s="108"/>
      <c r="K32" s="108"/>
    </row>
    <row r="33" spans="2:11" x14ac:dyDescent="0.3">
      <c r="B33" s="20" t="s">
        <v>26</v>
      </c>
      <c r="C33" s="94">
        <f t="shared" ref="C33:C39" si="4">N12</f>
        <v>5770717397</v>
      </c>
      <c r="D33" s="50">
        <f>C48</f>
        <v>0</v>
      </c>
      <c r="E33" s="95">
        <f>C33-D33</f>
        <v>5770717397</v>
      </c>
      <c r="F33" s="63">
        <f>PRODUCT(N21:$N$25)</f>
        <v>9.0919477632354466E-3</v>
      </c>
      <c r="G33" s="57">
        <f>ROUND(E33*F33,)</f>
        <v>52467061</v>
      </c>
      <c r="I33" s="108"/>
      <c r="J33" s="108"/>
      <c r="K33" s="108"/>
    </row>
    <row r="34" spans="2:11" x14ac:dyDescent="0.3">
      <c r="B34" s="22" t="s">
        <v>38</v>
      </c>
      <c r="C34" s="96">
        <f t="shared" si="4"/>
        <v>2218561179</v>
      </c>
      <c r="D34" s="52">
        <f t="shared" ref="D34:D39" si="5">C49</f>
        <v>0</v>
      </c>
      <c r="E34" s="97">
        <f t="shared" ref="E34:E39" si="6">C34-D34</f>
        <v>2218561179</v>
      </c>
      <c r="F34" s="64">
        <f>PRODUCT(N22:$N$25)</f>
        <v>3.2992041255202199E-2</v>
      </c>
      <c r="G34" s="58">
        <f t="shared" ref="G34:G39" si="7">ROUND(E34*F34,)</f>
        <v>73194862</v>
      </c>
      <c r="I34" s="108"/>
      <c r="J34" s="108"/>
      <c r="K34" s="108"/>
    </row>
    <row r="35" spans="2:11" x14ac:dyDescent="0.3">
      <c r="B35" s="22" t="s">
        <v>28</v>
      </c>
      <c r="C35" s="96">
        <f t="shared" si="4"/>
        <v>1076737336</v>
      </c>
      <c r="D35" s="52">
        <f t="shared" si="5"/>
        <v>0</v>
      </c>
      <c r="E35" s="97">
        <f t="shared" si="6"/>
        <v>1076737336</v>
      </c>
      <c r="F35" s="64">
        <f>PRODUCT(N23:$N$25)</f>
        <v>7.91467467750612E-2</v>
      </c>
      <c r="G35" s="58">
        <f t="shared" si="7"/>
        <v>85220257</v>
      </c>
      <c r="I35" s="108"/>
      <c r="J35" s="108"/>
      <c r="K35" s="108"/>
    </row>
    <row r="36" spans="2:11" x14ac:dyDescent="0.3">
      <c r="B36" s="22" t="s">
        <v>29</v>
      </c>
      <c r="C36" s="96">
        <f t="shared" si="4"/>
        <v>364543463</v>
      </c>
      <c r="D36" s="52">
        <f t="shared" si="5"/>
        <v>0</v>
      </c>
      <c r="E36" s="97">
        <f t="shared" si="6"/>
        <v>364543463</v>
      </c>
      <c r="F36" s="64">
        <f>PRODUCT(N24:$N$25)</f>
        <v>0.17118050405308399</v>
      </c>
      <c r="G36" s="58">
        <f t="shared" si="7"/>
        <v>62402734</v>
      </c>
      <c r="I36" s="108"/>
      <c r="J36" s="108"/>
      <c r="K36" s="108"/>
    </row>
    <row r="37" spans="2:11" ht="14.25" thickBot="1" x14ac:dyDescent="0.35">
      <c r="B37" s="25" t="s">
        <v>31</v>
      </c>
      <c r="C37" s="98">
        <f t="shared" si="4"/>
        <v>77696453</v>
      </c>
      <c r="D37" s="55">
        <f t="shared" si="5"/>
        <v>0</v>
      </c>
      <c r="E37" s="99">
        <f t="shared" si="6"/>
        <v>77696453</v>
      </c>
      <c r="F37" s="67">
        <f>PRODUCT(N25:$N$25)</f>
        <v>0.50833671595958319</v>
      </c>
      <c r="G37" s="59">
        <f t="shared" si="7"/>
        <v>39495960</v>
      </c>
      <c r="I37" s="108"/>
      <c r="J37" s="108"/>
      <c r="K37" s="108"/>
    </row>
    <row r="38" spans="2:11" x14ac:dyDescent="0.3">
      <c r="B38" s="27" t="s">
        <v>33</v>
      </c>
      <c r="C38" s="94">
        <f t="shared" si="4"/>
        <v>144835880</v>
      </c>
      <c r="D38" s="50">
        <f t="shared" si="5"/>
        <v>0</v>
      </c>
      <c r="E38" s="29">
        <f t="shared" si="6"/>
        <v>144835880</v>
      </c>
      <c r="F38" s="100">
        <v>1</v>
      </c>
      <c r="G38" s="60">
        <f t="shared" si="7"/>
        <v>144835880</v>
      </c>
      <c r="I38" s="108"/>
      <c r="J38" s="108"/>
      <c r="K38" s="108"/>
    </row>
    <row r="39" spans="2:11" ht="14.25" thickBot="1" x14ac:dyDescent="0.35">
      <c r="B39" s="30" t="s">
        <v>35</v>
      </c>
      <c r="C39" s="98">
        <f t="shared" si="4"/>
        <v>731012776</v>
      </c>
      <c r="D39" s="55">
        <f t="shared" si="5"/>
        <v>27647453</v>
      </c>
      <c r="E39" s="32">
        <f t="shared" si="6"/>
        <v>703365323</v>
      </c>
      <c r="F39" s="67">
        <v>1</v>
      </c>
      <c r="G39" s="61">
        <f t="shared" si="7"/>
        <v>703365323</v>
      </c>
      <c r="I39" s="108"/>
      <c r="J39" s="108"/>
      <c r="K39" s="108"/>
    </row>
    <row r="40" spans="2:11" ht="14.25" thickBot="1" x14ac:dyDescent="0.35">
      <c r="B40" s="30" t="s">
        <v>41</v>
      </c>
      <c r="C40" s="101">
        <f>SUM(C33:C39)</f>
        <v>10384104484</v>
      </c>
      <c r="D40" s="101">
        <f>SUM(D33:D39)</f>
        <v>27647453</v>
      </c>
      <c r="E40" s="102">
        <f>SUM(E33:E39)</f>
        <v>10356457031</v>
      </c>
      <c r="F40" s="67"/>
      <c r="G40" s="61">
        <f>SUM(G33:G39)</f>
        <v>1160982077</v>
      </c>
      <c r="H40" s="108"/>
      <c r="I40" s="108"/>
      <c r="J40" s="108"/>
      <c r="K40" s="108"/>
    </row>
    <row r="41" spans="2:11" ht="14.25" thickBot="1" x14ac:dyDescent="0.35">
      <c r="B41" s="108"/>
      <c r="E41" s="109"/>
      <c r="F41" s="110"/>
      <c r="G41" s="115"/>
      <c r="H41" s="108"/>
      <c r="I41" s="108"/>
      <c r="J41" s="108"/>
      <c r="K41" s="108"/>
    </row>
    <row r="42" spans="2:11" ht="14.25" thickBot="1" x14ac:dyDescent="0.35">
      <c r="G42" s="33">
        <f>G40</f>
        <v>1160982077</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90" t="s">
        <v>448</v>
      </c>
      <c r="D47" s="90" t="s">
        <v>448</v>
      </c>
    </row>
    <row r="48" spans="2:11" x14ac:dyDescent="0.3">
      <c r="B48" s="20" t="s">
        <v>26</v>
      </c>
      <c r="C48" s="34">
        <v>0</v>
      </c>
      <c r="D48" s="35">
        <v>0</v>
      </c>
      <c r="F48" s="173" t="s">
        <v>85</v>
      </c>
      <c r="G48" s="173"/>
      <c r="H48" s="173"/>
      <c r="I48" s="173"/>
    </row>
    <row r="49" spans="1:10" x14ac:dyDescent="0.3">
      <c r="B49" s="22" t="s">
        <v>38</v>
      </c>
      <c r="C49" s="36">
        <v>0</v>
      </c>
      <c r="D49" s="37">
        <v>0</v>
      </c>
      <c r="F49" s="104" t="s">
        <v>90</v>
      </c>
      <c r="G49" s="105">
        <v>27647453</v>
      </c>
      <c r="H49" s="104"/>
      <c r="I49" s="105"/>
    </row>
    <row r="50" spans="1:10" x14ac:dyDescent="0.3">
      <c r="B50" s="22" t="s">
        <v>28</v>
      </c>
      <c r="C50" s="36">
        <v>0</v>
      </c>
      <c r="D50" s="37">
        <v>0</v>
      </c>
      <c r="F50" s="104"/>
      <c r="G50" s="105"/>
      <c r="H50" s="104"/>
      <c r="I50" s="105"/>
    </row>
    <row r="51" spans="1:10" x14ac:dyDescent="0.3">
      <c r="B51" s="22" t="s">
        <v>29</v>
      </c>
      <c r="C51" s="36">
        <v>0</v>
      </c>
      <c r="D51" s="37">
        <v>0</v>
      </c>
      <c r="F51" s="104"/>
      <c r="G51" s="105"/>
      <c r="H51" s="106"/>
      <c r="I51" s="106"/>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27647453</v>
      </c>
      <c r="D54" s="41">
        <f>C54</f>
        <v>27647453</v>
      </c>
    </row>
    <row r="55" spans="1:10" ht="14.25" thickBot="1" x14ac:dyDescent="0.35">
      <c r="B55" s="46" t="s">
        <v>11</v>
      </c>
      <c r="C55" s="47">
        <f>SUM(C48:C54)</f>
        <v>27647453</v>
      </c>
      <c r="D55" s="48">
        <f>SUM(D48:D54)</f>
        <v>27647453</v>
      </c>
    </row>
    <row r="56" spans="1:10" ht="14.25" thickBot="1" x14ac:dyDescent="0.35"/>
    <row r="57" spans="1:10" ht="14.25" thickBot="1" x14ac:dyDescent="0.35">
      <c r="E57" s="33">
        <f>D55</f>
        <v>27647453</v>
      </c>
      <c r="F57" s="2" t="s">
        <v>51</v>
      </c>
    </row>
    <row r="59" spans="1:10" x14ac:dyDescent="0.3">
      <c r="B59" s="111" t="s">
        <v>12</v>
      </c>
    </row>
    <row r="60" spans="1:10" x14ac:dyDescent="0.3">
      <c r="B60" s="2" t="s">
        <v>20</v>
      </c>
      <c r="H60" s="118"/>
      <c r="I60" s="118"/>
      <c r="J60" s="118"/>
    </row>
    <row r="61" spans="1:10" x14ac:dyDescent="0.3">
      <c r="B61" s="42" t="s">
        <v>14</v>
      </c>
      <c r="C61" s="42" t="s">
        <v>15</v>
      </c>
      <c r="D61" s="42" t="s">
        <v>98</v>
      </c>
      <c r="E61" s="42" t="s">
        <v>52</v>
      </c>
      <c r="H61" s="43"/>
      <c r="I61" s="119"/>
      <c r="J61" s="119"/>
    </row>
    <row r="62" spans="1:10" x14ac:dyDescent="0.3">
      <c r="A62" s="2" t="s">
        <v>18</v>
      </c>
      <c r="B62" s="103" t="s">
        <v>100</v>
      </c>
      <c r="C62" s="43" t="s">
        <v>4</v>
      </c>
      <c r="D62" s="44">
        <v>10384104484</v>
      </c>
      <c r="E62" s="43"/>
      <c r="H62" s="43"/>
      <c r="I62" s="119"/>
      <c r="J62" s="119"/>
    </row>
    <row r="63" spans="1:10" x14ac:dyDescent="0.3">
      <c r="A63" s="2" t="s">
        <v>19</v>
      </c>
      <c r="B63" s="43">
        <v>1110321</v>
      </c>
      <c r="C63" s="43" t="s">
        <v>13</v>
      </c>
      <c r="D63" s="44">
        <v>1188629530</v>
      </c>
      <c r="E63" s="45">
        <f>D63-G42-E57</f>
        <v>0</v>
      </c>
      <c r="F63" s="2" t="s">
        <v>16</v>
      </c>
      <c r="H63" s="43"/>
      <c r="I63" s="119"/>
      <c r="J63" s="119"/>
    </row>
    <row r="64" spans="1:10" x14ac:dyDescent="0.3">
      <c r="B64" s="43"/>
      <c r="C64" s="43" t="s">
        <v>101</v>
      </c>
      <c r="D64" s="45">
        <f>D62-D63</f>
        <v>9195474954</v>
      </c>
      <c r="E64" s="45">
        <f>D64-E40-C55+G42+E57</f>
        <v>0</v>
      </c>
      <c r="F64" s="2" t="s">
        <v>16</v>
      </c>
      <c r="H64" s="106"/>
      <c r="I64" s="120"/>
      <c r="J64" s="107"/>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2060"/>
  </sheetPr>
  <dimension ref="A2:O70"/>
  <sheetViews>
    <sheetView topLeftCell="A31" zoomScaleNormal="100" workbookViewId="0">
      <selection activeCell="J61" sqref="J61"/>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355</v>
      </c>
      <c r="D11" s="4" t="s">
        <v>362</v>
      </c>
      <c r="E11" s="4" t="s">
        <v>363</v>
      </c>
      <c r="F11" s="4" t="s">
        <v>372</v>
      </c>
      <c r="G11" s="4" t="s">
        <v>379</v>
      </c>
      <c r="H11" s="4" t="s">
        <v>380</v>
      </c>
      <c r="I11" s="4" t="s">
        <v>392</v>
      </c>
      <c r="J11" s="4" t="s">
        <v>396</v>
      </c>
      <c r="K11" s="4" t="s">
        <v>397</v>
      </c>
      <c r="L11" s="73" t="s">
        <v>443</v>
      </c>
      <c r="M11" s="4" t="s">
        <v>448</v>
      </c>
      <c r="N11" s="80" t="s">
        <v>451</v>
      </c>
    </row>
    <row r="12" spans="2:14" x14ac:dyDescent="0.3">
      <c r="B12" s="5" t="s">
        <v>27</v>
      </c>
      <c r="C12" s="6">
        <v>2448094402</v>
      </c>
      <c r="D12" s="6">
        <v>2436043383</v>
      </c>
      <c r="E12" s="6">
        <v>2452539804</v>
      </c>
      <c r="F12" s="6">
        <v>1715641447</v>
      </c>
      <c r="G12" s="6">
        <v>1962667876</v>
      </c>
      <c r="H12" s="6">
        <v>1587555486</v>
      </c>
      <c r="I12" s="6">
        <v>1852826474</v>
      </c>
      <c r="J12" s="6">
        <v>1553973714</v>
      </c>
      <c r="K12" s="6">
        <v>1245802334</v>
      </c>
      <c r="L12" s="74">
        <v>1578960725</v>
      </c>
      <c r="M12" s="6">
        <v>1798569847</v>
      </c>
      <c r="N12" s="81">
        <v>1384534449</v>
      </c>
    </row>
    <row r="13" spans="2:14" x14ac:dyDescent="0.3">
      <c r="B13" s="7" t="s">
        <v>39</v>
      </c>
      <c r="C13" s="6">
        <v>46121428</v>
      </c>
      <c r="D13" s="6">
        <v>45386643</v>
      </c>
      <c r="E13" s="6">
        <v>166622154</v>
      </c>
      <c r="F13" s="6">
        <v>161509038</v>
      </c>
      <c r="G13" s="6">
        <v>102054537</v>
      </c>
      <c r="H13" s="6">
        <v>7902115</v>
      </c>
      <c r="I13" s="6">
        <v>60538016</v>
      </c>
      <c r="J13" s="6">
        <v>107186544</v>
      </c>
      <c r="K13" s="6">
        <v>46551407</v>
      </c>
      <c r="L13" s="74">
        <v>27280000</v>
      </c>
      <c r="M13" s="6">
        <v>162357328</v>
      </c>
      <c r="N13" s="81">
        <v>105899112</v>
      </c>
    </row>
    <row r="14" spans="2:14" x14ac:dyDescent="0.3">
      <c r="B14" s="7" t="s">
        <v>92</v>
      </c>
      <c r="C14" s="6">
        <v>1992302</v>
      </c>
      <c r="D14" s="6"/>
      <c r="E14" s="6"/>
      <c r="F14" s="6"/>
      <c r="G14" s="6">
        <v>20356752</v>
      </c>
      <c r="H14" s="6"/>
      <c r="I14" s="6"/>
      <c r="J14" s="6">
        <v>19629500</v>
      </c>
      <c r="K14" s="6"/>
      <c r="L14" s="74"/>
      <c r="M14" s="6"/>
      <c r="N14" s="81">
        <v>4121667</v>
      </c>
    </row>
    <row r="15" spans="2:14" x14ac:dyDescent="0.3">
      <c r="B15" s="7" t="s">
        <v>30</v>
      </c>
      <c r="C15" s="6"/>
      <c r="D15" s="6">
        <v>1992302</v>
      </c>
      <c r="E15" s="6"/>
      <c r="F15" s="6"/>
      <c r="G15" s="6"/>
      <c r="H15" s="6"/>
      <c r="I15" s="6"/>
      <c r="J15" s="6"/>
      <c r="K15" s="6"/>
      <c r="L15" s="74"/>
      <c r="M15" s="6"/>
      <c r="N15" s="81"/>
    </row>
    <row r="16" spans="2:14" x14ac:dyDescent="0.3">
      <c r="B16" s="7" t="s">
        <v>32</v>
      </c>
      <c r="C16" s="6">
        <v>61921998</v>
      </c>
      <c r="D16" s="6"/>
      <c r="E16" s="6">
        <v>204802</v>
      </c>
      <c r="F16" s="6"/>
      <c r="G16" s="6"/>
      <c r="H16" s="6"/>
      <c r="I16" s="6"/>
      <c r="J16" s="6"/>
      <c r="K16" s="6"/>
      <c r="L16" s="74"/>
      <c r="M16" s="6"/>
      <c r="N16" s="81"/>
    </row>
    <row r="17" spans="2:15" x14ac:dyDescent="0.3">
      <c r="B17" s="7" t="s">
        <v>34</v>
      </c>
      <c r="C17" s="6"/>
      <c r="D17" s="6">
        <v>53327600</v>
      </c>
      <c r="E17" s="6"/>
      <c r="F17" s="6">
        <v>204802</v>
      </c>
      <c r="G17" s="6"/>
      <c r="H17" s="6"/>
      <c r="I17" s="6"/>
      <c r="J17" s="6"/>
      <c r="K17" s="6"/>
      <c r="L17" s="74"/>
      <c r="M17" s="6"/>
      <c r="N17" s="81"/>
    </row>
    <row r="18" spans="2:15" ht="14.25" thickBot="1" x14ac:dyDescent="0.35">
      <c r="B18" s="8" t="s">
        <v>93</v>
      </c>
      <c r="C18" s="9">
        <v>414321318</v>
      </c>
      <c r="D18" s="9">
        <v>414321318</v>
      </c>
      <c r="E18" s="9">
        <v>467648918</v>
      </c>
      <c r="F18" s="9">
        <v>414321318</v>
      </c>
      <c r="G18" s="9">
        <v>114526120</v>
      </c>
      <c r="H18" s="9">
        <v>114526120</v>
      </c>
      <c r="I18" s="9">
        <v>114526120</v>
      </c>
      <c r="J18" s="9">
        <v>114526120</v>
      </c>
      <c r="K18" s="9">
        <v>114526120</v>
      </c>
      <c r="L18" s="75">
        <v>114526120</v>
      </c>
      <c r="M18" s="9">
        <v>114526120</v>
      </c>
      <c r="N18" s="82">
        <v>114526120</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1.8539580402994606E-2</v>
      </c>
      <c r="D21" s="11">
        <f>IF(IFERROR(E13/D12,0)&gt;1,1,IFERROR(E13/D12,0))</f>
        <v>6.8398680894920669E-2</v>
      </c>
      <c r="E21" s="11">
        <f t="shared" ref="E21:M21" si="0">IF(IFERROR(F13/E12,0)&gt;1,1,IFERROR(F13/E12,0))</f>
        <v>6.585378868737822E-2</v>
      </c>
      <c r="F21" s="11">
        <f t="shared" si="0"/>
        <v>5.9484770071540481E-2</v>
      </c>
      <c r="G21" s="11">
        <f t="shared" si="0"/>
        <v>4.02621100423004E-3</v>
      </c>
      <c r="H21" s="11">
        <f t="shared" si="0"/>
        <v>3.8132850494902323E-2</v>
      </c>
      <c r="I21" s="11">
        <f t="shared" si="0"/>
        <v>5.7850287387463138E-2</v>
      </c>
      <c r="J21" s="11">
        <f t="shared" si="0"/>
        <v>2.9956367074044341E-2</v>
      </c>
      <c r="K21" s="11">
        <f t="shared" si="0"/>
        <v>2.1897534829951604E-2</v>
      </c>
      <c r="L21" s="11">
        <f t="shared" si="0"/>
        <v>0.10282543791581643</v>
      </c>
      <c r="M21" s="83">
        <f t="shared" si="0"/>
        <v>5.8879621593033414E-2</v>
      </c>
      <c r="N21" s="84">
        <f>AVERAGE(C21:M21)</f>
        <v>4.7804102759661397E-2</v>
      </c>
      <c r="O21" s="174" t="s">
        <v>58</v>
      </c>
    </row>
    <row r="22" spans="2:15" x14ac:dyDescent="0.3">
      <c r="B22" s="13" t="s">
        <v>61</v>
      </c>
      <c r="C22" s="14">
        <f>IF(IFERROR(D14/C13,0)&gt;1,1,IFERROR(D14/C13,0))</f>
        <v>0</v>
      </c>
      <c r="D22" s="14">
        <f t="shared" ref="D22:M22" si="1">IF(IFERROR(E14/D13,0)&gt;1,1,IFERROR(E14/D13,0))</f>
        <v>0</v>
      </c>
      <c r="E22" s="14">
        <f t="shared" si="1"/>
        <v>0</v>
      </c>
      <c r="F22" s="14">
        <f t="shared" si="1"/>
        <v>0.12604094638963795</v>
      </c>
      <c r="G22" s="14">
        <f t="shared" si="1"/>
        <v>0</v>
      </c>
      <c r="H22" s="14">
        <f t="shared" si="1"/>
        <v>0</v>
      </c>
      <c r="I22" s="14">
        <f t="shared" si="1"/>
        <v>0.32425079804399271</v>
      </c>
      <c r="J22" s="14">
        <f t="shared" si="1"/>
        <v>0</v>
      </c>
      <c r="K22" s="14">
        <f t="shared" si="1"/>
        <v>0</v>
      </c>
      <c r="L22" s="14">
        <f t="shared" si="1"/>
        <v>0</v>
      </c>
      <c r="M22" s="85">
        <f t="shared" si="1"/>
        <v>2.538639340011804E-2</v>
      </c>
      <c r="N22" s="86">
        <f t="shared" ref="N22:N25" si="2">AVERAGE(C22:M22)</f>
        <v>4.3243467075795336E-2</v>
      </c>
      <c r="O22" s="174"/>
    </row>
    <row r="23" spans="2:15" x14ac:dyDescent="0.3">
      <c r="B23" s="13" t="s">
        <v>62</v>
      </c>
      <c r="C23" s="14">
        <f t="shared" ref="C23:M25" si="3">IF(IFERROR(D15/C14,0)&gt;1,1,IFERROR(D15/C14,0))</f>
        <v>1</v>
      </c>
      <c r="D23" s="14">
        <f t="shared" si="3"/>
        <v>0</v>
      </c>
      <c r="E23" s="14">
        <f t="shared" si="3"/>
        <v>0</v>
      </c>
      <c r="F23" s="14">
        <f t="shared" si="3"/>
        <v>0</v>
      </c>
      <c r="G23" s="14">
        <f t="shared" si="3"/>
        <v>0</v>
      </c>
      <c r="H23" s="14">
        <f t="shared" si="3"/>
        <v>0</v>
      </c>
      <c r="I23" s="14">
        <f t="shared" si="3"/>
        <v>0</v>
      </c>
      <c r="J23" s="14">
        <f t="shared" si="3"/>
        <v>0</v>
      </c>
      <c r="K23" s="14">
        <f t="shared" si="3"/>
        <v>0</v>
      </c>
      <c r="L23" s="14">
        <f t="shared" si="3"/>
        <v>0</v>
      </c>
      <c r="M23" s="85">
        <f t="shared" si="3"/>
        <v>0</v>
      </c>
      <c r="N23" s="86">
        <f t="shared" si="2"/>
        <v>9.0909090909090912E-2</v>
      </c>
      <c r="O23" s="174"/>
    </row>
    <row r="24" spans="2:15" x14ac:dyDescent="0.3">
      <c r="B24" s="13" t="s">
        <v>63</v>
      </c>
      <c r="C24" s="14">
        <f t="shared" si="3"/>
        <v>0</v>
      </c>
      <c r="D24" s="14">
        <f t="shared" si="3"/>
        <v>0.10279666436112597</v>
      </c>
      <c r="E24" s="14">
        <f t="shared" si="3"/>
        <v>0</v>
      </c>
      <c r="F24" s="14">
        <f t="shared" si="3"/>
        <v>0</v>
      </c>
      <c r="G24" s="14">
        <f t="shared" si="3"/>
        <v>0</v>
      </c>
      <c r="H24" s="14">
        <f t="shared" si="3"/>
        <v>0</v>
      </c>
      <c r="I24" s="14">
        <f t="shared" si="3"/>
        <v>0</v>
      </c>
      <c r="J24" s="14">
        <f t="shared" si="3"/>
        <v>0</v>
      </c>
      <c r="K24" s="14">
        <f t="shared" si="3"/>
        <v>0</v>
      </c>
      <c r="L24" s="14">
        <f t="shared" si="3"/>
        <v>0</v>
      </c>
      <c r="M24" s="87">
        <f t="shared" si="3"/>
        <v>0</v>
      </c>
      <c r="N24" s="86">
        <f t="shared" si="2"/>
        <v>9.3451513055569074E-3</v>
      </c>
      <c r="O24" s="174"/>
    </row>
    <row r="25" spans="2:15" ht="14.25" thickBot="1" x14ac:dyDescent="0.35">
      <c r="B25" s="15" t="s">
        <v>64</v>
      </c>
      <c r="C25" s="16">
        <f t="shared" si="3"/>
        <v>0.86120606121268894</v>
      </c>
      <c r="D25" s="16">
        <f t="shared" si="3"/>
        <v>0</v>
      </c>
      <c r="E25" s="16">
        <f t="shared" si="3"/>
        <v>1</v>
      </c>
      <c r="F25" s="16">
        <f t="shared" si="3"/>
        <v>0</v>
      </c>
      <c r="G25" s="16">
        <f t="shared" si="3"/>
        <v>0</v>
      </c>
      <c r="H25" s="16">
        <f t="shared" si="3"/>
        <v>0</v>
      </c>
      <c r="I25" s="16">
        <f t="shared" si="3"/>
        <v>0</v>
      </c>
      <c r="J25" s="16">
        <f t="shared" si="3"/>
        <v>0</v>
      </c>
      <c r="K25" s="16">
        <f t="shared" si="3"/>
        <v>0</v>
      </c>
      <c r="L25" s="16">
        <f t="shared" si="3"/>
        <v>0</v>
      </c>
      <c r="M25" s="88">
        <f t="shared" si="3"/>
        <v>0</v>
      </c>
      <c r="N25" s="89">
        <f t="shared" si="2"/>
        <v>0.16920055101933534</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450</v>
      </c>
      <c r="D32" s="91" t="s">
        <v>450</v>
      </c>
      <c r="E32" s="92" t="s">
        <v>450</v>
      </c>
      <c r="F32" s="93" t="s">
        <v>450</v>
      </c>
      <c r="G32" s="56" t="s">
        <v>450</v>
      </c>
      <c r="I32" s="108"/>
      <c r="J32" s="108"/>
      <c r="K32" s="108"/>
    </row>
    <row r="33" spans="2:11" x14ac:dyDescent="0.3">
      <c r="B33" s="20" t="s">
        <v>26</v>
      </c>
      <c r="C33" s="94">
        <f t="shared" ref="C33:C39" si="4">N12</f>
        <v>1384534449</v>
      </c>
      <c r="D33" s="50">
        <f>C48</f>
        <v>0</v>
      </c>
      <c r="E33" s="95">
        <f>C33-D33</f>
        <v>1384534449</v>
      </c>
      <c r="F33" s="63">
        <f>PRODUCT(N21:$N$25)</f>
        <v>2.9715367319504836E-7</v>
      </c>
      <c r="G33" s="57">
        <f>ROUND(E33*F33,)</f>
        <v>411</v>
      </c>
      <c r="I33" s="108"/>
      <c r="J33" s="108"/>
      <c r="K33" s="108"/>
    </row>
    <row r="34" spans="2:11" x14ac:dyDescent="0.3">
      <c r="B34" s="22" t="s">
        <v>38</v>
      </c>
      <c r="C34" s="96">
        <f t="shared" si="4"/>
        <v>105899112</v>
      </c>
      <c r="D34" s="52">
        <f t="shared" ref="D34:D39" si="5">C49</f>
        <v>0</v>
      </c>
      <c r="E34" s="97">
        <f t="shared" ref="E34:E39" si="6">C34-D34</f>
        <v>105899112</v>
      </c>
      <c r="F34" s="64">
        <f>PRODUCT(N22:$N$25)</f>
        <v>6.2160705052662535E-6</v>
      </c>
      <c r="G34" s="58">
        <f t="shared" ref="G34:G37" si="7">ROUND(E34*F34,)</f>
        <v>658</v>
      </c>
      <c r="I34" s="108"/>
      <c r="J34" s="108"/>
      <c r="K34" s="108"/>
    </row>
    <row r="35" spans="2:11" x14ac:dyDescent="0.3">
      <c r="B35" s="22" t="s">
        <v>28</v>
      </c>
      <c r="C35" s="96">
        <f t="shared" si="4"/>
        <v>4121667</v>
      </c>
      <c r="D35" s="52">
        <f t="shared" si="5"/>
        <v>0</v>
      </c>
      <c r="E35" s="97">
        <f t="shared" si="6"/>
        <v>4121667</v>
      </c>
      <c r="F35" s="64">
        <f>PRODUCT(N23:$N$25)</f>
        <v>1.4374588638720818E-4</v>
      </c>
      <c r="G35" s="58">
        <f t="shared" si="7"/>
        <v>592</v>
      </c>
      <c r="I35" s="108"/>
      <c r="J35" s="108"/>
      <c r="K35" s="108"/>
    </row>
    <row r="36" spans="2:11" x14ac:dyDescent="0.3">
      <c r="B36" s="22" t="s">
        <v>29</v>
      </c>
      <c r="C36" s="96">
        <f t="shared" si="4"/>
        <v>0</v>
      </c>
      <c r="D36" s="52">
        <f>C51</f>
        <v>0</v>
      </c>
      <c r="E36" s="97">
        <f t="shared" si="6"/>
        <v>0</v>
      </c>
      <c r="F36" s="64">
        <f>PRODUCT(N24:$N$25)</f>
        <v>1.5812047502592897E-3</v>
      </c>
      <c r="G36" s="58">
        <f t="shared" si="7"/>
        <v>0</v>
      </c>
      <c r="I36" s="108"/>
      <c r="J36" s="108"/>
      <c r="K36" s="108"/>
    </row>
    <row r="37" spans="2:11" ht="14.25" thickBot="1" x14ac:dyDescent="0.35">
      <c r="B37" s="25" t="s">
        <v>31</v>
      </c>
      <c r="C37" s="98">
        <f t="shared" si="4"/>
        <v>0</v>
      </c>
      <c r="D37" s="55">
        <f t="shared" si="5"/>
        <v>0</v>
      </c>
      <c r="E37" s="99">
        <f t="shared" si="6"/>
        <v>0</v>
      </c>
      <c r="F37" s="67">
        <f>PRODUCT(N25:$N$25)</f>
        <v>0.16920055101933534</v>
      </c>
      <c r="G37" s="59">
        <f t="shared" si="7"/>
        <v>0</v>
      </c>
      <c r="I37" s="108"/>
      <c r="J37" s="108"/>
      <c r="K37" s="108"/>
    </row>
    <row r="38" spans="2:11" x14ac:dyDescent="0.3">
      <c r="B38" s="27" t="s">
        <v>33</v>
      </c>
      <c r="C38" s="94">
        <f t="shared" si="4"/>
        <v>0</v>
      </c>
      <c r="D38" s="50">
        <f t="shared" si="5"/>
        <v>0</v>
      </c>
      <c r="E38" s="29">
        <f t="shared" si="6"/>
        <v>0</v>
      </c>
      <c r="F38" s="100">
        <v>1</v>
      </c>
      <c r="G38" s="60">
        <f>ROUND(E38*F38,)</f>
        <v>0</v>
      </c>
      <c r="I38" s="108"/>
      <c r="J38" s="108"/>
      <c r="K38" s="108"/>
    </row>
    <row r="39" spans="2:11" ht="14.25" thickBot="1" x14ac:dyDescent="0.35">
      <c r="B39" s="30" t="s">
        <v>35</v>
      </c>
      <c r="C39" s="98">
        <f t="shared" si="4"/>
        <v>114526120</v>
      </c>
      <c r="D39" s="55">
        <f t="shared" si="5"/>
        <v>114321318</v>
      </c>
      <c r="E39" s="32">
        <f t="shared" si="6"/>
        <v>204802</v>
      </c>
      <c r="F39" s="67">
        <v>1</v>
      </c>
      <c r="G39" s="61">
        <f>ROUND(E39*F39,)</f>
        <v>204802</v>
      </c>
      <c r="I39" s="108"/>
      <c r="J39" s="108"/>
      <c r="K39" s="108"/>
    </row>
    <row r="40" spans="2:11" ht="14.25" thickBot="1" x14ac:dyDescent="0.35">
      <c r="B40" s="30" t="s">
        <v>41</v>
      </c>
      <c r="C40" s="101">
        <f>SUM(C33:C39)</f>
        <v>1609081348</v>
      </c>
      <c r="D40" s="101">
        <f>SUM(D33:D39)</f>
        <v>114321318</v>
      </c>
      <c r="E40" s="102">
        <f>SUM(E33:E39)</f>
        <v>1494760030</v>
      </c>
      <c r="F40" s="67"/>
      <c r="G40" s="61">
        <f>SUM(G33:G39)</f>
        <v>206463</v>
      </c>
      <c r="H40" s="108"/>
      <c r="I40" s="108"/>
      <c r="J40" s="108"/>
      <c r="K40" s="108"/>
    </row>
    <row r="41" spans="2:11" ht="14.25" thickBot="1" x14ac:dyDescent="0.35">
      <c r="B41" s="108"/>
      <c r="E41" s="109"/>
      <c r="F41" s="110"/>
      <c r="G41" s="115"/>
      <c r="H41" s="108"/>
      <c r="I41" s="108"/>
      <c r="J41" s="108"/>
      <c r="K41" s="108"/>
    </row>
    <row r="42" spans="2:11" ht="14.25" thickBot="1" x14ac:dyDescent="0.35">
      <c r="G42" s="33">
        <f>G40</f>
        <v>206463</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17" t="s">
        <v>450</v>
      </c>
      <c r="D47" s="19" t="s">
        <v>450</v>
      </c>
    </row>
    <row r="48" spans="2:11" x14ac:dyDescent="0.3">
      <c r="B48" s="20" t="s">
        <v>26</v>
      </c>
      <c r="C48" s="34">
        <v>0</v>
      </c>
      <c r="D48" s="35">
        <v>0</v>
      </c>
      <c r="F48" s="173" t="s">
        <v>85</v>
      </c>
      <c r="G48" s="173"/>
      <c r="H48" s="173"/>
      <c r="I48" s="173"/>
    </row>
    <row r="49" spans="1:10" x14ac:dyDescent="0.3">
      <c r="B49" s="22" t="s">
        <v>38</v>
      </c>
      <c r="C49" s="36">
        <v>0</v>
      </c>
      <c r="D49" s="37">
        <v>0</v>
      </c>
      <c r="F49" s="104" t="s">
        <v>86</v>
      </c>
      <c r="G49" s="105">
        <v>27256788</v>
      </c>
      <c r="H49" s="104" t="s">
        <v>87</v>
      </c>
      <c r="I49" s="105">
        <v>49060000</v>
      </c>
    </row>
    <row r="50" spans="1:10" x14ac:dyDescent="0.3">
      <c r="B50" s="22" t="s">
        <v>28</v>
      </c>
      <c r="C50" s="36">
        <v>0</v>
      </c>
      <c r="D50" s="37">
        <v>0</v>
      </c>
      <c r="F50" s="104" t="s">
        <v>88</v>
      </c>
      <c r="G50" s="105">
        <v>3228130</v>
      </c>
      <c r="H50" s="104" t="s">
        <v>89</v>
      </c>
      <c r="I50" s="105">
        <v>12000000</v>
      </c>
    </row>
    <row r="51" spans="1:10" x14ac:dyDescent="0.3">
      <c r="B51" s="22" t="s">
        <v>29</v>
      </c>
      <c r="C51" s="36">
        <v>0</v>
      </c>
      <c r="D51" s="37">
        <v>0</v>
      </c>
      <c r="F51" s="104" t="s">
        <v>354</v>
      </c>
      <c r="G51" s="105">
        <v>22776400</v>
      </c>
      <c r="H51" s="106"/>
      <c r="I51" s="105"/>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114321318</v>
      </c>
      <c r="D54" s="41">
        <f>C54</f>
        <v>114321318</v>
      </c>
    </row>
    <row r="55" spans="1:10" ht="14.25" thickBot="1" x14ac:dyDescent="0.35">
      <c r="B55" s="46" t="s">
        <v>11</v>
      </c>
      <c r="C55" s="47">
        <f>SUM(C48:C54)</f>
        <v>114321318</v>
      </c>
      <c r="D55" s="48">
        <f>SUM(D48:D54)</f>
        <v>114321318</v>
      </c>
    </row>
    <row r="56" spans="1:10" ht="14.25" thickBot="1" x14ac:dyDescent="0.35"/>
    <row r="57" spans="1:10" ht="14.25" thickBot="1" x14ac:dyDescent="0.35">
      <c r="E57" s="33">
        <f>D55</f>
        <v>114321318</v>
      </c>
      <c r="F57" s="2" t="s">
        <v>51</v>
      </c>
    </row>
    <row r="59" spans="1:10" x14ac:dyDescent="0.3">
      <c r="B59" s="111" t="s">
        <v>12</v>
      </c>
    </row>
    <row r="60" spans="1:10" x14ac:dyDescent="0.3">
      <c r="B60" s="2" t="s">
        <v>20</v>
      </c>
      <c r="H60" s="118" t="s">
        <v>370</v>
      </c>
      <c r="I60" s="118" t="s">
        <v>84</v>
      </c>
      <c r="J60" s="118" t="s">
        <v>78</v>
      </c>
    </row>
    <row r="61" spans="1:10" x14ac:dyDescent="0.3">
      <c r="B61" s="42" t="s">
        <v>14</v>
      </c>
      <c r="C61" s="42" t="s">
        <v>15</v>
      </c>
      <c r="D61" s="42" t="s">
        <v>98</v>
      </c>
      <c r="E61" s="42" t="s">
        <v>52</v>
      </c>
      <c r="H61" s="43" t="s">
        <v>453</v>
      </c>
      <c r="I61" s="119">
        <f>D63+'전이율 적용(2023.3Q)-수출'!D63</f>
        <v>1118622161</v>
      </c>
      <c r="J61" s="119">
        <v>895469806</v>
      </c>
    </row>
    <row r="62" spans="1:10" x14ac:dyDescent="0.3">
      <c r="A62" s="2" t="s">
        <v>18</v>
      </c>
      <c r="B62" s="103" t="s">
        <v>100</v>
      </c>
      <c r="C62" s="43" t="s">
        <v>4</v>
      </c>
      <c r="D62" s="44">
        <v>1609081348</v>
      </c>
      <c r="E62" s="43"/>
      <c r="H62" s="43" t="s">
        <v>452</v>
      </c>
      <c r="I62" s="119">
        <v>1303171086</v>
      </c>
      <c r="J62" s="119">
        <v>505762865</v>
      </c>
    </row>
    <row r="63" spans="1:10" x14ac:dyDescent="0.3">
      <c r="A63" s="2" t="s">
        <v>19</v>
      </c>
      <c r="B63" s="43">
        <v>1110321</v>
      </c>
      <c r="C63" s="43" t="s">
        <v>13</v>
      </c>
      <c r="D63" s="44">
        <v>114527781</v>
      </c>
      <c r="E63" s="45">
        <f>D63-G42-E57</f>
        <v>0</v>
      </c>
      <c r="F63" s="2" t="s">
        <v>16</v>
      </c>
      <c r="H63" s="43" t="s">
        <v>81</v>
      </c>
      <c r="I63" s="119"/>
      <c r="J63" s="119"/>
    </row>
    <row r="64" spans="1:10" x14ac:dyDescent="0.3">
      <c r="B64" s="43"/>
      <c r="C64" s="43" t="s">
        <v>101</v>
      </c>
      <c r="D64" s="45">
        <f>D62-D63</f>
        <v>1494553567</v>
      </c>
      <c r="E64" s="45">
        <f>D64-E40-C55+G42+E57</f>
        <v>0</v>
      </c>
      <c r="F64" s="2" t="s">
        <v>16</v>
      </c>
      <c r="H64" s="106" t="s">
        <v>82</v>
      </c>
      <c r="I64" s="120">
        <f>I61-I62+I63</f>
        <v>-184548925</v>
      </c>
      <c r="J64" s="107">
        <f>J61-J62+J63</f>
        <v>389706941</v>
      </c>
    </row>
    <row r="66" spans="8:10" hidden="1" x14ac:dyDescent="0.3">
      <c r="H66" s="118" t="s">
        <v>371</v>
      </c>
      <c r="I66" s="118" t="s">
        <v>84</v>
      </c>
      <c r="J66" s="118" t="s">
        <v>78</v>
      </c>
    </row>
    <row r="67" spans="8:10" hidden="1" x14ac:dyDescent="0.3">
      <c r="H67" s="43" t="s">
        <v>377</v>
      </c>
      <c r="I67" s="119">
        <v>70000000</v>
      </c>
      <c r="J67" s="119"/>
    </row>
    <row r="68" spans="8:10" hidden="1" x14ac:dyDescent="0.3">
      <c r="H68" s="43" t="s">
        <v>378</v>
      </c>
      <c r="I68" s="119">
        <v>80000000</v>
      </c>
      <c r="J68" s="119"/>
    </row>
    <row r="69" spans="8:10" hidden="1" x14ac:dyDescent="0.3">
      <c r="H69" s="43" t="s">
        <v>81</v>
      </c>
      <c r="I69" s="119"/>
      <c r="J69" s="119"/>
    </row>
    <row r="70" spans="8:10" hidden="1" x14ac:dyDescent="0.3">
      <c r="H70" s="106" t="s">
        <v>82</v>
      </c>
      <c r="I70" s="120">
        <f>I68+I67</f>
        <v>150000000</v>
      </c>
      <c r="J70" s="107">
        <f>J67-J68+J69</f>
        <v>0</v>
      </c>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2060"/>
  </sheetPr>
  <dimension ref="A2:O64"/>
  <sheetViews>
    <sheetView topLeftCell="A43" zoomScaleNormal="100" workbookViewId="0">
      <selection activeCell="E39" sqref="E39"/>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355</v>
      </c>
      <c r="D11" s="4" t="s">
        <v>362</v>
      </c>
      <c r="E11" s="4" t="s">
        <v>363</v>
      </c>
      <c r="F11" s="4" t="s">
        <v>372</v>
      </c>
      <c r="G11" s="4" t="s">
        <v>379</v>
      </c>
      <c r="H11" s="4" t="s">
        <v>380</v>
      </c>
      <c r="I11" s="4" t="s">
        <v>392</v>
      </c>
      <c r="J11" s="4" t="s">
        <v>396</v>
      </c>
      <c r="K11" s="4" t="s">
        <v>397</v>
      </c>
      <c r="L11" s="73" t="s">
        <v>443</v>
      </c>
      <c r="M11" s="4" t="s">
        <v>449</v>
      </c>
      <c r="N11" s="80" t="s">
        <v>450</v>
      </c>
    </row>
    <row r="12" spans="2:14" x14ac:dyDescent="0.3">
      <c r="B12" s="5" t="s">
        <v>27</v>
      </c>
      <c r="C12" s="6">
        <v>5177507228</v>
      </c>
      <c r="D12" s="6">
        <v>7686782434</v>
      </c>
      <c r="E12" s="6">
        <v>6513914814</v>
      </c>
      <c r="F12" s="6">
        <v>6967970393</v>
      </c>
      <c r="G12" s="6">
        <v>6661971596</v>
      </c>
      <c r="H12" s="6">
        <v>6815296486</v>
      </c>
      <c r="I12" s="6">
        <v>6608289603</v>
      </c>
      <c r="J12" s="6">
        <v>4987984096</v>
      </c>
      <c r="K12" s="6">
        <v>5361948616</v>
      </c>
      <c r="L12" s="74">
        <v>5377612564</v>
      </c>
      <c r="M12" s="6">
        <v>5770717397</v>
      </c>
      <c r="N12" s="81">
        <v>4880758971</v>
      </c>
    </row>
    <row r="13" spans="2:14" x14ac:dyDescent="0.3">
      <c r="B13" s="7" t="s">
        <v>39</v>
      </c>
      <c r="C13" s="6">
        <v>1057246878</v>
      </c>
      <c r="D13" s="6">
        <v>844001742</v>
      </c>
      <c r="E13" s="6">
        <v>1826886285</v>
      </c>
      <c r="F13" s="6">
        <v>1492293396</v>
      </c>
      <c r="G13" s="6">
        <v>1580210690</v>
      </c>
      <c r="H13" s="6">
        <v>1897812424</v>
      </c>
      <c r="I13" s="6">
        <v>2068394905</v>
      </c>
      <c r="J13" s="6">
        <v>2126571324</v>
      </c>
      <c r="K13" s="6">
        <v>1229193136</v>
      </c>
      <c r="L13" s="74">
        <v>2162956966</v>
      </c>
      <c r="M13" s="6">
        <v>2218561179</v>
      </c>
      <c r="N13" s="81">
        <v>2507792138</v>
      </c>
    </row>
    <row r="14" spans="2:14" x14ac:dyDescent="0.3">
      <c r="B14" s="7" t="s">
        <v>92</v>
      </c>
      <c r="C14" s="6">
        <v>311848277</v>
      </c>
      <c r="D14" s="6">
        <v>392955886</v>
      </c>
      <c r="E14" s="6">
        <v>253537343</v>
      </c>
      <c r="F14" s="6">
        <v>417162571</v>
      </c>
      <c r="G14" s="6">
        <v>515963566</v>
      </c>
      <c r="H14" s="6">
        <v>907853734</v>
      </c>
      <c r="I14" s="6">
        <v>1477183747</v>
      </c>
      <c r="J14" s="6">
        <v>889839372</v>
      </c>
      <c r="K14" s="6">
        <v>842344784</v>
      </c>
      <c r="L14" s="74">
        <v>498936898</v>
      </c>
      <c r="M14" s="6">
        <v>1076737336</v>
      </c>
      <c r="N14" s="81">
        <v>438489009</v>
      </c>
    </row>
    <row r="15" spans="2:14" x14ac:dyDescent="0.3">
      <c r="B15" s="7" t="s">
        <v>30</v>
      </c>
      <c r="C15" s="6">
        <v>134444998</v>
      </c>
      <c r="D15" s="6">
        <v>159098911</v>
      </c>
      <c r="E15" s="6">
        <v>68481932</v>
      </c>
      <c r="F15" s="6">
        <v>13279209</v>
      </c>
      <c r="G15" s="6">
        <v>151736282</v>
      </c>
      <c r="H15" s="6">
        <v>71447359</v>
      </c>
      <c r="I15" s="6">
        <v>408606940</v>
      </c>
      <c r="J15" s="6">
        <v>1281498393</v>
      </c>
      <c r="K15" s="6">
        <v>785958626</v>
      </c>
      <c r="L15" s="74">
        <v>298742678</v>
      </c>
      <c r="M15" s="6">
        <v>364543463</v>
      </c>
      <c r="N15" s="81">
        <v>58567506</v>
      </c>
    </row>
    <row r="16" spans="2:14" x14ac:dyDescent="0.3">
      <c r="B16" s="7" t="s">
        <v>32</v>
      </c>
      <c r="C16" s="6">
        <v>58227888</v>
      </c>
      <c r="D16" s="6"/>
      <c r="E16" s="6">
        <v>21947673</v>
      </c>
      <c r="F16" s="6">
        <v>33188303</v>
      </c>
      <c r="G16" s="6">
        <v>13285934</v>
      </c>
      <c r="H16" s="6"/>
      <c r="I16" s="6"/>
      <c r="J16" s="6">
        <v>338136532</v>
      </c>
      <c r="K16" s="6">
        <v>682700820</v>
      </c>
      <c r="L16" s="74">
        <v>201307083</v>
      </c>
      <c r="M16" s="6">
        <v>77696453</v>
      </c>
      <c r="N16" s="81">
        <v>30554515</v>
      </c>
    </row>
    <row r="17" spans="2:15" x14ac:dyDescent="0.3">
      <c r="B17" s="7" t="s">
        <v>34</v>
      </c>
      <c r="C17" s="6">
        <v>52313956</v>
      </c>
      <c r="D17" s="6">
        <v>4080600</v>
      </c>
      <c r="E17" s="6"/>
      <c r="F17" s="6">
        <v>23013981</v>
      </c>
      <c r="G17" s="6">
        <v>31912914</v>
      </c>
      <c r="H17" s="6">
        <v>8979292</v>
      </c>
      <c r="I17" s="6"/>
      <c r="J17" s="6"/>
      <c r="K17" s="6">
        <v>189357178</v>
      </c>
      <c r="L17" s="74">
        <v>462586424</v>
      </c>
      <c r="M17" s="6">
        <v>144835880</v>
      </c>
      <c r="N17" s="81">
        <v>50932645</v>
      </c>
    </row>
    <row r="18" spans="2:15" ht="14.25" thickBot="1" x14ac:dyDescent="0.35">
      <c r="B18" s="8" t="s">
        <v>93</v>
      </c>
      <c r="C18" s="9">
        <v>168559690</v>
      </c>
      <c r="D18" s="9">
        <v>202122554</v>
      </c>
      <c r="E18" s="9">
        <v>172059100</v>
      </c>
      <c r="F18" s="9">
        <v>138693269</v>
      </c>
      <c r="G18" s="9">
        <v>151920823</v>
      </c>
      <c r="H18" s="9">
        <v>185043129</v>
      </c>
      <c r="I18" s="9">
        <v>198555826</v>
      </c>
      <c r="J18" s="9">
        <v>206391272</v>
      </c>
      <c r="K18" s="9">
        <v>197142243</v>
      </c>
      <c r="L18" s="75">
        <v>349507863</v>
      </c>
      <c r="M18" s="9">
        <v>731012776</v>
      </c>
      <c r="N18" s="82">
        <v>793633101</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0.16301314606296094</v>
      </c>
      <c r="D21" s="11">
        <f>IF(IFERROR(E13/D12,0)&gt;1,1,IFERROR(E13/D12,0))</f>
        <v>0.23766592858402735</v>
      </c>
      <c r="E21" s="11">
        <f t="shared" ref="E21:M21" si="0">IF(IFERROR(F13/E12,0)&gt;1,1,IFERROR(F13/E12,0))</f>
        <v>0.22909317033018234</v>
      </c>
      <c r="F21" s="11">
        <f t="shared" si="0"/>
        <v>0.2267820614719423</v>
      </c>
      <c r="G21" s="11">
        <f t="shared" si="0"/>
        <v>0.28487248806937121</v>
      </c>
      <c r="H21" s="11">
        <f t="shared" si="0"/>
        <v>0.30349301886556251</v>
      </c>
      <c r="I21" s="11">
        <f t="shared" si="0"/>
        <v>0.32180359090718258</v>
      </c>
      <c r="J21" s="11">
        <f t="shared" si="0"/>
        <v>0.24643084507541302</v>
      </c>
      <c r="K21" s="11">
        <f t="shared" si="0"/>
        <v>0.40339009582183583</v>
      </c>
      <c r="L21" s="11">
        <f t="shared" si="0"/>
        <v>0.41255504233458201</v>
      </c>
      <c r="M21" s="83">
        <f t="shared" si="0"/>
        <v>0.43457198914362294</v>
      </c>
      <c r="N21" s="84">
        <f>AVERAGE(C21:M21)</f>
        <v>0.29669739787878935</v>
      </c>
      <c r="O21" s="174" t="s">
        <v>58</v>
      </c>
    </row>
    <row r="22" spans="2:15" x14ac:dyDescent="0.3">
      <c r="B22" s="13" t="s">
        <v>61</v>
      </c>
      <c r="C22" s="14">
        <f>IF(IFERROR(D14/C13,0)&gt;1,1,IFERROR(D14/C13,0))</f>
        <v>0.37167845484051643</v>
      </c>
      <c r="D22" s="14">
        <f t="shared" ref="D22:M22" si="1">IF(IFERROR(E14/D13,0)&gt;1,1,IFERROR(E14/D13,0))</f>
        <v>0.30039907547963329</v>
      </c>
      <c r="E22" s="14">
        <f t="shared" si="1"/>
        <v>0.22834621641488759</v>
      </c>
      <c r="F22" s="14">
        <f t="shared" si="1"/>
        <v>0.34575209364526333</v>
      </c>
      <c r="G22" s="14">
        <f t="shared" si="1"/>
        <v>0.57451436048695503</v>
      </c>
      <c r="H22" s="14">
        <f t="shared" si="1"/>
        <v>0.77836130078996679</v>
      </c>
      <c r="I22" s="14">
        <f t="shared" si="1"/>
        <v>0.43020767932127546</v>
      </c>
      <c r="J22" s="14">
        <f t="shared" si="1"/>
        <v>0.39610464718182198</v>
      </c>
      <c r="K22" s="14">
        <f t="shared" si="1"/>
        <v>0.4059060235429105</v>
      </c>
      <c r="L22" s="14">
        <f t="shared" si="1"/>
        <v>0.49780802527533968</v>
      </c>
      <c r="M22" s="85">
        <f t="shared" si="1"/>
        <v>0.19764566925201751</v>
      </c>
      <c r="N22" s="86">
        <f t="shared" ref="N22:N25" si="2">AVERAGE(C22:M22)</f>
        <v>0.41152032238459896</v>
      </c>
      <c r="O22" s="174"/>
    </row>
    <row r="23" spans="2:15" x14ac:dyDescent="0.3">
      <c r="B23" s="13" t="s">
        <v>62</v>
      </c>
      <c r="C23" s="14">
        <f t="shared" ref="C23:M25" si="3">IF(IFERROR(D15/C14,0)&gt;1,1,IFERROR(D15/C14,0))</f>
        <v>0.51018050357866818</v>
      </c>
      <c r="D23" s="14">
        <f t="shared" si="3"/>
        <v>0.17427384202612503</v>
      </c>
      <c r="E23" s="14">
        <f t="shared" si="3"/>
        <v>5.2375752001155899E-2</v>
      </c>
      <c r="F23" s="14">
        <f t="shared" si="3"/>
        <v>0.36373417115602158</v>
      </c>
      <c r="G23" s="14">
        <f t="shared" si="3"/>
        <v>0.1384736514515833</v>
      </c>
      <c r="H23" s="14">
        <f t="shared" si="3"/>
        <v>0.45008014473838137</v>
      </c>
      <c r="I23" s="14">
        <f t="shared" si="3"/>
        <v>0.86752808890741195</v>
      </c>
      <c r="J23" s="14">
        <f t="shared" si="3"/>
        <v>0.88325899115194462</v>
      </c>
      <c r="K23" s="14">
        <f t="shared" si="3"/>
        <v>0.35465605494863489</v>
      </c>
      <c r="L23" s="14">
        <f t="shared" si="3"/>
        <v>0.7306404165762862</v>
      </c>
      <c r="M23" s="85">
        <f t="shared" si="3"/>
        <v>5.4393494162256854E-2</v>
      </c>
      <c r="N23" s="86">
        <f t="shared" si="2"/>
        <v>0.41632682824531547</v>
      </c>
      <c r="O23" s="174"/>
    </row>
    <row r="24" spans="2:15" x14ac:dyDescent="0.3">
      <c r="B24" s="13" t="s">
        <v>63</v>
      </c>
      <c r="C24" s="14">
        <f t="shared" si="3"/>
        <v>0</v>
      </c>
      <c r="D24" s="14">
        <f t="shared" si="3"/>
        <v>0.13794986315148317</v>
      </c>
      <c r="E24" s="14">
        <f t="shared" si="3"/>
        <v>0.48462860247575962</v>
      </c>
      <c r="F24" s="14">
        <f t="shared" si="3"/>
        <v>1</v>
      </c>
      <c r="G24" s="14">
        <f t="shared" si="3"/>
        <v>0</v>
      </c>
      <c r="H24" s="14">
        <f t="shared" si="3"/>
        <v>0</v>
      </c>
      <c r="I24" s="14">
        <f t="shared" si="3"/>
        <v>0.82753497040456536</v>
      </c>
      <c r="J24" s="14">
        <f t="shared" si="3"/>
        <v>0.53273638400887169</v>
      </c>
      <c r="K24" s="14">
        <f t="shared" si="3"/>
        <v>0.25612936399021086</v>
      </c>
      <c r="L24" s="14">
        <f t="shared" si="3"/>
        <v>0.26007818340572014</v>
      </c>
      <c r="M24" s="87">
        <f t="shared" si="3"/>
        <v>8.3815835699130342E-2</v>
      </c>
      <c r="N24" s="86">
        <f t="shared" si="2"/>
        <v>0.32571574573961282</v>
      </c>
      <c r="O24" s="174"/>
    </row>
    <row r="25" spans="2:15" ht="14.25" thickBot="1" x14ac:dyDescent="0.35">
      <c r="B25" s="15" t="s">
        <v>64</v>
      </c>
      <c r="C25" s="16">
        <f t="shared" si="3"/>
        <v>7.0079821545304885E-2</v>
      </c>
      <c r="D25" s="16">
        <f t="shared" si="3"/>
        <v>0</v>
      </c>
      <c r="E25" s="16">
        <f t="shared" si="3"/>
        <v>1</v>
      </c>
      <c r="F25" s="16">
        <f t="shared" si="3"/>
        <v>0.96157112944280398</v>
      </c>
      <c r="G25" s="16">
        <f t="shared" si="3"/>
        <v>0.67584951121991121</v>
      </c>
      <c r="H25" s="16">
        <f t="shared" si="3"/>
        <v>0</v>
      </c>
      <c r="I25" s="16">
        <f t="shared" si="3"/>
        <v>0</v>
      </c>
      <c r="J25" s="16">
        <f t="shared" si="3"/>
        <v>0.56000212955398743</v>
      </c>
      <c r="K25" s="16">
        <f t="shared" si="3"/>
        <v>0.67758293303353578</v>
      </c>
      <c r="L25" s="16">
        <f t="shared" si="3"/>
        <v>0.71947731714934238</v>
      </c>
      <c r="M25" s="88">
        <f t="shared" si="3"/>
        <v>0.65553372172600977</v>
      </c>
      <c r="N25" s="89">
        <f t="shared" si="2"/>
        <v>0.48364514215189958</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450</v>
      </c>
      <c r="D32" s="90" t="s">
        <v>450</v>
      </c>
      <c r="E32" s="90" t="s">
        <v>450</v>
      </c>
      <c r="F32" s="90" t="s">
        <v>450</v>
      </c>
      <c r="G32" s="90" t="s">
        <v>450</v>
      </c>
      <c r="I32" s="108"/>
      <c r="J32" s="108"/>
      <c r="K32" s="108"/>
    </row>
    <row r="33" spans="2:11" x14ac:dyDescent="0.3">
      <c r="B33" s="20" t="s">
        <v>26</v>
      </c>
      <c r="C33" s="94">
        <f t="shared" ref="C33:C39" si="4">N12</f>
        <v>4880758971</v>
      </c>
      <c r="D33" s="50">
        <f>C48</f>
        <v>0</v>
      </c>
      <c r="E33" s="95">
        <f>C33-D33</f>
        <v>4880758971</v>
      </c>
      <c r="F33" s="63">
        <f>PRODUCT(N21:$N$25)</f>
        <v>8.0076485894083321E-3</v>
      </c>
      <c r="G33" s="57">
        <f>ROUND(E33*F33,)</f>
        <v>39083403</v>
      </c>
      <c r="I33" s="108"/>
      <c r="J33" s="108"/>
      <c r="K33" s="108"/>
    </row>
    <row r="34" spans="2:11" x14ac:dyDescent="0.3">
      <c r="B34" s="22" t="s">
        <v>38</v>
      </c>
      <c r="C34" s="96">
        <f t="shared" si="4"/>
        <v>2507792138</v>
      </c>
      <c r="D34" s="52">
        <f t="shared" ref="D34:D39" si="5">C49</f>
        <v>0</v>
      </c>
      <c r="E34" s="97">
        <f t="shared" ref="E34:E39" si="6">C34-D34</f>
        <v>2507792138</v>
      </c>
      <c r="F34" s="64">
        <f>PRODUCT(N22:$N$25)</f>
        <v>2.6989278121946049E-2</v>
      </c>
      <c r="G34" s="58">
        <f t="shared" ref="G34:G39" si="7">ROUND(E34*F34,)</f>
        <v>67683499</v>
      </c>
      <c r="I34" s="108"/>
      <c r="J34" s="108"/>
      <c r="K34" s="108"/>
    </row>
    <row r="35" spans="2:11" x14ac:dyDescent="0.3">
      <c r="B35" s="22" t="s">
        <v>28</v>
      </c>
      <c r="C35" s="96">
        <f t="shared" si="4"/>
        <v>438489009</v>
      </c>
      <c r="D35" s="52">
        <f t="shared" si="5"/>
        <v>0</v>
      </c>
      <c r="E35" s="97">
        <f t="shared" si="6"/>
        <v>438489009</v>
      </c>
      <c r="F35" s="64">
        <f>PRODUCT(N23:$N$25)</f>
        <v>6.5584314197543778E-2</v>
      </c>
      <c r="G35" s="58">
        <f t="shared" si="7"/>
        <v>28758001</v>
      </c>
      <c r="I35" s="108"/>
      <c r="J35" s="108"/>
      <c r="K35" s="108"/>
    </row>
    <row r="36" spans="2:11" x14ac:dyDescent="0.3">
      <c r="B36" s="22" t="s">
        <v>29</v>
      </c>
      <c r="C36" s="96">
        <f t="shared" si="4"/>
        <v>58567506</v>
      </c>
      <c r="D36" s="52">
        <f t="shared" si="5"/>
        <v>0</v>
      </c>
      <c r="E36" s="97">
        <f t="shared" si="6"/>
        <v>58567506</v>
      </c>
      <c r="F36" s="64">
        <f>PRODUCT(N24:$N$25)</f>
        <v>0.15753083814934701</v>
      </c>
      <c r="G36" s="58">
        <f t="shared" si="7"/>
        <v>9226188</v>
      </c>
      <c r="I36" s="108"/>
      <c r="J36" s="108"/>
      <c r="K36" s="108"/>
    </row>
    <row r="37" spans="2:11" ht="14.25" thickBot="1" x14ac:dyDescent="0.35">
      <c r="B37" s="25" t="s">
        <v>31</v>
      </c>
      <c r="C37" s="98">
        <f t="shared" si="4"/>
        <v>30554515</v>
      </c>
      <c r="D37" s="55">
        <f t="shared" si="5"/>
        <v>0</v>
      </c>
      <c r="E37" s="99">
        <f t="shared" si="6"/>
        <v>30554515</v>
      </c>
      <c r="F37" s="67">
        <f>PRODUCT(N25:$N$25)</f>
        <v>0.48364514215189958</v>
      </c>
      <c r="G37" s="59">
        <f t="shared" si="7"/>
        <v>14777543</v>
      </c>
      <c r="I37" s="108"/>
      <c r="J37" s="108"/>
      <c r="K37" s="108"/>
    </row>
    <row r="38" spans="2:11" x14ac:dyDescent="0.3">
      <c r="B38" s="27" t="s">
        <v>33</v>
      </c>
      <c r="C38" s="94">
        <f t="shared" si="4"/>
        <v>50932645</v>
      </c>
      <c r="D38" s="50">
        <f t="shared" si="5"/>
        <v>0</v>
      </c>
      <c r="E38" s="29">
        <f t="shared" si="6"/>
        <v>50932645</v>
      </c>
      <c r="F38" s="100">
        <v>1</v>
      </c>
      <c r="G38" s="60">
        <f t="shared" si="7"/>
        <v>50932645</v>
      </c>
      <c r="I38" s="108"/>
      <c r="J38" s="108"/>
      <c r="K38" s="108"/>
    </row>
    <row r="39" spans="2:11" ht="14.25" thickBot="1" x14ac:dyDescent="0.35">
      <c r="B39" s="30" t="s">
        <v>35</v>
      </c>
      <c r="C39" s="98">
        <f t="shared" si="4"/>
        <v>793633101</v>
      </c>
      <c r="D39" s="55">
        <f t="shared" si="5"/>
        <v>127164358</v>
      </c>
      <c r="E39" s="32">
        <f t="shared" si="6"/>
        <v>666468743</v>
      </c>
      <c r="F39" s="67">
        <v>1</v>
      </c>
      <c r="G39" s="61">
        <f t="shared" si="7"/>
        <v>666468743</v>
      </c>
      <c r="I39" s="108"/>
      <c r="J39" s="108"/>
      <c r="K39" s="108"/>
    </row>
    <row r="40" spans="2:11" ht="14.25" thickBot="1" x14ac:dyDescent="0.35">
      <c r="B40" s="30" t="s">
        <v>41</v>
      </c>
      <c r="C40" s="101">
        <f>SUM(C33:C39)</f>
        <v>8760727885</v>
      </c>
      <c r="D40" s="101">
        <f>SUM(D33:D39)</f>
        <v>127164358</v>
      </c>
      <c r="E40" s="102">
        <f>SUM(E33:E39)</f>
        <v>8633563527</v>
      </c>
      <c r="F40" s="67"/>
      <c r="G40" s="61">
        <f>SUM(G33:G39)</f>
        <v>876930022</v>
      </c>
      <c r="H40" s="108"/>
      <c r="I40" s="108"/>
      <c r="J40" s="108"/>
      <c r="K40" s="108"/>
    </row>
    <row r="41" spans="2:11" ht="14.25" thickBot="1" x14ac:dyDescent="0.35">
      <c r="B41" s="108"/>
      <c r="E41" s="109"/>
      <c r="F41" s="110"/>
      <c r="G41" s="115"/>
      <c r="H41" s="108"/>
      <c r="I41" s="108"/>
      <c r="J41" s="108"/>
      <c r="K41" s="108"/>
    </row>
    <row r="42" spans="2:11" ht="14.25" thickBot="1" x14ac:dyDescent="0.35">
      <c r="G42" s="33">
        <f>G40</f>
        <v>876930022</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50</v>
      </c>
    </row>
    <row r="47" spans="2:11" ht="14.25" thickBot="1" x14ac:dyDescent="0.35">
      <c r="B47" s="171"/>
      <c r="C47" s="90" t="s">
        <v>450</v>
      </c>
      <c r="D47" s="90" t="s">
        <v>450</v>
      </c>
    </row>
    <row r="48" spans="2:11" x14ac:dyDescent="0.3">
      <c r="B48" s="20" t="s">
        <v>26</v>
      </c>
      <c r="C48" s="34">
        <v>0</v>
      </c>
      <c r="D48" s="35">
        <v>0</v>
      </c>
      <c r="F48" s="173" t="s">
        <v>85</v>
      </c>
      <c r="G48" s="173"/>
      <c r="H48" s="173"/>
      <c r="I48" s="173"/>
    </row>
    <row r="49" spans="1:10" x14ac:dyDescent="0.3">
      <c r="B49" s="22" t="s">
        <v>38</v>
      </c>
      <c r="C49" s="36">
        <v>0</v>
      </c>
      <c r="D49" s="37">
        <v>0</v>
      </c>
      <c r="F49" s="104" t="s">
        <v>90</v>
      </c>
      <c r="G49" s="105">
        <v>27647453</v>
      </c>
      <c r="H49" s="104" t="s">
        <v>454</v>
      </c>
      <c r="I49" s="105">
        <v>99516905</v>
      </c>
    </row>
    <row r="50" spans="1:10" x14ac:dyDescent="0.3">
      <c r="B50" s="22" t="s">
        <v>28</v>
      </c>
      <c r="C50" s="36">
        <v>0</v>
      </c>
      <c r="D50" s="37">
        <v>0</v>
      </c>
      <c r="F50" s="104"/>
      <c r="G50" s="105"/>
      <c r="H50" s="104"/>
      <c r="I50" s="105"/>
    </row>
    <row r="51" spans="1:10" x14ac:dyDescent="0.3">
      <c r="B51" s="22" t="s">
        <v>29</v>
      </c>
      <c r="C51" s="36">
        <v>0</v>
      </c>
      <c r="D51" s="37">
        <v>0</v>
      </c>
      <c r="F51" s="104"/>
      <c r="G51" s="105"/>
      <c r="H51" s="106"/>
      <c r="I51" s="106"/>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127164358</v>
      </c>
      <c r="D54" s="41">
        <f>C54</f>
        <v>127164358</v>
      </c>
    </row>
    <row r="55" spans="1:10" ht="14.25" thickBot="1" x14ac:dyDescent="0.35">
      <c r="B55" s="46" t="s">
        <v>11</v>
      </c>
      <c r="C55" s="47">
        <f>SUM(C48:C54)</f>
        <v>127164358</v>
      </c>
      <c r="D55" s="48">
        <f>SUM(D48:D54)</f>
        <v>127164358</v>
      </c>
    </row>
    <row r="56" spans="1:10" ht="14.25" thickBot="1" x14ac:dyDescent="0.35"/>
    <row r="57" spans="1:10" ht="14.25" thickBot="1" x14ac:dyDescent="0.35">
      <c r="E57" s="33">
        <f>D55</f>
        <v>127164358</v>
      </c>
      <c r="F57" s="2" t="s">
        <v>51</v>
      </c>
    </row>
    <row r="59" spans="1:10" x14ac:dyDescent="0.3">
      <c r="B59" s="111" t="s">
        <v>12</v>
      </c>
    </row>
    <row r="60" spans="1:10" x14ac:dyDescent="0.3">
      <c r="B60" s="2" t="s">
        <v>20</v>
      </c>
      <c r="H60" s="118"/>
      <c r="I60" s="118"/>
      <c r="J60" s="118"/>
    </row>
    <row r="61" spans="1:10" x14ac:dyDescent="0.3">
      <c r="B61" s="42" t="s">
        <v>14</v>
      </c>
      <c r="C61" s="42" t="s">
        <v>15</v>
      </c>
      <c r="D61" s="42" t="s">
        <v>98</v>
      </c>
      <c r="E61" s="42" t="s">
        <v>52</v>
      </c>
      <c r="H61" s="43"/>
      <c r="I61" s="119"/>
      <c r="J61" s="119"/>
    </row>
    <row r="62" spans="1:10" x14ac:dyDescent="0.3">
      <c r="A62" s="2" t="s">
        <v>18</v>
      </c>
      <c r="B62" s="103" t="s">
        <v>100</v>
      </c>
      <c r="C62" s="43" t="s">
        <v>4</v>
      </c>
      <c r="D62" s="44">
        <v>8760727885</v>
      </c>
      <c r="E62" s="43"/>
      <c r="H62" s="43"/>
      <c r="I62" s="119"/>
      <c r="J62" s="119"/>
    </row>
    <row r="63" spans="1:10" x14ac:dyDescent="0.3">
      <c r="A63" s="2" t="s">
        <v>19</v>
      </c>
      <c r="B63" s="43">
        <v>1110321</v>
      </c>
      <c r="C63" s="43" t="s">
        <v>13</v>
      </c>
      <c r="D63" s="44">
        <v>1004094380</v>
      </c>
      <c r="E63" s="45">
        <f>D63-G42-E57</f>
        <v>0</v>
      </c>
      <c r="F63" s="2" t="s">
        <v>16</v>
      </c>
      <c r="H63" s="43"/>
      <c r="I63" s="119"/>
      <c r="J63" s="119"/>
    </row>
    <row r="64" spans="1:10" x14ac:dyDescent="0.3">
      <c r="B64" s="43"/>
      <c r="C64" s="43" t="s">
        <v>101</v>
      </c>
      <c r="D64" s="45">
        <f>D62-D63</f>
        <v>7756633505</v>
      </c>
      <c r="E64" s="45">
        <f>D64-E40-C55+G42+E57</f>
        <v>0</v>
      </c>
      <c r="F64" s="2" t="s">
        <v>16</v>
      </c>
      <c r="H64" s="106"/>
      <c r="I64" s="120"/>
      <c r="J64" s="107"/>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2060"/>
  </sheetPr>
  <dimension ref="A2:P80"/>
  <sheetViews>
    <sheetView tabSelected="1" topLeftCell="B45" zoomScaleNormal="100" workbookViewId="0">
      <selection activeCell="D80" sqref="D80"/>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 width="11.5" style="2" bestFit="1" customWidth="1"/>
    <col min="17" max="16384" width="9" style="2"/>
  </cols>
  <sheetData>
    <row r="2" spans="2:16" x14ac:dyDescent="0.3">
      <c r="B2" s="111" t="s">
        <v>21</v>
      </c>
    </row>
    <row r="3" spans="2:16" ht="14.25" thickBot="1" x14ac:dyDescent="0.35"/>
    <row r="4" spans="2:16" ht="14.25" thickBot="1" x14ac:dyDescent="0.35">
      <c r="C4" s="1"/>
      <c r="D4" s="2" t="s">
        <v>22</v>
      </c>
      <c r="E4" s="116"/>
      <c r="F4" s="2" t="s">
        <v>23</v>
      </c>
    </row>
    <row r="6" spans="2:16" x14ac:dyDescent="0.3">
      <c r="B6" s="111" t="s">
        <v>24</v>
      </c>
    </row>
    <row r="7" spans="2:16" x14ac:dyDescent="0.3">
      <c r="B7" s="111"/>
    </row>
    <row r="8" spans="2:16" x14ac:dyDescent="0.3">
      <c r="B8" s="111" t="s">
        <v>66</v>
      </c>
    </row>
    <row r="9" spans="2:16" x14ac:dyDescent="0.3">
      <c r="B9" s="2" t="s">
        <v>43</v>
      </c>
    </row>
    <row r="10" spans="2:16" ht="14.25" thickBot="1" x14ac:dyDescent="0.35">
      <c r="O10" s="2" t="s">
        <v>457</v>
      </c>
      <c r="P10" s="2" t="s">
        <v>458</v>
      </c>
    </row>
    <row r="11" spans="2:16" x14ac:dyDescent="0.3">
      <c r="B11" s="3" t="s">
        <v>0</v>
      </c>
      <c r="C11" s="4" t="s">
        <v>362</v>
      </c>
      <c r="D11" s="4" t="s">
        <v>363</v>
      </c>
      <c r="E11" s="4" t="s">
        <v>372</v>
      </c>
      <c r="F11" s="4" t="s">
        <v>379</v>
      </c>
      <c r="G11" s="4" t="s">
        <v>380</v>
      </c>
      <c r="H11" s="4" t="s">
        <v>392</v>
      </c>
      <c r="I11" s="4" t="s">
        <v>396</v>
      </c>
      <c r="J11" s="4" t="s">
        <v>397</v>
      </c>
      <c r="K11" s="4" t="s">
        <v>443</v>
      </c>
      <c r="L11" s="73" t="s">
        <v>448</v>
      </c>
      <c r="M11" s="4" t="s">
        <v>450</v>
      </c>
      <c r="N11" s="80" t="s">
        <v>456</v>
      </c>
    </row>
    <row r="12" spans="2:16" x14ac:dyDescent="0.3">
      <c r="B12" s="5" t="s">
        <v>27</v>
      </c>
      <c r="C12" s="6">
        <v>2436043383</v>
      </c>
      <c r="D12" s="6">
        <v>2452539804</v>
      </c>
      <c r="E12" s="6">
        <v>1715641447</v>
      </c>
      <c r="F12" s="6">
        <v>1962667876</v>
      </c>
      <c r="G12" s="6">
        <v>1587555486</v>
      </c>
      <c r="H12" s="6">
        <v>1852826474</v>
      </c>
      <c r="I12" s="6">
        <v>1553973714</v>
      </c>
      <c r="J12" s="6">
        <v>1245802334</v>
      </c>
      <c r="K12" s="6">
        <v>1578960725</v>
      </c>
      <c r="L12" s="74">
        <v>1798569847</v>
      </c>
      <c r="M12" s="6">
        <v>1384534449</v>
      </c>
      <c r="N12" s="81">
        <v>1265076093</v>
      </c>
      <c r="O12" s="168">
        <v>850846000</v>
      </c>
      <c r="P12" s="168">
        <v>414230093</v>
      </c>
    </row>
    <row r="13" spans="2:16" x14ac:dyDescent="0.3">
      <c r="B13" s="7" t="s">
        <v>39</v>
      </c>
      <c r="C13" s="6">
        <v>45386643</v>
      </c>
      <c r="D13" s="6">
        <v>166622154</v>
      </c>
      <c r="E13" s="6">
        <v>161509038</v>
      </c>
      <c r="F13" s="6">
        <v>102054537</v>
      </c>
      <c r="G13" s="6">
        <v>7902115</v>
      </c>
      <c r="H13" s="6">
        <v>60538016</v>
      </c>
      <c r="I13" s="6">
        <v>107186544</v>
      </c>
      <c r="J13" s="6">
        <v>46551407</v>
      </c>
      <c r="K13" s="6">
        <v>27280000</v>
      </c>
      <c r="L13" s="74">
        <v>162357328</v>
      </c>
      <c r="M13" s="6">
        <v>105899112</v>
      </c>
      <c r="N13" s="81">
        <v>92473601</v>
      </c>
      <c r="O13" s="168">
        <v>51281472</v>
      </c>
      <c r="P13" s="168">
        <v>41192129</v>
      </c>
    </row>
    <row r="14" spans="2:16" x14ac:dyDescent="0.3">
      <c r="B14" s="7" t="s">
        <v>92</v>
      </c>
      <c r="C14" s="6"/>
      <c r="D14" s="6"/>
      <c r="E14" s="6"/>
      <c r="F14" s="6">
        <v>20356752</v>
      </c>
      <c r="G14" s="6"/>
      <c r="H14" s="6"/>
      <c r="I14" s="6">
        <v>19629500</v>
      </c>
      <c r="J14" s="6"/>
      <c r="K14" s="6"/>
      <c r="L14" s="74"/>
      <c r="M14" s="6">
        <v>4121667</v>
      </c>
      <c r="N14" s="81">
        <v>7137136</v>
      </c>
      <c r="O14" s="168">
        <v>7137136</v>
      </c>
      <c r="P14" s="168">
        <v>0</v>
      </c>
    </row>
    <row r="15" spans="2:16" x14ac:dyDescent="0.3">
      <c r="B15" s="7" t="s">
        <v>30</v>
      </c>
      <c r="C15" s="6">
        <v>1992302</v>
      </c>
      <c r="D15" s="6"/>
      <c r="E15" s="6"/>
      <c r="F15" s="6"/>
      <c r="G15" s="6"/>
      <c r="H15" s="6"/>
      <c r="I15" s="6"/>
      <c r="J15" s="6"/>
      <c r="K15" s="6"/>
      <c r="L15" s="74"/>
      <c r="M15" s="6"/>
      <c r="N15" s="81">
        <v>4121667</v>
      </c>
      <c r="O15" s="168"/>
      <c r="P15" s="168">
        <v>4121667</v>
      </c>
    </row>
    <row r="16" spans="2:16" x14ac:dyDescent="0.3">
      <c r="B16" s="7" t="s">
        <v>32</v>
      </c>
      <c r="C16" s="6"/>
      <c r="D16" s="6">
        <v>204802</v>
      </c>
      <c r="E16" s="6"/>
      <c r="F16" s="6"/>
      <c r="G16" s="6"/>
      <c r="H16" s="6"/>
      <c r="I16" s="6"/>
      <c r="J16" s="6"/>
      <c r="K16" s="6"/>
      <c r="L16" s="74"/>
      <c r="M16" s="6"/>
      <c r="N16" s="81"/>
      <c r="O16" s="168"/>
      <c r="P16" s="168"/>
    </row>
    <row r="17" spans="2:16" x14ac:dyDescent="0.3">
      <c r="B17" s="7" t="s">
        <v>34</v>
      </c>
      <c r="C17" s="6">
        <v>53327600</v>
      </c>
      <c r="D17" s="6"/>
      <c r="E17" s="6">
        <v>204802</v>
      </c>
      <c r="F17" s="6"/>
      <c r="G17" s="6"/>
      <c r="H17" s="6"/>
      <c r="I17" s="6"/>
      <c r="J17" s="6"/>
      <c r="K17" s="6"/>
      <c r="L17" s="74"/>
      <c r="M17" s="6"/>
      <c r="N17" s="81"/>
      <c r="O17" s="168"/>
      <c r="P17" s="168"/>
    </row>
    <row r="18" spans="2:16" ht="14.25" thickBot="1" x14ac:dyDescent="0.35">
      <c r="B18" s="8" t="s">
        <v>93</v>
      </c>
      <c r="C18" s="9">
        <v>414321318</v>
      </c>
      <c r="D18" s="9">
        <v>467648918</v>
      </c>
      <c r="E18" s="9">
        <v>414321318</v>
      </c>
      <c r="F18" s="9">
        <v>114526120</v>
      </c>
      <c r="G18" s="9">
        <v>114526120</v>
      </c>
      <c r="H18" s="9">
        <v>114526120</v>
      </c>
      <c r="I18" s="9">
        <v>114526120</v>
      </c>
      <c r="J18" s="9">
        <v>114526120</v>
      </c>
      <c r="K18" s="9">
        <v>114526120</v>
      </c>
      <c r="L18" s="75">
        <v>114526120</v>
      </c>
      <c r="M18" s="9">
        <v>114526120</v>
      </c>
      <c r="N18" s="82">
        <v>114526120</v>
      </c>
      <c r="O18" s="168">
        <v>79544918</v>
      </c>
      <c r="P18" s="168">
        <v>34981202</v>
      </c>
    </row>
    <row r="19" spans="2:16" x14ac:dyDescent="0.3">
      <c r="B19" s="113"/>
      <c r="C19" s="114"/>
      <c r="D19" s="114"/>
      <c r="E19" s="114"/>
      <c r="F19" s="114"/>
      <c r="G19" s="114"/>
      <c r="H19" s="114"/>
      <c r="I19" s="114"/>
      <c r="J19" s="114"/>
      <c r="K19" s="114"/>
      <c r="L19" s="114"/>
      <c r="M19" s="114"/>
      <c r="N19" s="114"/>
      <c r="O19" s="168">
        <f>SUM(O12:O18)</f>
        <v>988809526</v>
      </c>
      <c r="P19" s="168">
        <f>SUM(P12:P18)</f>
        <v>494525091</v>
      </c>
    </row>
    <row r="20" spans="2:16" ht="14.25" thickBot="1" x14ac:dyDescent="0.35">
      <c r="B20" s="108"/>
      <c r="C20" s="108"/>
      <c r="D20" s="108"/>
      <c r="E20" s="108"/>
      <c r="F20" s="108"/>
      <c r="G20" s="108"/>
      <c r="H20" s="108"/>
      <c r="I20" s="108"/>
      <c r="J20" s="108"/>
      <c r="K20" s="108"/>
    </row>
    <row r="21" spans="2:16" x14ac:dyDescent="0.3">
      <c r="B21" s="10" t="s">
        <v>60</v>
      </c>
      <c r="C21" s="11">
        <f>IF(IFERROR(D13/C12,0)&gt;1,1,IFERROR(D13/C12,0))</f>
        <v>6.8398680894920669E-2</v>
      </c>
      <c r="D21" s="11">
        <f>IF(IFERROR(E13/D12,0)&gt;1,1,IFERROR(E13/D12,0))</f>
        <v>6.585378868737822E-2</v>
      </c>
      <c r="E21" s="11">
        <f t="shared" ref="E21:M21" si="0">IF(IFERROR(F13/E12,0)&gt;1,1,IFERROR(F13/E12,0))</f>
        <v>5.9484770071540481E-2</v>
      </c>
      <c r="F21" s="11">
        <f t="shared" si="0"/>
        <v>4.02621100423004E-3</v>
      </c>
      <c r="G21" s="11">
        <f t="shared" si="0"/>
        <v>3.8132850494902323E-2</v>
      </c>
      <c r="H21" s="11">
        <f t="shared" si="0"/>
        <v>5.7850287387463138E-2</v>
      </c>
      <c r="I21" s="11">
        <f t="shared" si="0"/>
        <v>2.9956367074044341E-2</v>
      </c>
      <c r="J21" s="11">
        <f t="shared" si="0"/>
        <v>2.1897534829951604E-2</v>
      </c>
      <c r="K21" s="11">
        <f t="shared" si="0"/>
        <v>0.10282543791581643</v>
      </c>
      <c r="L21" s="11">
        <f t="shared" si="0"/>
        <v>5.8879621593033414E-2</v>
      </c>
      <c r="M21" s="83">
        <f t="shared" si="0"/>
        <v>6.6790393743391796E-2</v>
      </c>
      <c r="N21" s="84">
        <f>AVERAGE(C21:M21)</f>
        <v>5.2190540336061138E-2</v>
      </c>
      <c r="O21" s="174" t="s">
        <v>58</v>
      </c>
    </row>
    <row r="22" spans="2:16" x14ac:dyDescent="0.3">
      <c r="B22" s="13" t="s">
        <v>61</v>
      </c>
      <c r="C22" s="14">
        <f>IF(IFERROR(D14/C13,0)&gt;1,1,IFERROR(D14/C13,0))</f>
        <v>0</v>
      </c>
      <c r="D22" s="14">
        <f t="shared" ref="D22:M22" si="1">IF(IFERROR(E14/D13,0)&gt;1,1,IFERROR(E14/D13,0))</f>
        <v>0</v>
      </c>
      <c r="E22" s="14">
        <f t="shared" si="1"/>
        <v>0.12604094638963795</v>
      </c>
      <c r="F22" s="14">
        <f t="shared" si="1"/>
        <v>0</v>
      </c>
      <c r="G22" s="14">
        <f t="shared" si="1"/>
        <v>0</v>
      </c>
      <c r="H22" s="14">
        <f t="shared" si="1"/>
        <v>0.32425079804399271</v>
      </c>
      <c r="I22" s="14">
        <f t="shared" si="1"/>
        <v>0</v>
      </c>
      <c r="J22" s="14">
        <f t="shared" si="1"/>
        <v>0</v>
      </c>
      <c r="K22" s="14">
        <f t="shared" si="1"/>
        <v>0</v>
      </c>
      <c r="L22" s="14">
        <f t="shared" si="1"/>
        <v>2.538639340011804E-2</v>
      </c>
      <c r="M22" s="85">
        <f t="shared" si="1"/>
        <v>6.7395617066175209E-2</v>
      </c>
      <c r="N22" s="86">
        <f t="shared" ref="N22:N25" si="2">AVERAGE(C22:M22)</f>
        <v>4.9370341354538542E-2</v>
      </c>
      <c r="O22" s="174"/>
    </row>
    <row r="23" spans="2:16" x14ac:dyDescent="0.3">
      <c r="B23" s="13" t="s">
        <v>62</v>
      </c>
      <c r="C23" s="14">
        <f t="shared" ref="C23:M25" si="3">IF(IFERROR(D15/C14,0)&gt;1,1,IFERROR(D15/C14,0))</f>
        <v>0</v>
      </c>
      <c r="D23" s="14">
        <f t="shared" si="3"/>
        <v>0</v>
      </c>
      <c r="E23" s="14">
        <f t="shared" si="3"/>
        <v>0</v>
      </c>
      <c r="F23" s="14">
        <f t="shared" si="3"/>
        <v>0</v>
      </c>
      <c r="G23" s="14">
        <f t="shared" si="3"/>
        <v>0</v>
      </c>
      <c r="H23" s="14">
        <f t="shared" si="3"/>
        <v>0</v>
      </c>
      <c r="I23" s="14">
        <f t="shared" si="3"/>
        <v>0</v>
      </c>
      <c r="J23" s="14">
        <f t="shared" si="3"/>
        <v>0</v>
      </c>
      <c r="K23" s="14">
        <f t="shared" si="3"/>
        <v>0</v>
      </c>
      <c r="L23" s="14">
        <f t="shared" si="3"/>
        <v>0</v>
      </c>
      <c r="M23" s="85">
        <f t="shared" si="3"/>
        <v>1</v>
      </c>
      <c r="N23" s="86">
        <f t="shared" si="2"/>
        <v>9.0909090909090912E-2</v>
      </c>
      <c r="O23" s="174"/>
    </row>
    <row r="24" spans="2:16" x14ac:dyDescent="0.3">
      <c r="B24" s="13" t="s">
        <v>63</v>
      </c>
      <c r="C24" s="14">
        <f t="shared" si="3"/>
        <v>0.10279666436112597</v>
      </c>
      <c r="D24" s="14">
        <f t="shared" si="3"/>
        <v>0</v>
      </c>
      <c r="E24" s="14">
        <f t="shared" si="3"/>
        <v>0</v>
      </c>
      <c r="F24" s="14">
        <f t="shared" si="3"/>
        <v>0</v>
      </c>
      <c r="G24" s="14">
        <f t="shared" si="3"/>
        <v>0</v>
      </c>
      <c r="H24" s="14">
        <f t="shared" si="3"/>
        <v>0</v>
      </c>
      <c r="I24" s="14">
        <f t="shared" si="3"/>
        <v>0</v>
      </c>
      <c r="J24" s="14">
        <f t="shared" si="3"/>
        <v>0</v>
      </c>
      <c r="K24" s="14">
        <f t="shared" si="3"/>
        <v>0</v>
      </c>
      <c r="L24" s="14">
        <f t="shared" si="3"/>
        <v>0</v>
      </c>
      <c r="M24" s="87">
        <f t="shared" si="3"/>
        <v>0</v>
      </c>
      <c r="N24" s="86">
        <f t="shared" si="2"/>
        <v>9.3451513055569074E-3</v>
      </c>
      <c r="O24" s="174"/>
    </row>
    <row r="25" spans="2:16" ht="14.25" thickBot="1" x14ac:dyDescent="0.35">
      <c r="B25" s="15" t="s">
        <v>64</v>
      </c>
      <c r="C25" s="16">
        <f t="shared" si="3"/>
        <v>0</v>
      </c>
      <c r="D25" s="16">
        <f t="shared" si="3"/>
        <v>1</v>
      </c>
      <c r="E25" s="16">
        <f t="shared" si="3"/>
        <v>0</v>
      </c>
      <c r="F25" s="16">
        <f t="shared" si="3"/>
        <v>0</v>
      </c>
      <c r="G25" s="16">
        <f t="shared" si="3"/>
        <v>0</v>
      </c>
      <c r="H25" s="16">
        <f t="shared" si="3"/>
        <v>0</v>
      </c>
      <c r="I25" s="16">
        <f t="shared" si="3"/>
        <v>0</v>
      </c>
      <c r="J25" s="16">
        <f t="shared" si="3"/>
        <v>0</v>
      </c>
      <c r="K25" s="16">
        <f t="shared" si="3"/>
        <v>0</v>
      </c>
      <c r="L25" s="16">
        <f t="shared" si="3"/>
        <v>0</v>
      </c>
      <c r="M25" s="88">
        <f t="shared" si="3"/>
        <v>0</v>
      </c>
      <c r="N25" s="89">
        <f t="shared" si="2"/>
        <v>9.0909090909090912E-2</v>
      </c>
      <c r="O25" s="174"/>
    </row>
    <row r="26" spans="2:16" x14ac:dyDescent="0.3">
      <c r="B26" s="108"/>
      <c r="C26" s="108"/>
      <c r="D26" s="108"/>
      <c r="E26" s="108"/>
      <c r="F26" s="108"/>
      <c r="G26" s="108"/>
      <c r="H26" s="108"/>
      <c r="I26" s="108"/>
      <c r="J26" s="108"/>
      <c r="K26" s="108"/>
    </row>
    <row r="27" spans="2:16" x14ac:dyDescent="0.3">
      <c r="B27" s="111" t="s">
        <v>40</v>
      </c>
      <c r="C27" s="108"/>
      <c r="D27" s="108"/>
      <c r="E27" s="108"/>
      <c r="F27" s="108"/>
      <c r="G27" s="108"/>
      <c r="H27" s="108"/>
      <c r="I27" s="108"/>
      <c r="J27" s="108"/>
      <c r="K27" s="108"/>
    </row>
    <row r="28" spans="2:16" x14ac:dyDescent="0.3">
      <c r="B28" s="2" t="s">
        <v>65</v>
      </c>
      <c r="C28" s="108"/>
      <c r="D28" s="108"/>
      <c r="E28" s="108"/>
      <c r="F28" s="108"/>
      <c r="G28" s="108"/>
      <c r="H28" s="108"/>
      <c r="I28" s="108"/>
      <c r="J28" s="108"/>
      <c r="K28" s="108"/>
    </row>
    <row r="29" spans="2:16" x14ac:dyDescent="0.3">
      <c r="B29" s="108"/>
      <c r="C29" s="108"/>
      <c r="D29" s="108"/>
      <c r="E29" s="108"/>
      <c r="F29" s="108"/>
      <c r="G29" s="108"/>
      <c r="H29" s="108"/>
      <c r="I29" s="108"/>
      <c r="J29" s="108"/>
      <c r="K29" s="108"/>
    </row>
    <row r="30" spans="2:16" ht="14.25" thickBot="1" x14ac:dyDescent="0.35">
      <c r="D30" s="109"/>
    </row>
    <row r="31" spans="2:16" ht="54" x14ac:dyDescent="0.3">
      <c r="B31" s="170" t="s">
        <v>0</v>
      </c>
      <c r="C31" s="68" t="s">
        <v>94</v>
      </c>
      <c r="D31" s="69" t="s">
        <v>44</v>
      </c>
      <c r="E31" s="70" t="s">
        <v>45</v>
      </c>
      <c r="F31" s="71" t="s">
        <v>59</v>
      </c>
      <c r="G31" s="72" t="s">
        <v>47</v>
      </c>
      <c r="I31" s="108"/>
      <c r="J31" s="108"/>
      <c r="K31" s="108"/>
    </row>
    <row r="32" spans="2:16" ht="14.25" thickBot="1" x14ac:dyDescent="0.35">
      <c r="B32" s="171"/>
      <c r="C32" s="90" t="s">
        <v>455</v>
      </c>
      <c r="D32" s="91" t="s">
        <v>455</v>
      </c>
      <c r="E32" s="92" t="s">
        <v>455</v>
      </c>
      <c r="F32" s="93" t="s">
        <v>455</v>
      </c>
      <c r="G32" s="56" t="s">
        <v>455</v>
      </c>
      <c r="I32" s="179" t="s">
        <v>460</v>
      </c>
      <c r="J32" s="179" t="s">
        <v>459</v>
      </c>
      <c r="K32" s="179" t="s">
        <v>461</v>
      </c>
      <c r="L32" s="179" t="s">
        <v>459</v>
      </c>
    </row>
    <row r="33" spans="2:14" x14ac:dyDescent="0.3">
      <c r="B33" s="20" t="s">
        <v>26</v>
      </c>
      <c r="C33" s="94">
        <f t="shared" ref="C33:C39" si="4">N12</f>
        <v>1265076093</v>
      </c>
      <c r="D33" s="50">
        <f>C48</f>
        <v>0</v>
      </c>
      <c r="E33" s="95">
        <f>C33-D33</f>
        <v>1265076093</v>
      </c>
      <c r="F33" s="63">
        <f>PRODUCT(N21:$N$25)</f>
        <v>1.9900266399767373E-7</v>
      </c>
      <c r="G33" s="57">
        <f>ROUND(E33*F33,)</f>
        <v>252</v>
      </c>
      <c r="I33" s="177">
        <v>850846000</v>
      </c>
      <c r="J33" s="177">
        <f>ROUND(I33*F33,0)</f>
        <v>169</v>
      </c>
      <c r="K33" s="177">
        <v>414230093</v>
      </c>
      <c r="L33" s="178">
        <f>ROUND(K33*F33,0)</f>
        <v>82</v>
      </c>
      <c r="M33" s="168"/>
      <c r="N33" s="168"/>
    </row>
    <row r="34" spans="2:14" x14ac:dyDescent="0.3">
      <c r="B34" s="22" t="s">
        <v>38</v>
      </c>
      <c r="C34" s="96">
        <f t="shared" si="4"/>
        <v>92473601</v>
      </c>
      <c r="D34" s="52">
        <f t="shared" ref="D34:D39" si="5">C49</f>
        <v>0</v>
      </c>
      <c r="E34" s="97">
        <f t="shared" ref="E34:E39" si="6">C34-D34</f>
        <v>92473601</v>
      </c>
      <c r="F34" s="64">
        <f>PRODUCT(N22:$N$25)</f>
        <v>3.8130025616955047E-6</v>
      </c>
      <c r="G34" s="58">
        <f t="shared" ref="G34:G37" si="7">ROUND(E34*F34,)</f>
        <v>353</v>
      </c>
      <c r="I34" s="177">
        <v>51281472</v>
      </c>
      <c r="J34" s="177">
        <f>ROUND(I34*F34,0)</f>
        <v>196</v>
      </c>
      <c r="K34" s="177">
        <v>41192129</v>
      </c>
      <c r="L34" s="178">
        <f>ROUND(K34*F34,0)</f>
        <v>157</v>
      </c>
      <c r="M34" s="168"/>
      <c r="N34" s="168"/>
    </row>
    <row r="35" spans="2:14" x14ac:dyDescent="0.3">
      <c r="B35" s="22" t="s">
        <v>28</v>
      </c>
      <c r="C35" s="96">
        <f t="shared" si="4"/>
        <v>7137136</v>
      </c>
      <c r="D35" s="52">
        <f t="shared" si="5"/>
        <v>0</v>
      </c>
      <c r="E35" s="97">
        <f t="shared" si="6"/>
        <v>7137136</v>
      </c>
      <c r="F35" s="64">
        <f>PRODUCT(N23:$N$25)</f>
        <v>7.723265541782568E-5</v>
      </c>
      <c r="G35" s="58">
        <f t="shared" si="7"/>
        <v>551</v>
      </c>
      <c r="I35" s="177">
        <v>7137136</v>
      </c>
      <c r="J35" s="177">
        <f>ROUND(I35*F35,0)</f>
        <v>551</v>
      </c>
      <c r="K35" s="177">
        <v>0</v>
      </c>
      <c r="L35" s="178">
        <f t="shared" ref="L34:L39" si="8">K35*F35</f>
        <v>0</v>
      </c>
      <c r="M35" s="168"/>
      <c r="N35" s="168"/>
    </row>
    <row r="36" spans="2:14" x14ac:dyDescent="0.3">
      <c r="B36" s="22" t="s">
        <v>29</v>
      </c>
      <c r="C36" s="96">
        <f t="shared" si="4"/>
        <v>4121667</v>
      </c>
      <c r="D36" s="52">
        <f>C51</f>
        <v>0</v>
      </c>
      <c r="E36" s="97">
        <f t="shared" si="6"/>
        <v>4121667</v>
      </c>
      <c r="F36" s="64">
        <f>PRODUCT(N24:$N$25)</f>
        <v>8.4955920959608252E-4</v>
      </c>
      <c r="G36" s="58">
        <f t="shared" si="7"/>
        <v>3502</v>
      </c>
      <c r="I36" s="177"/>
      <c r="J36" s="177">
        <f t="shared" ref="J34:J39" si="9">I36*F36</f>
        <v>0</v>
      </c>
      <c r="K36" s="177">
        <v>4121667</v>
      </c>
      <c r="L36" s="178">
        <f>ROUND(K36*F36,0)</f>
        <v>3502</v>
      </c>
      <c r="M36" s="168"/>
      <c r="N36" s="168"/>
    </row>
    <row r="37" spans="2:14" ht="14.25" thickBot="1" x14ac:dyDescent="0.35">
      <c r="B37" s="25" t="s">
        <v>31</v>
      </c>
      <c r="C37" s="98">
        <f t="shared" si="4"/>
        <v>0</v>
      </c>
      <c r="D37" s="55">
        <f t="shared" si="5"/>
        <v>0</v>
      </c>
      <c r="E37" s="99">
        <f t="shared" si="6"/>
        <v>0</v>
      </c>
      <c r="F37" s="67">
        <f>PRODUCT(N25:$N$25)</f>
        <v>9.0909090909090912E-2</v>
      </c>
      <c r="G37" s="59">
        <f t="shared" si="7"/>
        <v>0</v>
      </c>
      <c r="I37" s="177"/>
      <c r="J37" s="177">
        <f t="shared" si="9"/>
        <v>0</v>
      </c>
      <c r="K37" s="177"/>
      <c r="L37" s="178">
        <f t="shared" si="8"/>
        <v>0</v>
      </c>
      <c r="M37" s="168"/>
      <c r="N37" s="168"/>
    </row>
    <row r="38" spans="2:14" x14ac:dyDescent="0.3">
      <c r="B38" s="27" t="s">
        <v>33</v>
      </c>
      <c r="C38" s="94">
        <f t="shared" si="4"/>
        <v>0</v>
      </c>
      <c r="D38" s="50">
        <f t="shared" si="5"/>
        <v>0</v>
      </c>
      <c r="E38" s="29">
        <f t="shared" si="6"/>
        <v>0</v>
      </c>
      <c r="F38" s="100">
        <v>1</v>
      </c>
      <c r="G38" s="60">
        <f>ROUND(E38*F38,)</f>
        <v>0</v>
      </c>
      <c r="I38" s="177"/>
      <c r="J38" s="177"/>
      <c r="K38" s="177"/>
      <c r="L38" s="178">
        <f t="shared" si="8"/>
        <v>0</v>
      </c>
      <c r="M38" s="168"/>
      <c r="N38" s="168"/>
    </row>
    <row r="39" spans="2:14" ht="14.25" thickBot="1" x14ac:dyDescent="0.35">
      <c r="B39" s="30" t="s">
        <v>35</v>
      </c>
      <c r="C39" s="98">
        <f t="shared" si="4"/>
        <v>114526120</v>
      </c>
      <c r="D39" s="55">
        <f t="shared" si="5"/>
        <v>114321318</v>
      </c>
      <c r="E39" s="32">
        <f t="shared" si="6"/>
        <v>204802</v>
      </c>
      <c r="F39" s="67">
        <v>1</v>
      </c>
      <c r="G39" s="61">
        <f>ROUND(E39*F39,)</f>
        <v>204802</v>
      </c>
      <c r="H39" s="175"/>
      <c r="I39" s="177"/>
      <c r="J39" s="177"/>
      <c r="K39" s="177">
        <v>204802</v>
      </c>
      <c r="L39" s="178">
        <f>ROUND(K39*F39,0)</f>
        <v>204802</v>
      </c>
      <c r="M39" s="168"/>
      <c r="N39" s="168"/>
    </row>
    <row r="40" spans="2:14" ht="14.25" thickBot="1" x14ac:dyDescent="0.35">
      <c r="B40" s="30" t="s">
        <v>41</v>
      </c>
      <c r="C40" s="101">
        <f>SUM(C33:C39)</f>
        <v>1483334617</v>
      </c>
      <c r="D40" s="101">
        <f>SUM(D33:D39)</f>
        <v>114321318</v>
      </c>
      <c r="E40" s="102">
        <f>SUM(E33:E39)</f>
        <v>1369013299</v>
      </c>
      <c r="F40" s="67"/>
      <c r="G40" s="61">
        <f>SUM(G33:G39)</f>
        <v>209460</v>
      </c>
      <c r="H40" s="176" t="s">
        <v>464</v>
      </c>
      <c r="I40" s="177">
        <v>79544918</v>
      </c>
      <c r="J40" s="177">
        <f>I40*100%</f>
        <v>79544918</v>
      </c>
      <c r="K40" s="177">
        <v>34776400</v>
      </c>
      <c r="L40" s="181">
        <f>K40*100%</f>
        <v>34776400</v>
      </c>
    </row>
    <row r="41" spans="2:14" ht="14.25" thickBot="1" x14ac:dyDescent="0.35">
      <c r="B41" s="108"/>
      <c r="E41" s="109"/>
      <c r="F41" s="110"/>
      <c r="G41" s="115"/>
      <c r="H41" s="108"/>
      <c r="I41" s="108"/>
      <c r="J41" s="108"/>
      <c r="K41" s="108"/>
    </row>
    <row r="42" spans="2:14" ht="14.25" thickBot="1" x14ac:dyDescent="0.35">
      <c r="G42" s="33">
        <f>G40</f>
        <v>209460</v>
      </c>
      <c r="H42" s="2" t="s">
        <v>37</v>
      </c>
    </row>
    <row r="43" spans="2:14" x14ac:dyDescent="0.3">
      <c r="B43" s="111" t="s">
        <v>48</v>
      </c>
    </row>
    <row r="44" spans="2:14" x14ac:dyDescent="0.3">
      <c r="B44" s="2" t="s">
        <v>49</v>
      </c>
    </row>
    <row r="45" spans="2:14" ht="14.25" thickBot="1" x14ac:dyDescent="0.35"/>
    <row r="46" spans="2:14" ht="67.5" x14ac:dyDescent="0.3">
      <c r="B46" s="170" t="s">
        <v>0</v>
      </c>
      <c r="C46" s="68" t="s">
        <v>95</v>
      </c>
      <c r="D46" s="70" t="s">
        <v>50</v>
      </c>
    </row>
    <row r="47" spans="2:14" ht="14.25" thickBot="1" x14ac:dyDescent="0.35">
      <c r="B47" s="171"/>
      <c r="C47" s="17" t="s">
        <v>455</v>
      </c>
      <c r="D47" s="19" t="s">
        <v>455</v>
      </c>
    </row>
    <row r="48" spans="2:14" x14ac:dyDescent="0.3">
      <c r="B48" s="20" t="s">
        <v>26</v>
      </c>
      <c r="C48" s="34">
        <v>0</v>
      </c>
      <c r="D48" s="35">
        <v>0</v>
      </c>
      <c r="F48" s="173" t="s">
        <v>85</v>
      </c>
      <c r="G48" s="173"/>
      <c r="H48" s="173"/>
      <c r="I48" s="173"/>
    </row>
    <row r="49" spans="1:10" x14ac:dyDescent="0.3">
      <c r="B49" s="22" t="s">
        <v>38</v>
      </c>
      <c r="C49" s="36">
        <v>0</v>
      </c>
      <c r="D49" s="37">
        <v>0</v>
      </c>
      <c r="F49" s="104" t="s">
        <v>86</v>
      </c>
      <c r="G49" s="105">
        <v>27256788</v>
      </c>
      <c r="H49" s="104" t="s">
        <v>87</v>
      </c>
      <c r="I49" s="105">
        <v>49060000</v>
      </c>
    </row>
    <row r="50" spans="1:10" x14ac:dyDescent="0.3">
      <c r="B50" s="22" t="s">
        <v>28</v>
      </c>
      <c r="C50" s="36">
        <v>0</v>
      </c>
      <c r="D50" s="37">
        <v>0</v>
      </c>
      <c r="F50" s="104" t="s">
        <v>88</v>
      </c>
      <c r="G50" s="105">
        <v>3228130</v>
      </c>
      <c r="H50" s="104" t="s">
        <v>89</v>
      </c>
      <c r="I50" s="105">
        <v>12000000</v>
      </c>
    </row>
    <row r="51" spans="1:10" x14ac:dyDescent="0.3">
      <c r="B51" s="22" t="s">
        <v>29</v>
      </c>
      <c r="C51" s="36">
        <v>0</v>
      </c>
      <c r="D51" s="37">
        <v>0</v>
      </c>
      <c r="F51" s="104" t="s">
        <v>354</v>
      </c>
      <c r="G51" s="105">
        <v>22776400</v>
      </c>
      <c r="H51" s="106"/>
      <c r="I51" s="105"/>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114321318</v>
      </c>
      <c r="D54" s="41">
        <f>C54</f>
        <v>114321318</v>
      </c>
    </row>
    <row r="55" spans="1:10" ht="14.25" thickBot="1" x14ac:dyDescent="0.35">
      <c r="B55" s="46" t="s">
        <v>11</v>
      </c>
      <c r="C55" s="47">
        <f>SUM(C48:C54)</f>
        <v>114321318</v>
      </c>
      <c r="D55" s="48">
        <f>SUM(D48:D54)</f>
        <v>114321318</v>
      </c>
    </row>
    <row r="56" spans="1:10" ht="14.25" thickBot="1" x14ac:dyDescent="0.35"/>
    <row r="57" spans="1:10" ht="14.25" thickBot="1" x14ac:dyDescent="0.35">
      <c r="E57" s="33">
        <f>D55</f>
        <v>114321318</v>
      </c>
      <c r="F57" s="2" t="s">
        <v>51</v>
      </c>
    </row>
    <row r="59" spans="1:10" x14ac:dyDescent="0.3">
      <c r="B59" s="111" t="s">
        <v>12</v>
      </c>
    </row>
    <row r="60" spans="1:10" x14ac:dyDescent="0.3">
      <c r="B60" s="2" t="s">
        <v>20</v>
      </c>
      <c r="H60" s="118" t="s">
        <v>370</v>
      </c>
      <c r="I60" s="118" t="s">
        <v>84</v>
      </c>
      <c r="J60" s="118" t="s">
        <v>78</v>
      </c>
    </row>
    <row r="61" spans="1:10" x14ac:dyDescent="0.3">
      <c r="B61" s="42" t="s">
        <v>14</v>
      </c>
      <c r="C61" s="42" t="s">
        <v>15</v>
      </c>
      <c r="D61" s="42" t="s">
        <v>98</v>
      </c>
      <c r="E61" s="42" t="s">
        <v>52</v>
      </c>
      <c r="H61" s="43" t="s">
        <v>400</v>
      </c>
      <c r="I61" s="119">
        <f>D63+'전이율 적용(2023.4Q)-수출'!D63</f>
        <v>1003692803</v>
      </c>
      <c r="J61" s="119">
        <v>1141107455</v>
      </c>
    </row>
    <row r="62" spans="1:10" x14ac:dyDescent="0.3">
      <c r="A62" s="2" t="s">
        <v>18</v>
      </c>
      <c r="B62" s="103" t="s">
        <v>100</v>
      </c>
      <c r="C62" s="43" t="s">
        <v>4</v>
      </c>
      <c r="D62" s="44">
        <v>1483334617</v>
      </c>
      <c r="E62" s="43"/>
      <c r="H62" s="43" t="s">
        <v>378</v>
      </c>
      <c r="I62" s="119">
        <v>1118622161</v>
      </c>
      <c r="J62" s="119">
        <v>664315006</v>
      </c>
    </row>
    <row r="63" spans="1:10" x14ac:dyDescent="0.3">
      <c r="A63" s="2" t="s">
        <v>19</v>
      </c>
      <c r="B63" s="43">
        <v>1110321</v>
      </c>
      <c r="C63" s="43" t="s">
        <v>13</v>
      </c>
      <c r="D63" s="44">
        <v>114530778</v>
      </c>
      <c r="E63" s="45">
        <f>D63-G42-E57</f>
        <v>0</v>
      </c>
      <c r="F63" s="2" t="s">
        <v>16</v>
      </c>
      <c r="H63" s="43" t="s">
        <v>81</v>
      </c>
      <c r="I63" s="119"/>
      <c r="J63" s="119"/>
    </row>
    <row r="64" spans="1:10" x14ac:dyDescent="0.3">
      <c r="B64" s="43"/>
      <c r="C64" s="43" t="s">
        <v>101</v>
      </c>
      <c r="D64" s="45">
        <f>D62-D63</f>
        <v>1368803839</v>
      </c>
      <c r="E64" s="45">
        <f>D64-E40-C55+G42+E57</f>
        <v>0</v>
      </c>
      <c r="F64" s="2" t="s">
        <v>16</v>
      </c>
      <c r="H64" s="106" t="s">
        <v>82</v>
      </c>
      <c r="I64" s="120">
        <f>I61-I62+I63</f>
        <v>-114929358</v>
      </c>
      <c r="J64" s="107">
        <f>J61-J62+J63</f>
        <v>476792449</v>
      </c>
    </row>
    <row r="66" spans="8:11" hidden="1" x14ac:dyDescent="0.3">
      <c r="H66" s="118" t="s">
        <v>371</v>
      </c>
      <c r="I66" s="118" t="s">
        <v>84</v>
      </c>
      <c r="J66" s="118" t="s">
        <v>78</v>
      </c>
    </row>
    <row r="67" spans="8:11" hidden="1" x14ac:dyDescent="0.3">
      <c r="H67" s="43" t="s">
        <v>377</v>
      </c>
      <c r="I67" s="119">
        <v>70000000</v>
      </c>
      <c r="J67" s="119"/>
    </row>
    <row r="68" spans="8:11" hidden="1" x14ac:dyDescent="0.3">
      <c r="H68" s="43" t="s">
        <v>378</v>
      </c>
      <c r="I68" s="119">
        <v>80000000</v>
      </c>
      <c r="J68" s="119"/>
    </row>
    <row r="69" spans="8:11" hidden="1" x14ac:dyDescent="0.3">
      <c r="H69" s="43" t="s">
        <v>81</v>
      </c>
      <c r="I69" s="119"/>
      <c r="J69" s="119"/>
    </row>
    <row r="70" spans="8:11" hidden="1" x14ac:dyDescent="0.3">
      <c r="H70" s="106" t="s">
        <v>82</v>
      </c>
      <c r="I70" s="120">
        <f>I68+I67</f>
        <v>150000000</v>
      </c>
      <c r="J70" s="107">
        <f>J67-J68+J69</f>
        <v>0</v>
      </c>
    </row>
    <row r="73" spans="8:11" x14ac:dyDescent="0.3">
      <c r="H73" s="182"/>
      <c r="I73" s="185" t="s">
        <v>462</v>
      </c>
      <c r="J73" s="185" t="s">
        <v>458</v>
      </c>
    </row>
    <row r="74" spans="8:11" x14ac:dyDescent="0.3">
      <c r="H74" s="182" t="s">
        <v>463</v>
      </c>
      <c r="I74" s="183">
        <f>SUM(I33:I37)+SUM('전이율 적용(2023.4Q)-수출'!I33:I39)</f>
        <v>3179599475</v>
      </c>
      <c r="J74" s="183">
        <f>SUM(K33:K39)+SUM('전이율 적용(2023.4Q)-수출'!K33:K39)</f>
        <v>5821936605</v>
      </c>
    </row>
    <row r="75" spans="8:11" x14ac:dyDescent="0.3">
      <c r="H75" s="182" t="s">
        <v>465</v>
      </c>
      <c r="I75" s="183">
        <f>SUM(J33:J37)+SUM('전이율 적용(2023.4Q)-수출'!J33:J39)</f>
        <v>36425557</v>
      </c>
      <c r="J75" s="183">
        <f>SUM(L33:L39)+SUM('전이율 적용(2023.4Q)-수출'!L33:L39)</f>
        <v>725781570</v>
      </c>
    </row>
    <row r="76" spans="8:11" x14ac:dyDescent="0.3">
      <c r="H76" s="182" t="s">
        <v>464</v>
      </c>
      <c r="I76" s="183">
        <f>I40+'전이율 적용(2023.4Q)-수출'!I40</f>
        <v>79544918</v>
      </c>
      <c r="J76" s="183">
        <f>K40+'전이율 적용(2023.4Q)-수출'!K40</f>
        <v>161940758</v>
      </c>
    </row>
    <row r="77" spans="8:11" x14ac:dyDescent="0.3">
      <c r="H77" s="182" t="s">
        <v>465</v>
      </c>
      <c r="I77" s="183">
        <f>J40+'전이율 적용(2023.4Q)-수출'!J40</f>
        <v>79544918</v>
      </c>
      <c r="J77" s="183">
        <f>L40+'전이율 적용(2023.4Q)-수출'!L40</f>
        <v>161940758</v>
      </c>
    </row>
    <row r="78" spans="8:11" x14ac:dyDescent="0.3">
      <c r="H78" s="184"/>
      <c r="I78" s="184"/>
      <c r="J78" s="184"/>
    </row>
    <row r="79" spans="8:11" x14ac:dyDescent="0.3">
      <c r="H79" s="182" t="s">
        <v>466</v>
      </c>
      <c r="I79" s="183">
        <f>I74+I76</f>
        <v>3259144393</v>
      </c>
      <c r="J79" s="183">
        <f>J74+J76</f>
        <v>5983877363</v>
      </c>
    </row>
    <row r="80" spans="8:11" x14ac:dyDescent="0.3">
      <c r="H80" s="182" t="s">
        <v>467</v>
      </c>
      <c r="I80" s="183">
        <f>I75+I77</f>
        <v>115970475</v>
      </c>
      <c r="J80" s="183">
        <f>J75+J77</f>
        <v>887722328</v>
      </c>
      <c r="K80" s="180" t="b">
        <f>I80+J80=I61</f>
        <v>1</v>
      </c>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ignoredErrors>
    <ignoredError sqref="J74" formulaRange="1"/>
  </ignoredErrors>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2060"/>
  </sheetPr>
  <dimension ref="A2:P64"/>
  <sheetViews>
    <sheetView topLeftCell="C25" zoomScaleNormal="100" workbookViewId="0">
      <selection activeCell="K46" sqref="K46"/>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 width="12.875" style="2" bestFit="1" customWidth="1"/>
    <col min="17" max="16384" width="9" style="2"/>
  </cols>
  <sheetData>
    <row r="2" spans="2:16" x14ac:dyDescent="0.3">
      <c r="B2" s="111" t="s">
        <v>21</v>
      </c>
    </row>
    <row r="3" spans="2:16" ht="14.25" thickBot="1" x14ac:dyDescent="0.35"/>
    <row r="4" spans="2:16" ht="14.25" thickBot="1" x14ac:dyDescent="0.35">
      <c r="C4" s="1"/>
      <c r="D4" s="2" t="s">
        <v>22</v>
      </c>
      <c r="E4" s="116"/>
      <c r="F4" s="2" t="s">
        <v>23</v>
      </c>
    </row>
    <row r="6" spans="2:16" x14ac:dyDescent="0.3">
      <c r="B6" s="111" t="s">
        <v>24</v>
      </c>
    </row>
    <row r="7" spans="2:16" x14ac:dyDescent="0.3">
      <c r="B7" s="111"/>
    </row>
    <row r="8" spans="2:16" x14ac:dyDescent="0.3">
      <c r="B8" s="111" t="s">
        <v>66</v>
      </c>
    </row>
    <row r="9" spans="2:16" x14ac:dyDescent="0.3">
      <c r="B9" s="2" t="s">
        <v>43</v>
      </c>
    </row>
    <row r="10" spans="2:16" ht="14.25" thickBot="1" x14ac:dyDescent="0.35">
      <c r="O10" s="2" t="s">
        <v>457</v>
      </c>
      <c r="P10" s="2" t="s">
        <v>458</v>
      </c>
    </row>
    <row r="11" spans="2:16" x14ac:dyDescent="0.3">
      <c r="B11" s="3" t="s">
        <v>0</v>
      </c>
      <c r="C11" s="4" t="s">
        <v>362</v>
      </c>
      <c r="D11" s="4" t="s">
        <v>363</v>
      </c>
      <c r="E11" s="4" t="s">
        <v>372</v>
      </c>
      <c r="F11" s="4" t="s">
        <v>379</v>
      </c>
      <c r="G11" s="4" t="s">
        <v>380</v>
      </c>
      <c r="H11" s="4" t="s">
        <v>392</v>
      </c>
      <c r="I11" s="4" t="s">
        <v>396</v>
      </c>
      <c r="J11" s="4" t="s">
        <v>397</v>
      </c>
      <c r="K11" s="4" t="s">
        <v>443</v>
      </c>
      <c r="L11" s="73" t="s">
        <v>448</v>
      </c>
      <c r="M11" s="4" t="s">
        <v>450</v>
      </c>
      <c r="N11" s="80" t="s">
        <v>456</v>
      </c>
    </row>
    <row r="12" spans="2:16" x14ac:dyDescent="0.3">
      <c r="B12" s="5" t="s">
        <v>27</v>
      </c>
      <c r="C12" s="6">
        <v>7686782434</v>
      </c>
      <c r="D12" s="6">
        <v>6513914814</v>
      </c>
      <c r="E12" s="6">
        <v>6967970393</v>
      </c>
      <c r="F12" s="6">
        <v>6661971596</v>
      </c>
      <c r="G12" s="6">
        <v>6815296486</v>
      </c>
      <c r="H12" s="6">
        <v>6608289603</v>
      </c>
      <c r="I12" s="6">
        <v>4987984096</v>
      </c>
      <c r="J12" s="6">
        <v>5361948616</v>
      </c>
      <c r="K12" s="6">
        <v>5377612564</v>
      </c>
      <c r="L12" s="74">
        <v>5770717397</v>
      </c>
      <c r="M12" s="6">
        <v>4880758971</v>
      </c>
      <c r="N12" s="81">
        <v>4519651877</v>
      </c>
      <c r="O12" s="168">
        <v>1780996101</v>
      </c>
      <c r="P12" s="168">
        <v>2738655776</v>
      </c>
    </row>
    <row r="13" spans="2:16" x14ac:dyDescent="0.3">
      <c r="B13" s="7" t="s">
        <v>39</v>
      </c>
      <c r="C13" s="6">
        <v>844001742</v>
      </c>
      <c r="D13" s="6">
        <v>1826886285</v>
      </c>
      <c r="E13" s="6">
        <v>1492293396</v>
      </c>
      <c r="F13" s="6">
        <v>1580210690</v>
      </c>
      <c r="G13" s="6">
        <v>1897812424</v>
      </c>
      <c r="H13" s="6">
        <v>2068394905</v>
      </c>
      <c r="I13" s="6">
        <v>2126571324</v>
      </c>
      <c r="J13" s="6">
        <v>1229193136</v>
      </c>
      <c r="K13" s="6">
        <v>2162956966</v>
      </c>
      <c r="L13" s="74">
        <v>2218561179</v>
      </c>
      <c r="M13" s="6">
        <v>2507792138</v>
      </c>
      <c r="N13" s="81">
        <v>1858588214</v>
      </c>
      <c r="O13" s="168">
        <v>371525295</v>
      </c>
      <c r="P13" s="168">
        <v>1487062919</v>
      </c>
    </row>
    <row r="14" spans="2:16" x14ac:dyDescent="0.3">
      <c r="B14" s="7" t="s">
        <v>92</v>
      </c>
      <c r="C14" s="6">
        <v>392955886</v>
      </c>
      <c r="D14" s="6">
        <v>253537343</v>
      </c>
      <c r="E14" s="6">
        <v>417162571</v>
      </c>
      <c r="F14" s="6">
        <v>515963566</v>
      </c>
      <c r="G14" s="6">
        <v>907853734</v>
      </c>
      <c r="H14" s="6">
        <v>1477183747</v>
      </c>
      <c r="I14" s="6">
        <v>889839372</v>
      </c>
      <c r="J14" s="6">
        <v>842344784</v>
      </c>
      <c r="K14" s="6">
        <v>498936898</v>
      </c>
      <c r="L14" s="74">
        <v>1076737336</v>
      </c>
      <c r="M14" s="6">
        <v>438489009</v>
      </c>
      <c r="N14" s="81">
        <v>481511745</v>
      </c>
      <c r="O14" s="168">
        <v>117813471</v>
      </c>
      <c r="P14" s="168">
        <v>363698274</v>
      </c>
    </row>
    <row r="15" spans="2:16" x14ac:dyDescent="0.3">
      <c r="B15" s="7" t="s">
        <v>30</v>
      </c>
      <c r="C15" s="6">
        <v>159098911</v>
      </c>
      <c r="D15" s="6">
        <v>68481932</v>
      </c>
      <c r="E15" s="6">
        <v>13279209</v>
      </c>
      <c r="F15" s="6">
        <v>151736282</v>
      </c>
      <c r="G15" s="6">
        <v>71447359</v>
      </c>
      <c r="H15" s="6">
        <v>408606940</v>
      </c>
      <c r="I15" s="6">
        <v>1281498393</v>
      </c>
      <c r="J15" s="6">
        <v>785958626</v>
      </c>
      <c r="K15" s="6">
        <v>298742678</v>
      </c>
      <c r="L15" s="74">
        <v>364543463</v>
      </c>
      <c r="M15" s="6">
        <v>58567506</v>
      </c>
      <c r="N15" s="81">
        <v>176309822</v>
      </c>
      <c r="O15" s="168"/>
      <c r="P15" s="168">
        <v>176309822</v>
      </c>
    </row>
    <row r="16" spans="2:16" x14ac:dyDescent="0.3">
      <c r="B16" s="7" t="s">
        <v>32</v>
      </c>
      <c r="C16" s="6"/>
      <c r="D16" s="6">
        <v>21947673</v>
      </c>
      <c r="E16" s="6">
        <v>33188303</v>
      </c>
      <c r="F16" s="6">
        <v>13285934</v>
      </c>
      <c r="G16" s="6"/>
      <c r="H16" s="6"/>
      <c r="I16" s="6">
        <v>338136532</v>
      </c>
      <c r="J16" s="6">
        <v>682700820</v>
      </c>
      <c r="K16" s="6">
        <v>201307083</v>
      </c>
      <c r="L16" s="74">
        <v>77696453</v>
      </c>
      <c r="M16" s="6">
        <v>30554515</v>
      </c>
      <c r="N16" s="81"/>
      <c r="O16" s="168"/>
      <c r="P16" s="168"/>
    </row>
    <row r="17" spans="2:16" x14ac:dyDescent="0.3">
      <c r="B17" s="7" t="s">
        <v>34</v>
      </c>
      <c r="C17" s="6">
        <v>4080600</v>
      </c>
      <c r="D17" s="6"/>
      <c r="E17" s="6">
        <v>23013981</v>
      </c>
      <c r="F17" s="6">
        <v>31912914</v>
      </c>
      <c r="G17" s="6">
        <v>8979292</v>
      </c>
      <c r="H17" s="6"/>
      <c r="I17" s="6"/>
      <c r="J17" s="6">
        <v>189357178</v>
      </c>
      <c r="K17" s="6">
        <v>462586424</v>
      </c>
      <c r="L17" s="74">
        <v>144835880</v>
      </c>
      <c r="M17" s="6">
        <v>50932645</v>
      </c>
      <c r="N17" s="81">
        <v>29295800</v>
      </c>
      <c r="O17" s="168"/>
      <c r="P17" s="168">
        <v>29295800</v>
      </c>
    </row>
    <row r="18" spans="2:16" ht="14.25" thickBot="1" x14ac:dyDescent="0.35">
      <c r="B18" s="8" t="s">
        <v>93</v>
      </c>
      <c r="C18" s="9">
        <v>202122554</v>
      </c>
      <c r="D18" s="9">
        <v>172059100</v>
      </c>
      <c r="E18" s="9">
        <v>138693269</v>
      </c>
      <c r="F18" s="9">
        <v>151920823</v>
      </c>
      <c r="G18" s="9">
        <v>185043129</v>
      </c>
      <c r="H18" s="9">
        <v>198555826</v>
      </c>
      <c r="I18" s="9">
        <v>206391272</v>
      </c>
      <c r="J18" s="9">
        <v>197142243</v>
      </c>
      <c r="K18" s="9">
        <v>349507863</v>
      </c>
      <c r="L18" s="75">
        <v>731012776</v>
      </c>
      <c r="M18" s="9">
        <v>793633101</v>
      </c>
      <c r="N18" s="82">
        <v>694329681</v>
      </c>
      <c r="O18" s="168"/>
      <c r="P18" s="168">
        <v>694329681</v>
      </c>
    </row>
    <row r="19" spans="2:16" x14ac:dyDescent="0.3">
      <c r="B19" s="113"/>
      <c r="C19" s="114"/>
      <c r="D19" s="114"/>
      <c r="E19" s="114"/>
      <c r="F19" s="114"/>
      <c r="G19" s="114"/>
      <c r="H19" s="114"/>
      <c r="I19" s="114"/>
      <c r="J19" s="114"/>
      <c r="K19" s="114"/>
      <c r="L19" s="114"/>
      <c r="M19" s="114"/>
      <c r="N19" s="114"/>
      <c r="O19" s="168"/>
      <c r="P19" s="168"/>
    </row>
    <row r="20" spans="2:16" ht="14.25" thickBot="1" x14ac:dyDescent="0.35">
      <c r="B20" s="108"/>
      <c r="C20" s="108"/>
      <c r="D20" s="108"/>
      <c r="E20" s="108"/>
      <c r="F20" s="108"/>
      <c r="G20" s="108"/>
      <c r="H20" s="108"/>
      <c r="I20" s="108"/>
      <c r="J20" s="108"/>
      <c r="K20" s="108"/>
    </row>
    <row r="21" spans="2:16" x14ac:dyDescent="0.3">
      <c r="B21" s="10" t="s">
        <v>60</v>
      </c>
      <c r="C21" s="11">
        <f>IF(IFERROR(D13/C12,0)&gt;1,1,IFERROR(D13/C12,0))</f>
        <v>0.23766592858402735</v>
      </c>
      <c r="D21" s="11">
        <f>IF(IFERROR(E13/D12,0)&gt;1,1,IFERROR(E13/D12,0))</f>
        <v>0.22909317033018234</v>
      </c>
      <c r="E21" s="11">
        <f t="shared" ref="E21:M21" si="0">IF(IFERROR(F13/E12,0)&gt;1,1,IFERROR(F13/E12,0))</f>
        <v>0.2267820614719423</v>
      </c>
      <c r="F21" s="11">
        <f t="shared" si="0"/>
        <v>0.28487248806937121</v>
      </c>
      <c r="G21" s="11">
        <f t="shared" si="0"/>
        <v>0.30349301886556251</v>
      </c>
      <c r="H21" s="11">
        <f t="shared" si="0"/>
        <v>0.32180359090718258</v>
      </c>
      <c r="I21" s="11">
        <f t="shared" si="0"/>
        <v>0.24643084507541302</v>
      </c>
      <c r="J21" s="11">
        <f t="shared" si="0"/>
        <v>0.40339009582183583</v>
      </c>
      <c r="K21" s="11">
        <f t="shared" si="0"/>
        <v>0.41255504233458201</v>
      </c>
      <c r="L21" s="11">
        <f t="shared" si="0"/>
        <v>0.43457198914362294</v>
      </c>
      <c r="M21" s="83">
        <f t="shared" si="0"/>
        <v>0.38079901610449757</v>
      </c>
      <c r="N21" s="84">
        <f>AVERAGE(C21:M21)</f>
        <v>0.31649611333711086</v>
      </c>
      <c r="O21" s="174" t="s">
        <v>58</v>
      </c>
    </row>
    <row r="22" spans="2:16" x14ac:dyDescent="0.3">
      <c r="B22" s="13" t="s">
        <v>61</v>
      </c>
      <c r="C22" s="14">
        <f>IF(IFERROR(D14/C13,0)&gt;1,1,IFERROR(D14/C13,0))</f>
        <v>0.30039907547963329</v>
      </c>
      <c r="D22" s="14">
        <f t="shared" ref="D22:M22" si="1">IF(IFERROR(E14/D13,0)&gt;1,1,IFERROR(E14/D13,0))</f>
        <v>0.22834621641488759</v>
      </c>
      <c r="E22" s="14">
        <f t="shared" si="1"/>
        <v>0.34575209364526333</v>
      </c>
      <c r="F22" s="14">
        <f t="shared" si="1"/>
        <v>0.57451436048695503</v>
      </c>
      <c r="G22" s="14">
        <f t="shared" si="1"/>
        <v>0.77836130078996679</v>
      </c>
      <c r="H22" s="14">
        <f t="shared" si="1"/>
        <v>0.43020767932127546</v>
      </c>
      <c r="I22" s="14">
        <f t="shared" si="1"/>
        <v>0.39610464718182198</v>
      </c>
      <c r="J22" s="14">
        <f t="shared" si="1"/>
        <v>0.4059060235429105</v>
      </c>
      <c r="K22" s="14">
        <f t="shared" si="1"/>
        <v>0.49780802527533968</v>
      </c>
      <c r="L22" s="14">
        <f t="shared" si="1"/>
        <v>0.19764566925201751</v>
      </c>
      <c r="M22" s="85">
        <f t="shared" si="1"/>
        <v>0.19200624234511418</v>
      </c>
      <c r="N22" s="86">
        <f t="shared" ref="N22:N25" si="2">AVERAGE(C22:M22)</f>
        <v>0.3951864848850169</v>
      </c>
      <c r="O22" s="174"/>
    </row>
    <row r="23" spans="2:16" x14ac:dyDescent="0.3">
      <c r="B23" s="13" t="s">
        <v>62</v>
      </c>
      <c r="C23" s="14">
        <f t="shared" ref="C23:M25" si="3">IF(IFERROR(D15/C14,0)&gt;1,1,IFERROR(D15/C14,0))</f>
        <v>0.17427384202612503</v>
      </c>
      <c r="D23" s="14">
        <f t="shared" si="3"/>
        <v>5.2375752001155899E-2</v>
      </c>
      <c r="E23" s="14">
        <f t="shared" si="3"/>
        <v>0.36373417115602158</v>
      </c>
      <c r="F23" s="14">
        <f t="shared" si="3"/>
        <v>0.1384736514515833</v>
      </c>
      <c r="G23" s="14">
        <f t="shared" si="3"/>
        <v>0.45008014473838137</v>
      </c>
      <c r="H23" s="14">
        <f t="shared" si="3"/>
        <v>0.86752808890741195</v>
      </c>
      <c r="I23" s="14">
        <f t="shared" si="3"/>
        <v>0.88325899115194462</v>
      </c>
      <c r="J23" s="14">
        <f t="shared" si="3"/>
        <v>0.35465605494863489</v>
      </c>
      <c r="K23" s="14">
        <f t="shared" si="3"/>
        <v>0.7306404165762862</v>
      </c>
      <c r="L23" s="14">
        <f t="shared" si="3"/>
        <v>5.4393494162256854E-2</v>
      </c>
      <c r="M23" s="85">
        <f t="shared" si="3"/>
        <v>0.40208492888358804</v>
      </c>
      <c r="N23" s="86">
        <f t="shared" si="2"/>
        <v>0.40649995781848997</v>
      </c>
      <c r="O23" s="174"/>
    </row>
    <row r="24" spans="2:16" x14ac:dyDescent="0.3">
      <c r="B24" s="13" t="s">
        <v>63</v>
      </c>
      <c r="C24" s="14">
        <f t="shared" si="3"/>
        <v>0.13794986315148317</v>
      </c>
      <c r="D24" s="14">
        <f t="shared" si="3"/>
        <v>0.48462860247575962</v>
      </c>
      <c r="E24" s="14">
        <f t="shared" si="3"/>
        <v>1</v>
      </c>
      <c r="F24" s="14">
        <f t="shared" si="3"/>
        <v>0</v>
      </c>
      <c r="G24" s="14">
        <f t="shared" si="3"/>
        <v>0</v>
      </c>
      <c r="H24" s="14">
        <f t="shared" si="3"/>
        <v>0.82753497040456536</v>
      </c>
      <c r="I24" s="14">
        <f t="shared" si="3"/>
        <v>0.53273638400887169</v>
      </c>
      <c r="J24" s="14">
        <f t="shared" si="3"/>
        <v>0.25612936399021086</v>
      </c>
      <c r="K24" s="14">
        <f t="shared" si="3"/>
        <v>0.26007818340572014</v>
      </c>
      <c r="L24" s="14">
        <f t="shared" si="3"/>
        <v>8.3815835699130342E-2</v>
      </c>
      <c r="M24" s="87">
        <f t="shared" si="3"/>
        <v>0</v>
      </c>
      <c r="N24" s="86">
        <f t="shared" si="2"/>
        <v>0.32571574573961282</v>
      </c>
      <c r="O24" s="174"/>
    </row>
    <row r="25" spans="2:16" ht="14.25" thickBot="1" x14ac:dyDescent="0.35">
      <c r="B25" s="15" t="s">
        <v>64</v>
      </c>
      <c r="C25" s="16">
        <f t="shared" si="3"/>
        <v>0</v>
      </c>
      <c r="D25" s="16">
        <f t="shared" si="3"/>
        <v>1</v>
      </c>
      <c r="E25" s="16">
        <f t="shared" si="3"/>
        <v>0.96157112944280398</v>
      </c>
      <c r="F25" s="16">
        <f t="shared" si="3"/>
        <v>0.67584951121991121</v>
      </c>
      <c r="G25" s="16">
        <f t="shared" si="3"/>
        <v>0</v>
      </c>
      <c r="H25" s="16">
        <f t="shared" si="3"/>
        <v>0</v>
      </c>
      <c r="I25" s="16">
        <f t="shared" si="3"/>
        <v>0.56000212955398743</v>
      </c>
      <c r="J25" s="16">
        <f t="shared" si="3"/>
        <v>0.67758293303353578</v>
      </c>
      <c r="K25" s="16">
        <f t="shared" si="3"/>
        <v>0.71947731714934238</v>
      </c>
      <c r="L25" s="16">
        <f t="shared" si="3"/>
        <v>0.65553372172600977</v>
      </c>
      <c r="M25" s="88">
        <f t="shared" si="3"/>
        <v>0.95880428800784434</v>
      </c>
      <c r="N25" s="89">
        <f t="shared" si="2"/>
        <v>0.56443827546667591</v>
      </c>
      <c r="O25" s="174"/>
    </row>
    <row r="26" spans="2:16" x14ac:dyDescent="0.3">
      <c r="B26" s="108"/>
      <c r="C26" s="108"/>
      <c r="D26" s="108"/>
      <c r="E26" s="108"/>
      <c r="F26" s="108"/>
      <c r="G26" s="108"/>
      <c r="H26" s="108"/>
      <c r="I26" s="108"/>
      <c r="J26" s="108"/>
      <c r="K26" s="108"/>
    </row>
    <row r="27" spans="2:16" x14ac:dyDescent="0.3">
      <c r="B27" s="111" t="s">
        <v>40</v>
      </c>
      <c r="C27" s="108"/>
      <c r="D27" s="108"/>
      <c r="E27" s="108"/>
      <c r="F27" s="108"/>
      <c r="G27" s="108"/>
      <c r="H27" s="108"/>
      <c r="I27" s="108"/>
      <c r="J27" s="108"/>
      <c r="K27" s="108"/>
    </row>
    <row r="28" spans="2:16" x14ac:dyDescent="0.3">
      <c r="B28" s="2" t="s">
        <v>65</v>
      </c>
      <c r="C28" s="108"/>
      <c r="D28" s="108"/>
      <c r="E28" s="108"/>
      <c r="F28" s="108"/>
      <c r="G28" s="108"/>
      <c r="H28" s="108"/>
      <c r="I28" s="108"/>
      <c r="J28" s="108"/>
      <c r="K28" s="108"/>
    </row>
    <row r="29" spans="2:16" x14ac:dyDescent="0.3">
      <c r="B29" s="108"/>
      <c r="C29" s="108"/>
      <c r="D29" s="108"/>
      <c r="E29" s="108"/>
      <c r="F29" s="108"/>
      <c r="G29" s="108"/>
      <c r="H29" s="108"/>
      <c r="I29" s="108"/>
      <c r="J29" s="108"/>
      <c r="K29" s="108"/>
    </row>
    <row r="30" spans="2:16" ht="14.25" thickBot="1" x14ac:dyDescent="0.35">
      <c r="D30" s="109"/>
    </row>
    <row r="31" spans="2:16" ht="54" x14ac:dyDescent="0.3">
      <c r="B31" s="170" t="s">
        <v>0</v>
      </c>
      <c r="C31" s="68" t="s">
        <v>94</v>
      </c>
      <c r="D31" s="69" t="s">
        <v>44</v>
      </c>
      <c r="E31" s="70" t="s">
        <v>45</v>
      </c>
      <c r="F31" s="71" t="s">
        <v>59</v>
      </c>
      <c r="G31" s="72" t="s">
        <v>47</v>
      </c>
      <c r="I31" s="108"/>
      <c r="J31" s="108"/>
      <c r="K31" s="108"/>
    </row>
    <row r="32" spans="2:16" ht="14.25" thickBot="1" x14ac:dyDescent="0.35">
      <c r="B32" s="171"/>
      <c r="C32" s="90" t="s">
        <v>455</v>
      </c>
      <c r="D32" s="90" t="s">
        <v>455</v>
      </c>
      <c r="E32" s="90" t="s">
        <v>455</v>
      </c>
      <c r="F32" s="90" t="s">
        <v>455</v>
      </c>
      <c r="G32" s="90" t="s">
        <v>455</v>
      </c>
      <c r="I32" s="179" t="s">
        <v>460</v>
      </c>
      <c r="J32" s="179" t="s">
        <v>459</v>
      </c>
      <c r="K32" s="179" t="s">
        <v>461</v>
      </c>
      <c r="L32" s="179" t="s">
        <v>459</v>
      </c>
    </row>
    <row r="33" spans="2:14" x14ac:dyDescent="0.3">
      <c r="B33" s="20" t="s">
        <v>26</v>
      </c>
      <c r="C33" s="94">
        <f t="shared" ref="C33:C39" si="4">N12</f>
        <v>4519651877</v>
      </c>
      <c r="D33" s="50">
        <f>C48</f>
        <v>0</v>
      </c>
      <c r="E33" s="95">
        <f>C33-D33</f>
        <v>4519651877</v>
      </c>
      <c r="F33" s="63">
        <f>PRODUCT(N21:$N$25)</f>
        <v>9.347299958365668E-3</v>
      </c>
      <c r="G33" s="57">
        <f>ROUND(E33*F33,)</f>
        <v>42246542</v>
      </c>
      <c r="I33" s="177">
        <v>1780996101</v>
      </c>
      <c r="J33" s="177">
        <f>ROUND(I33*F33,0)</f>
        <v>16647505</v>
      </c>
      <c r="K33" s="177">
        <v>2738655776</v>
      </c>
      <c r="L33" s="178">
        <f>ROUND(K33*F33,0)</f>
        <v>25599037</v>
      </c>
    </row>
    <row r="34" spans="2:14" x14ac:dyDescent="0.3">
      <c r="B34" s="22" t="s">
        <v>38</v>
      </c>
      <c r="C34" s="96">
        <f t="shared" si="4"/>
        <v>1858588214</v>
      </c>
      <c r="D34" s="52">
        <f t="shared" ref="D34:D39" si="5">C49</f>
        <v>0</v>
      </c>
      <c r="E34" s="97">
        <f t="shared" ref="E34:E39" si="6">C34-D34</f>
        <v>1858588214</v>
      </c>
      <c r="F34" s="64">
        <f>PRODUCT(N22:$N$25)</f>
        <v>2.9533695879574797E-2</v>
      </c>
      <c r="G34" s="58">
        <f t="shared" ref="G34:G39" si="7">ROUND(E34*F34,)</f>
        <v>54890979</v>
      </c>
      <c r="I34" s="177">
        <v>371525295</v>
      </c>
      <c r="J34" s="177">
        <f>ROUND(I34*F34,0)</f>
        <v>10972515</v>
      </c>
      <c r="K34" s="177">
        <v>1487062919</v>
      </c>
      <c r="L34" s="178">
        <f>ROUND(K34*F34,0)</f>
        <v>43918464</v>
      </c>
    </row>
    <row r="35" spans="2:14" x14ac:dyDescent="0.3">
      <c r="B35" s="22" t="s">
        <v>28</v>
      </c>
      <c r="C35" s="96">
        <f t="shared" si="4"/>
        <v>481511745</v>
      </c>
      <c r="D35" s="52">
        <f t="shared" si="5"/>
        <v>0</v>
      </c>
      <c r="E35" s="97">
        <f t="shared" si="6"/>
        <v>481511745</v>
      </c>
      <c r="F35" s="64">
        <f>PRODUCT(N23:$N$25)</f>
        <v>7.4733567591937999E-2</v>
      </c>
      <c r="G35" s="58">
        <f t="shared" si="7"/>
        <v>35985091</v>
      </c>
      <c r="I35" s="177">
        <v>117813471</v>
      </c>
      <c r="J35" s="177">
        <f>ROUND(I35*F35,0)</f>
        <v>8804621</v>
      </c>
      <c r="K35" s="177">
        <v>363698274</v>
      </c>
      <c r="L35" s="178">
        <f>ROUND(K35*F35,0)</f>
        <v>27180470</v>
      </c>
    </row>
    <row r="36" spans="2:14" x14ac:dyDescent="0.3">
      <c r="B36" s="22" t="s">
        <v>29</v>
      </c>
      <c r="C36" s="96">
        <f t="shared" si="4"/>
        <v>176309822</v>
      </c>
      <c r="D36" s="52">
        <f t="shared" si="5"/>
        <v>0</v>
      </c>
      <c r="E36" s="97">
        <f t="shared" si="6"/>
        <v>176309822</v>
      </c>
      <c r="F36" s="64">
        <f>PRODUCT(N24:$N$25)</f>
        <v>0.18384643381760934</v>
      </c>
      <c r="G36" s="58">
        <f t="shared" si="7"/>
        <v>32413932</v>
      </c>
      <c r="I36" s="177"/>
      <c r="J36" s="177">
        <f t="shared" ref="J34:J37" si="8">I36*F36</f>
        <v>0</v>
      </c>
      <c r="K36" s="177">
        <v>176309822</v>
      </c>
      <c r="L36" s="178">
        <f>ROUND(K36*F36,0)+1</f>
        <v>32413933</v>
      </c>
    </row>
    <row r="37" spans="2:14" ht="14.25" thickBot="1" x14ac:dyDescent="0.35">
      <c r="B37" s="25" t="s">
        <v>31</v>
      </c>
      <c r="C37" s="98">
        <f t="shared" si="4"/>
        <v>0</v>
      </c>
      <c r="D37" s="55">
        <f t="shared" si="5"/>
        <v>0</v>
      </c>
      <c r="E37" s="99">
        <f t="shared" si="6"/>
        <v>0</v>
      </c>
      <c r="F37" s="67">
        <f>PRODUCT(N25:$N$25)</f>
        <v>0.56443827546667591</v>
      </c>
      <c r="G37" s="59">
        <f t="shared" si="7"/>
        <v>0</v>
      </c>
      <c r="I37" s="177"/>
      <c r="J37" s="177">
        <f t="shared" si="8"/>
        <v>0</v>
      </c>
      <c r="K37" s="177"/>
      <c r="L37" s="178">
        <f t="shared" ref="L34:L39" si="9">K37*F37</f>
        <v>0</v>
      </c>
    </row>
    <row r="38" spans="2:14" x14ac:dyDescent="0.3">
      <c r="B38" s="27" t="s">
        <v>33</v>
      </c>
      <c r="C38" s="94">
        <f t="shared" si="4"/>
        <v>29295800</v>
      </c>
      <c r="D38" s="50">
        <f t="shared" si="5"/>
        <v>0</v>
      </c>
      <c r="E38" s="29">
        <f t="shared" si="6"/>
        <v>29295800</v>
      </c>
      <c r="F38" s="100">
        <v>1</v>
      </c>
      <c r="G38" s="60">
        <f t="shared" si="7"/>
        <v>29295800</v>
      </c>
      <c r="I38" s="177"/>
      <c r="J38" s="177"/>
      <c r="K38" s="177">
        <v>29295800</v>
      </c>
      <c r="L38" s="178">
        <f>ROUND(K38*F38,0)</f>
        <v>29295800</v>
      </c>
    </row>
    <row r="39" spans="2:14" ht="14.25" thickBot="1" x14ac:dyDescent="0.35">
      <c r="B39" s="30" t="s">
        <v>35</v>
      </c>
      <c r="C39" s="98">
        <f t="shared" si="4"/>
        <v>694329681</v>
      </c>
      <c r="D39" s="55">
        <f t="shared" si="5"/>
        <v>127164358</v>
      </c>
      <c r="E39" s="32">
        <f t="shared" si="6"/>
        <v>567165323</v>
      </c>
      <c r="F39" s="67">
        <v>1</v>
      </c>
      <c r="G39" s="61">
        <f t="shared" si="7"/>
        <v>567165323</v>
      </c>
      <c r="H39" s="175"/>
      <c r="I39" s="177"/>
      <c r="J39" s="177"/>
      <c r="K39" s="177">
        <v>567165323</v>
      </c>
      <c r="L39" s="178">
        <f t="shared" si="9"/>
        <v>567165323</v>
      </c>
      <c r="N39" s="180"/>
    </row>
    <row r="40" spans="2:14" ht="14.25" thickBot="1" x14ac:dyDescent="0.35">
      <c r="B40" s="30" t="s">
        <v>41</v>
      </c>
      <c r="C40" s="101">
        <f>SUM(C33:C39)</f>
        <v>7759687139</v>
      </c>
      <c r="D40" s="101">
        <f>SUM(D33:D39)</f>
        <v>127164358</v>
      </c>
      <c r="E40" s="102">
        <f>SUM(E33:E39)</f>
        <v>7632522781</v>
      </c>
      <c r="F40" s="67"/>
      <c r="G40" s="61">
        <f>SUM(G33:G39)</f>
        <v>761997667</v>
      </c>
      <c r="H40" s="176" t="s">
        <v>464</v>
      </c>
      <c r="I40" s="177"/>
      <c r="J40" s="177">
        <f>I40*100%</f>
        <v>0</v>
      </c>
      <c r="K40" s="177">
        <v>127164358</v>
      </c>
      <c r="L40" s="181">
        <f>K40*100%</f>
        <v>127164358</v>
      </c>
    </row>
    <row r="41" spans="2:14" ht="14.25" thickBot="1" x14ac:dyDescent="0.35">
      <c r="B41" s="108"/>
      <c r="E41" s="109"/>
      <c r="F41" s="110"/>
      <c r="G41" s="115"/>
      <c r="H41" s="108"/>
      <c r="I41" s="108"/>
      <c r="J41" s="108"/>
      <c r="K41" s="108"/>
    </row>
    <row r="42" spans="2:14" ht="14.25" thickBot="1" x14ac:dyDescent="0.35">
      <c r="G42" s="33">
        <f>G40</f>
        <v>761997667</v>
      </c>
      <c r="H42" s="2" t="s">
        <v>37</v>
      </c>
    </row>
    <row r="43" spans="2:14" x14ac:dyDescent="0.3">
      <c r="B43" s="111" t="s">
        <v>48</v>
      </c>
    </row>
    <row r="44" spans="2:14" x14ac:dyDescent="0.3">
      <c r="B44" s="2" t="s">
        <v>49</v>
      </c>
    </row>
    <row r="45" spans="2:14" ht="14.25" thickBot="1" x14ac:dyDescent="0.35"/>
    <row r="46" spans="2:14" ht="67.5" x14ac:dyDescent="0.3">
      <c r="B46" s="170" t="s">
        <v>0</v>
      </c>
      <c r="C46" s="68" t="s">
        <v>95</v>
      </c>
      <c r="D46" s="70" t="s">
        <v>50</v>
      </c>
    </row>
    <row r="47" spans="2:14" ht="14.25" thickBot="1" x14ac:dyDescent="0.35">
      <c r="B47" s="171"/>
      <c r="C47" s="90" t="s">
        <v>455</v>
      </c>
      <c r="D47" s="90" t="s">
        <v>455</v>
      </c>
    </row>
    <row r="48" spans="2:14" x14ac:dyDescent="0.3">
      <c r="B48" s="20" t="s">
        <v>26</v>
      </c>
      <c r="C48" s="34">
        <v>0</v>
      </c>
      <c r="D48" s="35">
        <v>0</v>
      </c>
      <c r="F48" s="173" t="s">
        <v>85</v>
      </c>
      <c r="G48" s="173"/>
      <c r="H48" s="173"/>
      <c r="I48" s="173"/>
    </row>
    <row r="49" spans="1:10" x14ac:dyDescent="0.3">
      <c r="B49" s="22" t="s">
        <v>38</v>
      </c>
      <c r="C49" s="36">
        <v>0</v>
      </c>
      <c r="D49" s="37">
        <v>0</v>
      </c>
      <c r="F49" s="104" t="s">
        <v>90</v>
      </c>
      <c r="G49" s="105">
        <v>27647453</v>
      </c>
      <c r="H49" s="104" t="s">
        <v>454</v>
      </c>
      <c r="I49" s="105">
        <v>99516905</v>
      </c>
    </row>
    <row r="50" spans="1:10" x14ac:dyDescent="0.3">
      <c r="B50" s="22" t="s">
        <v>28</v>
      </c>
      <c r="C50" s="36">
        <v>0</v>
      </c>
      <c r="D50" s="37">
        <v>0</v>
      </c>
      <c r="F50" s="104"/>
      <c r="G50" s="105"/>
      <c r="H50" s="104"/>
      <c r="I50" s="105"/>
    </row>
    <row r="51" spans="1:10" x14ac:dyDescent="0.3">
      <c r="B51" s="22" t="s">
        <v>29</v>
      </c>
      <c r="C51" s="36">
        <v>0</v>
      </c>
      <c r="D51" s="37">
        <v>0</v>
      </c>
      <c r="F51" s="104"/>
      <c r="G51" s="105"/>
      <c r="H51" s="106"/>
      <c r="I51" s="106"/>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127164358</v>
      </c>
      <c r="D54" s="41">
        <f>C54</f>
        <v>127164358</v>
      </c>
    </row>
    <row r="55" spans="1:10" ht="14.25" thickBot="1" x14ac:dyDescent="0.35">
      <c r="B55" s="46" t="s">
        <v>11</v>
      </c>
      <c r="C55" s="47">
        <f>SUM(C48:C54)</f>
        <v>127164358</v>
      </c>
      <c r="D55" s="48">
        <f>SUM(D48:D54)</f>
        <v>127164358</v>
      </c>
    </row>
    <row r="56" spans="1:10" ht="14.25" thickBot="1" x14ac:dyDescent="0.35"/>
    <row r="57" spans="1:10" ht="14.25" thickBot="1" x14ac:dyDescent="0.35">
      <c r="E57" s="33">
        <f>D55</f>
        <v>127164358</v>
      </c>
      <c r="F57" s="2" t="s">
        <v>51</v>
      </c>
    </row>
    <row r="59" spans="1:10" x14ac:dyDescent="0.3">
      <c r="B59" s="111" t="s">
        <v>12</v>
      </c>
    </row>
    <row r="60" spans="1:10" x14ac:dyDescent="0.3">
      <c r="B60" s="2" t="s">
        <v>20</v>
      </c>
      <c r="H60" s="118"/>
      <c r="I60" s="118"/>
      <c r="J60" s="118"/>
    </row>
    <row r="61" spans="1:10" x14ac:dyDescent="0.3">
      <c r="B61" s="42" t="s">
        <v>14</v>
      </c>
      <c r="C61" s="42" t="s">
        <v>15</v>
      </c>
      <c r="D61" s="42" t="s">
        <v>98</v>
      </c>
      <c r="E61" s="42" t="s">
        <v>52</v>
      </c>
      <c r="H61" s="43"/>
      <c r="I61" s="119"/>
      <c r="J61" s="119"/>
    </row>
    <row r="62" spans="1:10" x14ac:dyDescent="0.3">
      <c r="A62" s="2" t="s">
        <v>18</v>
      </c>
      <c r="B62" s="103" t="s">
        <v>100</v>
      </c>
      <c r="C62" s="43" t="s">
        <v>4</v>
      </c>
      <c r="D62" s="44">
        <v>7759687139</v>
      </c>
      <c r="E62" s="43"/>
      <c r="H62" s="43"/>
      <c r="I62" s="119"/>
      <c r="J62" s="119"/>
    </row>
    <row r="63" spans="1:10" x14ac:dyDescent="0.3">
      <c r="A63" s="2" t="s">
        <v>19</v>
      </c>
      <c r="B63" s="43">
        <v>1110321</v>
      </c>
      <c r="C63" s="43" t="s">
        <v>13</v>
      </c>
      <c r="D63" s="44">
        <v>889162025</v>
      </c>
      <c r="E63" s="45">
        <f>D63-G42-E57</f>
        <v>0</v>
      </c>
      <c r="F63" s="2" t="s">
        <v>16</v>
      </c>
      <c r="H63" s="43"/>
      <c r="I63" s="119"/>
      <c r="J63" s="119"/>
    </row>
    <row r="64" spans="1:10" x14ac:dyDescent="0.3">
      <c r="B64" s="43"/>
      <c r="C64" s="43" t="s">
        <v>101</v>
      </c>
      <c r="D64" s="45">
        <f>D62-D63</f>
        <v>6870525114</v>
      </c>
      <c r="E64" s="45">
        <f>D64-E40-C55+G42+E57</f>
        <v>0</v>
      </c>
      <c r="F64" s="2" t="s">
        <v>16</v>
      </c>
      <c r="H64" s="106"/>
      <c r="I64" s="120"/>
      <c r="J64" s="107"/>
    </row>
  </sheetData>
  <mergeCells count="4">
    <mergeCell ref="O21:O25"/>
    <mergeCell ref="B31:B32"/>
    <mergeCell ref="B46:B47"/>
    <mergeCell ref="F48:I48"/>
  </mergeCells>
  <phoneticPr fontId="3" type="noConversion"/>
  <pageMargins left="0.51181102362204722" right="0" top="0.94488188976377963" bottom="0.15748031496062992" header="0.31496062992125984" footer="0.31496062992125984"/>
  <pageSetup paperSize="9" scale="45"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6:M84"/>
  <sheetViews>
    <sheetView topLeftCell="A16" workbookViewId="0">
      <selection activeCell="D44" sqref="D44"/>
    </sheetView>
  </sheetViews>
  <sheetFormatPr defaultRowHeight="14.25" customHeight="1" x14ac:dyDescent="0.3"/>
  <cols>
    <col min="1" max="1" width="3.625" style="123" customWidth="1"/>
    <col min="2" max="2" width="22.75" style="123" customWidth="1"/>
    <col min="3" max="9" width="16.375" style="123" customWidth="1"/>
    <col min="10" max="13" width="14.625" style="123" customWidth="1"/>
    <col min="14" max="16384" width="9" style="123"/>
  </cols>
  <sheetData>
    <row r="6" spans="2:8" ht="14.25" customHeight="1" x14ac:dyDescent="0.3">
      <c r="B6" s="121" t="s">
        <v>228</v>
      </c>
      <c r="C6" s="122" t="s">
        <v>229</v>
      </c>
    </row>
    <row r="8" spans="2:8" ht="14.25" customHeight="1" x14ac:dyDescent="0.3">
      <c r="B8" s="123" t="s">
        <v>112</v>
      </c>
    </row>
    <row r="10" spans="2:8" s="126" customFormat="1" ht="14.25" customHeight="1" x14ac:dyDescent="0.3">
      <c r="B10" s="124" t="s">
        <v>140</v>
      </c>
      <c r="C10" s="125" t="s">
        <v>114</v>
      </c>
      <c r="D10" s="125" t="s">
        <v>115</v>
      </c>
      <c r="E10" s="125" t="s">
        <v>116</v>
      </c>
      <c r="F10" s="125" t="s">
        <v>117</v>
      </c>
      <c r="G10" s="125" t="s">
        <v>118</v>
      </c>
    </row>
    <row r="11" spans="2:8" ht="14.25" customHeight="1" x14ac:dyDescent="0.3">
      <c r="B11" s="123" t="s">
        <v>230</v>
      </c>
      <c r="C11" s="127">
        <v>3175992875</v>
      </c>
      <c r="D11" s="127">
        <v>3349494329</v>
      </c>
      <c r="E11" s="127">
        <v>2566091140</v>
      </c>
      <c r="F11" s="127">
        <v>2572893019</v>
      </c>
      <c r="G11" s="127">
        <v>2409056127</v>
      </c>
    </row>
    <row r="12" spans="2:8" ht="14.25" customHeight="1" x14ac:dyDescent="0.3">
      <c r="B12" s="123" t="s">
        <v>120</v>
      </c>
      <c r="C12" s="127">
        <v>0</v>
      </c>
      <c r="D12" s="127">
        <v>0</v>
      </c>
      <c r="E12" s="127">
        <v>22776400</v>
      </c>
      <c r="F12" s="127">
        <v>32294128</v>
      </c>
      <c r="G12" s="127">
        <v>0</v>
      </c>
    </row>
    <row r="13" spans="2:8" ht="14.25" customHeight="1" x14ac:dyDescent="0.3">
      <c r="B13" s="123" t="s">
        <v>121</v>
      </c>
      <c r="C13" s="127">
        <v>300000000</v>
      </c>
      <c r="D13" s="127">
        <v>300000000</v>
      </c>
      <c r="E13" s="127">
        <v>300000000</v>
      </c>
      <c r="F13" s="127">
        <v>322776400</v>
      </c>
      <c r="G13" s="127">
        <v>322776400</v>
      </c>
    </row>
    <row r="15" spans="2:8" ht="14.25" customHeight="1" x14ac:dyDescent="0.3">
      <c r="B15" s="123" t="s">
        <v>122</v>
      </c>
      <c r="D15" s="128">
        <v>3.0966874343377939E-2</v>
      </c>
      <c r="E15" s="128">
        <v>9.1176613469777235E-3</v>
      </c>
      <c r="F15" s="128">
        <v>1.6658909776226846E-2</v>
      </c>
      <c r="G15" s="128">
        <v>1.8481953655580627E-2</v>
      </c>
      <c r="H15" s="129">
        <f>AVERAGE(D15:G15)</f>
        <v>1.8806349780540785E-2</v>
      </c>
    </row>
    <row r="16" spans="2:8" ht="14.25" customHeight="1" x14ac:dyDescent="0.3">
      <c r="D16" s="128"/>
      <c r="E16" s="128"/>
      <c r="F16" s="128"/>
      <c r="G16" s="128"/>
    </row>
    <row r="17" spans="2:13" ht="14.25" customHeight="1" x14ac:dyDescent="0.3">
      <c r="B17" s="123" t="s">
        <v>231</v>
      </c>
    </row>
    <row r="19" spans="2:13" ht="14.25" customHeight="1" x14ac:dyDescent="0.3">
      <c r="B19" s="124" t="s">
        <v>140</v>
      </c>
      <c r="C19" s="125" t="s">
        <v>114</v>
      </c>
      <c r="D19" s="125" t="s">
        <v>115</v>
      </c>
      <c r="E19" s="125" t="s">
        <v>116</v>
      </c>
      <c r="F19" s="125" t="s">
        <v>117</v>
      </c>
      <c r="G19" s="125" t="s">
        <v>124</v>
      </c>
    </row>
    <row r="20" spans="2:13" ht="14.25" customHeight="1" x14ac:dyDescent="0.3">
      <c r="B20" s="123" t="s">
        <v>125</v>
      </c>
      <c r="C20" s="127">
        <v>9508196499</v>
      </c>
      <c r="D20" s="127">
        <v>10718132218</v>
      </c>
      <c r="E20" s="127">
        <v>6773848908</v>
      </c>
      <c r="F20" s="127">
        <v>7724899078</v>
      </c>
      <c r="G20" s="127">
        <v>7824418315</v>
      </c>
    </row>
    <row r="21" spans="2:13" ht="14.25" customHeight="1" x14ac:dyDescent="0.3">
      <c r="B21" s="123" t="s">
        <v>126</v>
      </c>
      <c r="C21" s="127">
        <v>0</v>
      </c>
      <c r="D21" s="127">
        <v>0</v>
      </c>
      <c r="E21" s="127">
        <v>32198537</v>
      </c>
      <c r="F21" s="127">
        <v>37320825</v>
      </c>
      <c r="G21" s="127">
        <v>20193132</v>
      </c>
    </row>
    <row r="22" spans="2:13" ht="14.25" customHeight="1" x14ac:dyDescent="0.3">
      <c r="B22" s="123" t="s">
        <v>127</v>
      </c>
      <c r="C22" s="127">
        <v>96511224</v>
      </c>
      <c r="D22" s="127">
        <v>99516905</v>
      </c>
      <c r="E22" s="127">
        <v>99516905</v>
      </c>
      <c r="F22" s="127">
        <v>99516905</v>
      </c>
      <c r="G22" s="127">
        <v>104815033</v>
      </c>
    </row>
    <row r="24" spans="2:13" ht="14.25" customHeight="1" x14ac:dyDescent="0.3">
      <c r="B24" s="123" t="s">
        <v>122</v>
      </c>
      <c r="D24" s="128">
        <v>1.7537045930851008E-2</v>
      </c>
      <c r="E24" s="128">
        <v>1.1497616946846729E-3</v>
      </c>
      <c r="F24" s="128">
        <v>1.1216016299012881E-2</v>
      </c>
      <c r="G24" s="128">
        <v>1.162908746143715E-2</v>
      </c>
      <c r="H24" s="129">
        <f>AVERAGE(D24:G24)</f>
        <v>1.0382977846496428E-2</v>
      </c>
    </row>
    <row r="25" spans="2:13" ht="14.25" customHeight="1" x14ac:dyDescent="0.3">
      <c r="D25" s="128"/>
      <c r="E25" s="128"/>
      <c r="F25" s="128"/>
      <c r="G25" s="128"/>
    </row>
    <row r="28" spans="2:13" ht="14.25" customHeight="1" x14ac:dyDescent="0.3">
      <c r="B28" s="121" t="s">
        <v>128</v>
      </c>
      <c r="C28" s="122" t="s">
        <v>129</v>
      </c>
    </row>
    <row r="30" spans="2:13" ht="14.25" customHeight="1" x14ac:dyDescent="0.3">
      <c r="B30" s="130" t="s">
        <v>140</v>
      </c>
      <c r="C30" s="130" t="s">
        <v>191</v>
      </c>
      <c r="D30" s="130" t="s">
        <v>131</v>
      </c>
      <c r="E30" s="130" t="s">
        <v>193</v>
      </c>
      <c r="F30" s="169" t="s">
        <v>85</v>
      </c>
      <c r="G30" s="169"/>
      <c r="H30" s="169"/>
      <c r="I30" s="169"/>
      <c r="K30" s="131" t="s">
        <v>83</v>
      </c>
      <c r="L30" s="131" t="s">
        <v>84</v>
      </c>
      <c r="M30" s="131" t="s">
        <v>78</v>
      </c>
    </row>
    <row r="31" spans="2:13" ht="14.25" customHeight="1" x14ac:dyDescent="0.3">
      <c r="B31" s="123" t="s">
        <v>136</v>
      </c>
      <c r="C31" s="132">
        <f>+'[1]1-1.2020년 1분기연령'!D20+'[1]1-1.2020년 1분기연령'!D21</f>
        <v>2076211607</v>
      </c>
      <c r="D31" s="133">
        <f>H15</f>
        <v>1.8806349780540785E-2</v>
      </c>
      <c r="E31" s="132">
        <f>C31*D31</f>
        <v>39045961.699660681</v>
      </c>
      <c r="F31" s="123" t="s">
        <v>86</v>
      </c>
      <c r="G31" s="132">
        <v>27256788</v>
      </c>
      <c r="H31" s="123" t="s">
        <v>87</v>
      </c>
      <c r="I31" s="132">
        <v>49060000</v>
      </c>
      <c r="K31" s="134" t="s">
        <v>137</v>
      </c>
      <c r="L31" s="135">
        <f>ROUND(SUM(E31:E33,E36:E38,G31:G33,G36,I31:I33),0)</f>
        <v>724707463</v>
      </c>
      <c r="M31" s="135">
        <v>1236408010.47335</v>
      </c>
    </row>
    <row r="32" spans="2:13" ht="14.25" customHeight="1" x14ac:dyDescent="0.3">
      <c r="B32" s="123" t="s">
        <v>232</v>
      </c>
      <c r="C32" s="132">
        <f>+'[1]1-1.2020년 1분기연령'!D22+'[1]1-1.2020년 1분기연령'!D23</f>
        <v>0</v>
      </c>
      <c r="D32" s="133">
        <v>1</v>
      </c>
      <c r="E32" s="132">
        <f>C32*D32</f>
        <v>0</v>
      </c>
      <c r="F32" s="123" t="s">
        <v>88</v>
      </c>
      <c r="G32" s="132">
        <v>3228130</v>
      </c>
      <c r="H32" s="123" t="s">
        <v>89</v>
      </c>
      <c r="I32" s="132">
        <v>12000000</v>
      </c>
      <c r="K32" s="134" t="s">
        <v>233</v>
      </c>
      <c r="L32" s="135">
        <v>1168728889</v>
      </c>
      <c r="M32" s="135">
        <v>1199530327.8070998</v>
      </c>
    </row>
    <row r="33" spans="2:13" ht="14.25" customHeight="1" x14ac:dyDescent="0.3">
      <c r="B33" s="123" t="s">
        <v>121</v>
      </c>
      <c r="C33" s="132">
        <f>+'[1]1-1.2020년 1분기연령'!D24</f>
        <v>322776400</v>
      </c>
      <c r="D33" s="133">
        <v>1</v>
      </c>
      <c r="E33" s="132">
        <f>C33*D33</f>
        <v>322776400</v>
      </c>
      <c r="G33" s="132"/>
      <c r="I33" s="132"/>
      <c r="K33" s="134" t="s">
        <v>234</v>
      </c>
      <c r="L33" s="135">
        <v>435719942</v>
      </c>
      <c r="M33" s="135"/>
    </row>
    <row r="34" spans="2:13" ht="14.25" customHeight="1" x14ac:dyDescent="0.3">
      <c r="K34" s="134" t="s">
        <v>82</v>
      </c>
      <c r="L34" s="136">
        <f>L31-L32+L33</f>
        <v>-8301484</v>
      </c>
      <c r="M34" s="136">
        <f>M31-M32+M33</f>
        <v>36877682.666250229</v>
      </c>
    </row>
    <row r="35" spans="2:13" ht="14.25" customHeight="1" x14ac:dyDescent="0.3">
      <c r="B35" s="130" t="s">
        <v>235</v>
      </c>
      <c r="C35" s="130" t="s">
        <v>236</v>
      </c>
      <c r="D35" s="130" t="s">
        <v>131</v>
      </c>
      <c r="E35" s="130" t="s">
        <v>193</v>
      </c>
    </row>
    <row r="36" spans="2:13" ht="14.25" customHeight="1" x14ac:dyDescent="0.3">
      <c r="B36" s="123" t="s">
        <v>136</v>
      </c>
      <c r="C36" s="127">
        <f>+'[1]1-1.2020년 1분기연령'!D36+'[1]1-1.2020년 1분기연령'!D37</f>
        <v>8401679617</v>
      </c>
      <c r="D36" s="133">
        <f>H24</f>
        <v>1.0382977846496428E-2</v>
      </c>
      <c r="E36" s="132">
        <f>C36*D36</f>
        <v>87234453.336671591</v>
      </c>
      <c r="F36" s="123" t="s">
        <v>90</v>
      </c>
      <c r="G36" s="132">
        <v>27647453</v>
      </c>
    </row>
    <row r="37" spans="2:13" ht="14.25" customHeight="1" x14ac:dyDescent="0.3">
      <c r="B37" s="123" t="s">
        <v>237</v>
      </c>
      <c r="C37" s="127">
        <f>+'[1]1-1.2020년 1분기연령'!D38+'[1]1-1.2020년 1분기연령'!D39</f>
        <v>56941372</v>
      </c>
      <c r="D37" s="133">
        <v>1</v>
      </c>
      <c r="E37" s="132">
        <f>C37*D37</f>
        <v>56941372</v>
      </c>
    </row>
    <row r="38" spans="2:13" ht="14.25" customHeight="1" x14ac:dyDescent="0.3">
      <c r="B38" s="123" t="s">
        <v>238</v>
      </c>
      <c r="C38" s="127">
        <f>+'[1]1-1.2020년 1분기연령'!D40</f>
        <v>99516905</v>
      </c>
      <c r="D38" s="133">
        <v>1</v>
      </c>
      <c r="E38" s="132">
        <f>C38*D38</f>
        <v>99516905</v>
      </c>
    </row>
    <row r="44" spans="2:13" ht="14.25" customHeight="1" x14ac:dyDescent="0.3">
      <c r="B44" s="121" t="s">
        <v>205</v>
      </c>
      <c r="C44" s="122" t="s">
        <v>206</v>
      </c>
    </row>
    <row r="46" spans="2:13" ht="14.25" customHeight="1" x14ac:dyDescent="0.3">
      <c r="B46" s="122" t="s">
        <v>239</v>
      </c>
      <c r="C46" s="123" t="s">
        <v>151</v>
      </c>
      <c r="D46" s="132">
        <v>1000</v>
      </c>
    </row>
    <row r="47" spans="2:13" ht="14.25" customHeight="1" x14ac:dyDescent="0.3">
      <c r="C47" s="123" t="s">
        <v>209</v>
      </c>
    </row>
    <row r="48" spans="2:13" ht="14.25" customHeight="1" x14ac:dyDescent="0.3">
      <c r="C48" s="123" t="s">
        <v>148</v>
      </c>
      <c r="D48" s="137">
        <v>1000</v>
      </c>
    </row>
    <row r="51" spans="2:6" s="139" customFormat="1" ht="14.25" customHeight="1" x14ac:dyDescent="0.3">
      <c r="B51" s="122" t="s">
        <v>149</v>
      </c>
      <c r="C51" s="138" t="s">
        <v>212</v>
      </c>
      <c r="D51" s="138" t="s">
        <v>151</v>
      </c>
      <c r="E51" s="138" t="s">
        <v>152</v>
      </c>
      <c r="F51" s="138" t="s">
        <v>240</v>
      </c>
    </row>
    <row r="52" spans="2:6" ht="14.25" customHeight="1" x14ac:dyDescent="0.3">
      <c r="C52" s="123" t="s">
        <v>217</v>
      </c>
      <c r="D52" s="132">
        <v>1000</v>
      </c>
    </row>
    <row r="53" spans="2:6" ht="14.25" customHeight="1" x14ac:dyDescent="0.3">
      <c r="C53" s="123" t="s">
        <v>154</v>
      </c>
      <c r="D53" s="132">
        <v>1000</v>
      </c>
    </row>
    <row r="54" spans="2:6" ht="14.25" customHeight="1" x14ac:dyDescent="0.3">
      <c r="C54" s="123" t="s">
        <v>155</v>
      </c>
      <c r="D54" s="132">
        <v>1000</v>
      </c>
    </row>
    <row r="55" spans="2:6" ht="14.25" customHeight="1" x14ac:dyDescent="0.3">
      <c r="C55" s="123" t="s">
        <v>156</v>
      </c>
      <c r="D55" s="132">
        <v>1000</v>
      </c>
    </row>
    <row r="56" spans="2:6" ht="14.25" customHeight="1" x14ac:dyDescent="0.3">
      <c r="C56" s="123" t="s">
        <v>157</v>
      </c>
      <c r="D56" s="132">
        <v>1000</v>
      </c>
    </row>
    <row r="57" spans="2:6" ht="14.25" customHeight="1" x14ac:dyDescent="0.3">
      <c r="C57" s="123" t="s">
        <v>158</v>
      </c>
      <c r="D57" s="132">
        <v>1000</v>
      </c>
    </row>
    <row r="58" spans="2:6" ht="14.25" customHeight="1" x14ac:dyDescent="0.3">
      <c r="C58" s="123" t="s">
        <v>159</v>
      </c>
      <c r="D58" s="132">
        <v>1000</v>
      </c>
    </row>
    <row r="59" spans="2:6" ht="14.25" customHeight="1" x14ac:dyDescent="0.3">
      <c r="C59" s="123" t="s">
        <v>160</v>
      </c>
      <c r="D59" s="132">
        <v>1000</v>
      </c>
    </row>
    <row r="60" spans="2:6" ht="14.25" customHeight="1" x14ac:dyDescent="0.3">
      <c r="C60" s="123" t="s">
        <v>161</v>
      </c>
      <c r="D60" s="132">
        <v>1000</v>
      </c>
    </row>
    <row r="61" spans="2:6" ht="14.25" customHeight="1" x14ac:dyDescent="0.3">
      <c r="C61" s="123" t="s">
        <v>241</v>
      </c>
      <c r="D61" s="140">
        <v>1000</v>
      </c>
      <c r="E61" s="141"/>
      <c r="F61" s="141"/>
    </row>
    <row r="62" spans="2:6" ht="14.25" customHeight="1" thickBot="1" x14ac:dyDescent="0.35">
      <c r="C62" s="142" t="s">
        <v>164</v>
      </c>
      <c r="D62" s="143">
        <f>SUM(D52:D61)</f>
        <v>10000</v>
      </c>
      <c r="E62" s="142"/>
      <c r="F62" s="144">
        <f>E62/D62</f>
        <v>0</v>
      </c>
    </row>
    <row r="63" spans="2:6" ht="14.25" customHeight="1" thickTop="1" x14ac:dyDescent="0.3">
      <c r="C63" s="145"/>
      <c r="D63" s="145"/>
    </row>
    <row r="64" spans="2:6" ht="14.25" customHeight="1" x14ac:dyDescent="0.3">
      <c r="B64" s="122" t="s">
        <v>165</v>
      </c>
      <c r="C64" s="123" t="s">
        <v>219</v>
      </c>
    </row>
    <row r="65" spans="2:7" ht="14.25" customHeight="1" x14ac:dyDescent="0.3">
      <c r="C65" s="123" t="s">
        <v>167</v>
      </c>
      <c r="D65" s="123">
        <v>0</v>
      </c>
    </row>
    <row r="66" spans="2:7" ht="14.25" customHeight="1" x14ac:dyDescent="0.3">
      <c r="C66" s="141" t="s">
        <v>242</v>
      </c>
      <c r="D66" s="146">
        <v>0</v>
      </c>
    </row>
    <row r="68" spans="2:7" ht="14.25" customHeight="1" x14ac:dyDescent="0.3">
      <c r="B68" s="122" t="s">
        <v>222</v>
      </c>
      <c r="C68" s="138" t="s">
        <v>223</v>
      </c>
      <c r="D68" s="138" t="s">
        <v>171</v>
      </c>
      <c r="E68" s="138" t="s">
        <v>224</v>
      </c>
      <c r="F68" s="138" t="s">
        <v>243</v>
      </c>
      <c r="G68" s="138" t="s">
        <v>244</v>
      </c>
    </row>
    <row r="72" spans="2:7" ht="14.25" customHeight="1" x14ac:dyDescent="0.3">
      <c r="C72" s="141"/>
      <c r="D72" s="141"/>
      <c r="E72" s="141"/>
      <c r="F72" s="141"/>
      <c r="G72" s="141"/>
    </row>
    <row r="73" spans="2:7" ht="14.25" customHeight="1" thickBot="1" x14ac:dyDescent="0.35">
      <c r="C73" s="142"/>
      <c r="D73" s="142"/>
      <c r="E73" s="142"/>
      <c r="F73" s="142"/>
      <c r="G73" s="144">
        <f>1-F73</f>
        <v>1</v>
      </c>
    </row>
    <row r="74" spans="2:7" ht="14.25" customHeight="1" thickTop="1" x14ac:dyDescent="0.3"/>
    <row r="77" spans="2:7" ht="14.25" customHeight="1" x14ac:dyDescent="0.3">
      <c r="B77" s="122" t="s">
        <v>245</v>
      </c>
      <c r="C77" s="138" t="s">
        <v>83</v>
      </c>
      <c r="D77" s="138" t="s">
        <v>177</v>
      </c>
    </row>
    <row r="78" spans="2:7" ht="14.25" customHeight="1" x14ac:dyDescent="0.3">
      <c r="C78" s="123" t="s">
        <v>151</v>
      </c>
      <c r="D78" s="127">
        <f>D48</f>
        <v>1000</v>
      </c>
    </row>
    <row r="79" spans="2:7" ht="14.25" customHeight="1" x14ac:dyDescent="0.3">
      <c r="C79" s="123" t="s">
        <v>178</v>
      </c>
      <c r="D79" s="147">
        <f>F62</f>
        <v>0</v>
      </c>
    </row>
    <row r="80" spans="2:7" ht="14.25" customHeight="1" x14ac:dyDescent="0.3">
      <c r="C80" s="123" t="s">
        <v>179</v>
      </c>
      <c r="D80" s="132">
        <f>ROUND(D78*D79,0)</f>
        <v>0</v>
      </c>
    </row>
    <row r="81" spans="3:4" ht="14.25" customHeight="1" x14ac:dyDescent="0.3">
      <c r="C81" s="123" t="s">
        <v>180</v>
      </c>
      <c r="D81" s="147">
        <f>1-D66</f>
        <v>1</v>
      </c>
    </row>
    <row r="82" spans="3:4" ht="14.25" customHeight="1" x14ac:dyDescent="0.3">
      <c r="C82" s="123" t="s">
        <v>181</v>
      </c>
      <c r="D82" s="132">
        <f>D80*D81</f>
        <v>0</v>
      </c>
    </row>
    <row r="83" spans="3:4" ht="14.25" customHeight="1" x14ac:dyDescent="0.3">
      <c r="C83" s="123" t="s">
        <v>182</v>
      </c>
      <c r="D83" s="147">
        <f>G73</f>
        <v>1</v>
      </c>
    </row>
    <row r="84" spans="3:4" ht="14.25" customHeight="1" x14ac:dyDescent="0.3">
      <c r="C84" s="141" t="s">
        <v>183</v>
      </c>
      <c r="D84" s="148">
        <f>D82*D83</f>
        <v>0</v>
      </c>
    </row>
  </sheetData>
  <mergeCells count="1">
    <mergeCell ref="F30:I30"/>
  </mergeCells>
  <phoneticPr fontId="3" type="noConversion"/>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6:M84"/>
  <sheetViews>
    <sheetView workbookViewId="0">
      <selection activeCell="L31" sqref="L31"/>
    </sheetView>
  </sheetViews>
  <sheetFormatPr defaultRowHeight="14.25" customHeight="1" x14ac:dyDescent="0.3"/>
  <cols>
    <col min="1" max="1" width="3.625" style="123" customWidth="1"/>
    <col min="2" max="2" width="22.75" style="123" customWidth="1"/>
    <col min="3" max="9" width="16.375" style="123" customWidth="1"/>
    <col min="10" max="13" width="14.625" style="123" customWidth="1"/>
    <col min="14" max="16384" width="9" style="123"/>
  </cols>
  <sheetData>
    <row r="6" spans="2:8" ht="14.25" customHeight="1" x14ac:dyDescent="0.3">
      <c r="B6" s="121" t="s">
        <v>110</v>
      </c>
      <c r="C6" s="122" t="s">
        <v>111</v>
      </c>
    </row>
    <row r="8" spans="2:8" ht="14.25" customHeight="1" x14ac:dyDescent="0.3">
      <c r="B8" s="123" t="s">
        <v>112</v>
      </c>
    </row>
    <row r="10" spans="2:8" s="126" customFormat="1" ht="14.25" customHeight="1" x14ac:dyDescent="0.3">
      <c r="B10" s="124" t="s">
        <v>113</v>
      </c>
      <c r="C10" s="125" t="s">
        <v>114</v>
      </c>
      <c r="D10" s="125" t="s">
        <v>115</v>
      </c>
      <c r="E10" s="125" t="s">
        <v>116</v>
      </c>
      <c r="F10" s="125" t="s">
        <v>117</v>
      </c>
      <c r="G10" s="125" t="s">
        <v>118</v>
      </c>
    </row>
    <row r="11" spans="2:8" ht="14.25" customHeight="1" x14ac:dyDescent="0.3">
      <c r="B11" s="123" t="s">
        <v>119</v>
      </c>
      <c r="C11" s="127">
        <v>3175992875</v>
      </c>
      <c r="D11" s="127">
        <v>3349494329</v>
      </c>
      <c r="E11" s="127">
        <v>2566091140</v>
      </c>
      <c r="F11" s="127">
        <v>2572893019</v>
      </c>
      <c r="G11" s="127">
        <v>2409056127</v>
      </c>
    </row>
    <row r="12" spans="2:8" ht="14.25" customHeight="1" x14ac:dyDescent="0.3">
      <c r="B12" s="123" t="s">
        <v>120</v>
      </c>
      <c r="C12" s="127">
        <v>0</v>
      </c>
      <c r="D12" s="127">
        <v>0</v>
      </c>
      <c r="E12" s="127">
        <v>22776400</v>
      </c>
      <c r="F12" s="127">
        <v>32294128</v>
      </c>
      <c r="G12" s="127">
        <v>0</v>
      </c>
    </row>
    <row r="13" spans="2:8" ht="14.25" customHeight="1" x14ac:dyDescent="0.3">
      <c r="B13" s="123" t="s">
        <v>121</v>
      </c>
      <c r="C13" s="127">
        <v>300000000</v>
      </c>
      <c r="D13" s="127">
        <v>300000000</v>
      </c>
      <c r="E13" s="127">
        <v>300000000</v>
      </c>
      <c r="F13" s="127">
        <v>322776400</v>
      </c>
      <c r="G13" s="127">
        <v>322776400</v>
      </c>
    </row>
    <row r="15" spans="2:8" ht="14.25" customHeight="1" x14ac:dyDescent="0.3">
      <c r="B15" s="123" t="s">
        <v>122</v>
      </c>
      <c r="D15" s="128">
        <v>3.0966874343377939E-2</v>
      </c>
      <c r="E15" s="128">
        <v>9.1176613469777235E-3</v>
      </c>
      <c r="F15" s="128">
        <v>1.6658909776226846E-2</v>
      </c>
      <c r="G15" s="128">
        <v>1.8481953655580627E-2</v>
      </c>
      <c r="H15" s="129">
        <f>AVERAGE(D15:G15)</f>
        <v>1.8806349780540785E-2</v>
      </c>
    </row>
    <row r="16" spans="2:8" ht="14.25" customHeight="1" x14ac:dyDescent="0.3">
      <c r="D16" s="128"/>
      <c r="E16" s="128"/>
      <c r="F16" s="128"/>
      <c r="G16" s="128"/>
    </row>
    <row r="17" spans="2:13" ht="14.25" customHeight="1" x14ac:dyDescent="0.3">
      <c r="B17" s="123" t="s">
        <v>123</v>
      </c>
    </row>
    <row r="19" spans="2:13" ht="14.25" customHeight="1" x14ac:dyDescent="0.3">
      <c r="B19" s="124" t="s">
        <v>113</v>
      </c>
      <c r="C19" s="125" t="s">
        <v>114</v>
      </c>
      <c r="D19" s="125" t="s">
        <v>115</v>
      </c>
      <c r="E19" s="125" t="s">
        <v>116</v>
      </c>
      <c r="F19" s="125" t="s">
        <v>117</v>
      </c>
      <c r="G19" s="125" t="s">
        <v>124</v>
      </c>
    </row>
    <row r="20" spans="2:13" ht="14.25" customHeight="1" x14ac:dyDescent="0.3">
      <c r="B20" s="123" t="s">
        <v>125</v>
      </c>
      <c r="C20" s="127">
        <v>9508196499</v>
      </c>
      <c r="D20" s="127">
        <v>10718132218</v>
      </c>
      <c r="E20" s="127">
        <v>6773848908</v>
      </c>
      <c r="F20" s="127">
        <v>7724899078</v>
      </c>
      <c r="G20" s="127">
        <v>7824418315</v>
      </c>
    </row>
    <row r="21" spans="2:13" ht="14.25" customHeight="1" x14ac:dyDescent="0.3">
      <c r="B21" s="123" t="s">
        <v>126</v>
      </c>
      <c r="C21" s="127">
        <v>0</v>
      </c>
      <c r="D21" s="127">
        <v>0</v>
      </c>
      <c r="E21" s="127">
        <v>32198537</v>
      </c>
      <c r="F21" s="127">
        <v>37320825</v>
      </c>
      <c r="G21" s="127">
        <v>20193132</v>
      </c>
    </row>
    <row r="22" spans="2:13" ht="14.25" customHeight="1" x14ac:dyDescent="0.3">
      <c r="B22" s="123" t="s">
        <v>127</v>
      </c>
      <c r="C22" s="127">
        <v>96511224</v>
      </c>
      <c r="D22" s="127">
        <v>99516905</v>
      </c>
      <c r="E22" s="127">
        <v>99516905</v>
      </c>
      <c r="F22" s="127">
        <v>99516905</v>
      </c>
      <c r="G22" s="127">
        <v>104815033</v>
      </c>
    </row>
    <row r="24" spans="2:13" ht="14.25" customHeight="1" x14ac:dyDescent="0.3">
      <c r="B24" s="123" t="s">
        <v>122</v>
      </c>
      <c r="D24" s="128">
        <v>1.7537045930851008E-2</v>
      </c>
      <c r="E24" s="128">
        <v>1.1497616946846729E-3</v>
      </c>
      <c r="F24" s="128">
        <v>1.1216016299012881E-2</v>
      </c>
      <c r="G24" s="128">
        <v>1.162908746143715E-2</v>
      </c>
      <c r="H24" s="129">
        <f>AVERAGE(D24:G24)</f>
        <v>1.0382977846496428E-2</v>
      </c>
    </row>
    <row r="25" spans="2:13" ht="14.25" customHeight="1" x14ac:dyDescent="0.3">
      <c r="D25" s="128"/>
      <c r="E25" s="128"/>
      <c r="F25" s="128"/>
      <c r="G25" s="128"/>
    </row>
    <row r="28" spans="2:13" ht="14.25" customHeight="1" x14ac:dyDescent="0.3">
      <c r="B28" s="121" t="s">
        <v>128</v>
      </c>
      <c r="C28" s="122" t="s">
        <v>129</v>
      </c>
    </row>
    <row r="30" spans="2:13" ht="14.25" customHeight="1" x14ac:dyDescent="0.3">
      <c r="B30" s="130" t="s">
        <v>113</v>
      </c>
      <c r="C30" s="130" t="s">
        <v>130</v>
      </c>
      <c r="D30" s="130" t="s">
        <v>131</v>
      </c>
      <c r="E30" s="130" t="s">
        <v>132</v>
      </c>
      <c r="F30" s="169" t="s">
        <v>133</v>
      </c>
      <c r="G30" s="169"/>
      <c r="H30" s="169"/>
      <c r="I30" s="169"/>
      <c r="K30" s="131" t="s">
        <v>134</v>
      </c>
      <c r="L30" s="131" t="s">
        <v>135</v>
      </c>
      <c r="M30" s="131" t="s">
        <v>78</v>
      </c>
    </row>
    <row r="31" spans="2:13" ht="14.25" customHeight="1" x14ac:dyDescent="0.3">
      <c r="B31" s="123" t="s">
        <v>136</v>
      </c>
      <c r="C31" s="132">
        <f>+'[1]2-1.2020년 2분기연령'!D20+'[1]2-1.2020년 2분기연령'!D21</f>
        <v>2716386246</v>
      </c>
      <c r="D31" s="133">
        <f>H15</f>
        <v>1.8806349780540785E-2</v>
      </c>
      <c r="E31" s="132">
        <f>C31*D31</f>
        <v>51085309.881326109</v>
      </c>
      <c r="F31" s="123" t="s">
        <v>86</v>
      </c>
      <c r="G31" s="132">
        <v>27256788</v>
      </c>
      <c r="H31" s="123" t="s">
        <v>87</v>
      </c>
      <c r="I31" s="132">
        <v>49060000</v>
      </c>
      <c r="K31" s="134" t="s">
        <v>80</v>
      </c>
      <c r="L31" s="135">
        <f>ROUND(SUM(E31:E33,E36:E38,G31:G33,G36,I31:I33),0)</f>
        <v>806659219</v>
      </c>
      <c r="M31" s="135">
        <v>1203486730.68835</v>
      </c>
    </row>
    <row r="32" spans="2:13" ht="14.25" customHeight="1" x14ac:dyDescent="0.3">
      <c r="B32" s="123" t="s">
        <v>120</v>
      </c>
      <c r="C32" s="132">
        <f>+'[1]2-1.2020년 2분기연령'!D22+'[1]2-1.2020년 2분기연령'!D23</f>
        <v>0</v>
      </c>
      <c r="D32" s="133">
        <v>1</v>
      </c>
      <c r="E32" s="132">
        <f>C32*D32</f>
        <v>0</v>
      </c>
      <c r="F32" s="123" t="s">
        <v>88</v>
      </c>
      <c r="G32" s="132">
        <v>3228130</v>
      </c>
      <c r="H32" s="123" t="s">
        <v>89</v>
      </c>
      <c r="I32" s="132">
        <v>12000000</v>
      </c>
      <c r="K32" s="134" t="s">
        <v>137</v>
      </c>
      <c r="L32" s="135">
        <v>724707463</v>
      </c>
      <c r="M32" s="135">
        <v>1236408010.47335</v>
      </c>
    </row>
    <row r="33" spans="2:13" ht="14.25" customHeight="1" x14ac:dyDescent="0.3">
      <c r="B33" s="123" t="s">
        <v>138</v>
      </c>
      <c r="C33" s="132">
        <f>+'[1]2-1.2020년 2분기연령'!D24</f>
        <v>322776400</v>
      </c>
      <c r="D33" s="133">
        <v>1</v>
      </c>
      <c r="E33" s="132">
        <f>C33*D33</f>
        <v>322776400</v>
      </c>
      <c r="G33" s="132"/>
      <c r="I33" s="132"/>
      <c r="K33" s="134" t="s">
        <v>81</v>
      </c>
      <c r="L33" s="135"/>
      <c r="M33" s="135">
        <v>4659650</v>
      </c>
    </row>
    <row r="34" spans="2:13" ht="14.25" customHeight="1" x14ac:dyDescent="0.3">
      <c r="K34" s="134" t="s">
        <v>139</v>
      </c>
      <c r="L34" s="136">
        <f>L31-L32+L33</f>
        <v>81951756</v>
      </c>
      <c r="M34" s="136">
        <f>M31-M32+M33</f>
        <v>-28261629.785000086</v>
      </c>
    </row>
    <row r="35" spans="2:13" ht="14.25" customHeight="1" x14ac:dyDescent="0.3">
      <c r="B35" s="130" t="s">
        <v>140</v>
      </c>
      <c r="C35" s="130" t="s">
        <v>141</v>
      </c>
      <c r="D35" s="130" t="s">
        <v>142</v>
      </c>
      <c r="E35" s="130" t="s">
        <v>132</v>
      </c>
    </row>
    <row r="36" spans="2:13" ht="14.25" customHeight="1" x14ac:dyDescent="0.3">
      <c r="B36" s="123" t="s">
        <v>119</v>
      </c>
      <c r="C36" s="127">
        <f>+'[1]2-1.2020년 2분기연령'!D36+'[1]2-1.2020년 2분기연령'!D37</f>
        <v>7758245457</v>
      </c>
      <c r="D36" s="133">
        <f>H24</f>
        <v>1.0382977846496428E-2</v>
      </c>
      <c r="E36" s="132">
        <f>C36*D36</f>
        <v>80553690.707712561</v>
      </c>
      <c r="F36" s="123" t="s">
        <v>90</v>
      </c>
      <c r="G36" s="132">
        <v>27647453</v>
      </c>
    </row>
    <row r="37" spans="2:13" ht="14.25" customHeight="1" x14ac:dyDescent="0.3">
      <c r="B37" s="123" t="s">
        <v>120</v>
      </c>
      <c r="C37" s="127">
        <f>+'[1]2-1.2020년 2분기연령'!D38+'[1]2-1.2020년 2분기연령'!D39</f>
        <v>133534542</v>
      </c>
      <c r="D37" s="133">
        <v>1</v>
      </c>
      <c r="E37" s="132">
        <f>C37*D37</f>
        <v>133534542</v>
      </c>
    </row>
    <row r="38" spans="2:13" ht="14.25" customHeight="1" x14ac:dyDescent="0.3">
      <c r="B38" s="123" t="s">
        <v>121</v>
      </c>
      <c r="C38" s="127">
        <f>+'[1]2-1.2020년 2분기연령'!D40</f>
        <v>99516905</v>
      </c>
      <c r="D38" s="133">
        <v>1</v>
      </c>
      <c r="E38" s="132">
        <f>C38*D38</f>
        <v>99516905</v>
      </c>
    </row>
    <row r="44" spans="2:13" ht="14.25" customHeight="1" x14ac:dyDescent="0.3">
      <c r="B44" s="121" t="s">
        <v>143</v>
      </c>
      <c r="C44" s="122" t="s">
        <v>144</v>
      </c>
    </row>
    <row r="46" spans="2:13" ht="14.25" customHeight="1" x14ac:dyDescent="0.3">
      <c r="B46" s="122" t="s">
        <v>145</v>
      </c>
      <c r="C46" s="123" t="s">
        <v>146</v>
      </c>
      <c r="D46" s="132">
        <v>1000</v>
      </c>
    </row>
    <row r="47" spans="2:13" ht="14.25" customHeight="1" x14ac:dyDescent="0.3">
      <c r="C47" s="123" t="s">
        <v>147</v>
      </c>
    </row>
    <row r="48" spans="2:13" ht="14.25" customHeight="1" x14ac:dyDescent="0.3">
      <c r="C48" s="123" t="s">
        <v>148</v>
      </c>
      <c r="D48" s="137">
        <v>1000</v>
      </c>
    </row>
    <row r="51" spans="2:6" s="139" customFormat="1" ht="14.25" customHeight="1" x14ac:dyDescent="0.3">
      <c r="B51" s="122" t="s">
        <v>149</v>
      </c>
      <c r="C51" s="138" t="s">
        <v>150</v>
      </c>
      <c r="D51" s="138" t="s">
        <v>151</v>
      </c>
      <c r="E51" s="138" t="s">
        <v>152</v>
      </c>
      <c r="F51" s="138" t="s">
        <v>153</v>
      </c>
    </row>
    <row r="52" spans="2:6" ht="14.25" customHeight="1" x14ac:dyDescent="0.3">
      <c r="C52" s="123" t="s">
        <v>154</v>
      </c>
      <c r="D52" s="132">
        <v>1000</v>
      </c>
    </row>
    <row r="53" spans="2:6" ht="14.25" customHeight="1" x14ac:dyDescent="0.3">
      <c r="C53" s="123" t="s">
        <v>155</v>
      </c>
      <c r="D53" s="132">
        <v>1000</v>
      </c>
    </row>
    <row r="54" spans="2:6" ht="14.25" customHeight="1" x14ac:dyDescent="0.3">
      <c r="C54" s="123" t="s">
        <v>156</v>
      </c>
      <c r="D54" s="132">
        <v>1000</v>
      </c>
    </row>
    <row r="55" spans="2:6" ht="14.25" customHeight="1" x14ac:dyDescent="0.3">
      <c r="C55" s="123" t="s">
        <v>157</v>
      </c>
      <c r="D55" s="132">
        <v>1000</v>
      </c>
    </row>
    <row r="56" spans="2:6" ht="14.25" customHeight="1" x14ac:dyDescent="0.3">
      <c r="C56" s="123" t="s">
        <v>158</v>
      </c>
      <c r="D56" s="132">
        <v>1000</v>
      </c>
    </row>
    <row r="57" spans="2:6" ht="14.25" customHeight="1" x14ac:dyDescent="0.3">
      <c r="C57" s="123" t="s">
        <v>159</v>
      </c>
      <c r="D57" s="132">
        <v>1000</v>
      </c>
    </row>
    <row r="58" spans="2:6" ht="14.25" customHeight="1" x14ac:dyDescent="0.3">
      <c r="C58" s="123" t="s">
        <v>160</v>
      </c>
      <c r="D58" s="132">
        <v>1000</v>
      </c>
    </row>
    <row r="59" spans="2:6" ht="14.25" customHeight="1" x14ac:dyDescent="0.3">
      <c r="C59" s="123" t="s">
        <v>161</v>
      </c>
      <c r="D59" s="132">
        <v>1000</v>
      </c>
    </row>
    <row r="60" spans="2:6" ht="14.25" customHeight="1" x14ac:dyDescent="0.3">
      <c r="C60" s="123" t="s">
        <v>162</v>
      </c>
      <c r="D60" s="132">
        <v>1000</v>
      </c>
    </row>
    <row r="61" spans="2:6" ht="14.25" customHeight="1" x14ac:dyDescent="0.3">
      <c r="C61" s="123" t="s">
        <v>163</v>
      </c>
      <c r="D61" s="140">
        <v>1000</v>
      </c>
      <c r="E61" s="141"/>
      <c r="F61" s="141"/>
    </row>
    <row r="62" spans="2:6" ht="14.25" customHeight="1" thickBot="1" x14ac:dyDescent="0.35">
      <c r="C62" s="142" t="s">
        <v>164</v>
      </c>
      <c r="D62" s="143">
        <f>SUM(D52:D61)</f>
        <v>10000</v>
      </c>
      <c r="E62" s="142"/>
      <c r="F62" s="144">
        <f>E62/D62</f>
        <v>0</v>
      </c>
    </row>
    <row r="63" spans="2:6" ht="14.25" customHeight="1" thickTop="1" x14ac:dyDescent="0.3">
      <c r="C63" s="145"/>
      <c r="D63" s="145"/>
    </row>
    <row r="64" spans="2:6" ht="14.25" customHeight="1" x14ac:dyDescent="0.3">
      <c r="B64" s="122" t="s">
        <v>165</v>
      </c>
      <c r="C64" s="123" t="s">
        <v>166</v>
      </c>
    </row>
    <row r="65" spans="2:7" ht="14.25" customHeight="1" x14ac:dyDescent="0.3">
      <c r="C65" s="123" t="s">
        <v>167</v>
      </c>
      <c r="D65" s="123">
        <v>0</v>
      </c>
    </row>
    <row r="66" spans="2:7" ht="14.25" customHeight="1" x14ac:dyDescent="0.3">
      <c r="C66" s="141" t="s">
        <v>168</v>
      </c>
      <c r="D66" s="146">
        <v>0</v>
      </c>
    </row>
    <row r="68" spans="2:7" ht="14.25" customHeight="1" x14ac:dyDescent="0.3">
      <c r="B68" s="122" t="s">
        <v>169</v>
      </c>
      <c r="C68" s="138" t="s">
        <v>170</v>
      </c>
      <c r="D68" s="138" t="s">
        <v>171</v>
      </c>
      <c r="E68" s="138" t="s">
        <v>172</v>
      </c>
      <c r="F68" s="138" t="s">
        <v>173</v>
      </c>
      <c r="G68" s="138" t="s">
        <v>174</v>
      </c>
    </row>
    <row r="72" spans="2:7" ht="14.25" customHeight="1" x14ac:dyDescent="0.3">
      <c r="C72" s="141"/>
      <c r="D72" s="141"/>
      <c r="E72" s="141"/>
      <c r="F72" s="141"/>
      <c r="G72" s="141"/>
    </row>
    <row r="73" spans="2:7" ht="14.25" customHeight="1" thickBot="1" x14ac:dyDescent="0.35">
      <c r="C73" s="142"/>
      <c r="D73" s="142"/>
      <c r="E73" s="142"/>
      <c r="F73" s="142"/>
      <c r="G73" s="144">
        <f>1-F73</f>
        <v>1</v>
      </c>
    </row>
    <row r="74" spans="2:7" ht="14.25" customHeight="1" thickTop="1" x14ac:dyDescent="0.3"/>
    <row r="77" spans="2:7" ht="14.25" customHeight="1" x14ac:dyDescent="0.3">
      <c r="B77" s="122" t="s">
        <v>175</v>
      </c>
      <c r="C77" s="138" t="s">
        <v>176</v>
      </c>
      <c r="D77" s="138" t="s">
        <v>177</v>
      </c>
    </row>
    <row r="78" spans="2:7" ht="14.25" customHeight="1" x14ac:dyDescent="0.3">
      <c r="C78" s="123" t="s">
        <v>146</v>
      </c>
      <c r="D78" s="127">
        <f>D48</f>
        <v>1000</v>
      </c>
    </row>
    <row r="79" spans="2:7" ht="14.25" customHeight="1" x14ac:dyDescent="0.3">
      <c r="C79" s="123" t="s">
        <v>178</v>
      </c>
      <c r="D79" s="147">
        <f>F62</f>
        <v>0</v>
      </c>
    </row>
    <row r="80" spans="2:7" ht="14.25" customHeight="1" x14ac:dyDescent="0.3">
      <c r="C80" s="123" t="s">
        <v>179</v>
      </c>
      <c r="D80" s="132">
        <f>ROUND(D78*D79,0)</f>
        <v>0</v>
      </c>
    </row>
    <row r="81" spans="3:4" ht="14.25" customHeight="1" x14ac:dyDescent="0.3">
      <c r="C81" s="123" t="s">
        <v>180</v>
      </c>
      <c r="D81" s="147">
        <f>1-D66</f>
        <v>1</v>
      </c>
    </row>
    <row r="82" spans="3:4" ht="14.25" customHeight="1" x14ac:dyDescent="0.3">
      <c r="C82" s="123" t="s">
        <v>181</v>
      </c>
      <c r="D82" s="132">
        <f>D80*D81</f>
        <v>0</v>
      </c>
    </row>
    <row r="83" spans="3:4" ht="14.25" customHeight="1" x14ac:dyDescent="0.3">
      <c r="C83" s="123" t="s">
        <v>182</v>
      </c>
      <c r="D83" s="147">
        <f>G73</f>
        <v>1</v>
      </c>
    </row>
    <row r="84" spans="3:4" ht="14.25" customHeight="1" x14ac:dyDescent="0.3">
      <c r="C84" s="141" t="s">
        <v>183</v>
      </c>
      <c r="D84" s="148">
        <f>D82*D83</f>
        <v>0</v>
      </c>
    </row>
  </sheetData>
  <mergeCells count="1">
    <mergeCell ref="F30:I30"/>
  </mergeCells>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2060"/>
    <pageSetUpPr fitToPage="1"/>
  </sheetPr>
  <dimension ref="A2:N72"/>
  <sheetViews>
    <sheetView zoomScale="85" zoomScaleNormal="85" workbookViewId="0">
      <selection activeCell="N18" sqref="N18:N24"/>
    </sheetView>
  </sheetViews>
  <sheetFormatPr defaultColWidth="9" defaultRowHeight="13.5" x14ac:dyDescent="0.3"/>
  <cols>
    <col min="1" max="1" width="9.75" style="156" customWidth="1"/>
    <col min="2" max="2" width="62.25" style="156" customWidth="1"/>
    <col min="3" max="3" width="17.75" style="156" customWidth="1"/>
    <col min="4" max="4" width="19" style="156" bestFit="1" customWidth="1"/>
    <col min="5" max="5" width="16.875" style="156" customWidth="1"/>
    <col min="6" max="12" width="16" style="156" bestFit="1" customWidth="1"/>
    <col min="13" max="14" width="16" style="156" customWidth="1"/>
    <col min="15" max="16384" width="9" style="156"/>
  </cols>
  <sheetData>
    <row r="2" spans="2:6" x14ac:dyDescent="0.3">
      <c r="B2" s="155" t="s">
        <v>54</v>
      </c>
    </row>
    <row r="3" spans="2:6" x14ac:dyDescent="0.3">
      <c r="B3" s="155" t="s">
        <v>248</v>
      </c>
    </row>
    <row r="4" spans="2:6" x14ac:dyDescent="0.3">
      <c r="B4" s="155" t="s">
        <v>249</v>
      </c>
    </row>
    <row r="5" spans="2:6" x14ac:dyDescent="0.3">
      <c r="B5" s="156" t="s">
        <v>250</v>
      </c>
    </row>
    <row r="8" spans="2:6" x14ac:dyDescent="0.3">
      <c r="B8" s="157" t="s">
        <v>252</v>
      </c>
    </row>
    <row r="9" spans="2:6" ht="14.25" thickBot="1" x14ac:dyDescent="0.35"/>
    <row r="10" spans="2:6" ht="14.25" thickBot="1" x14ac:dyDescent="0.35">
      <c r="C10" s="1"/>
      <c r="D10" s="156" t="s">
        <v>22</v>
      </c>
      <c r="E10" s="158"/>
      <c r="F10" s="156" t="s">
        <v>23</v>
      </c>
    </row>
    <row r="11" spans="2:6" s="2" customFormat="1" x14ac:dyDescent="0.3"/>
    <row r="12" spans="2:6" x14ac:dyDescent="0.3">
      <c r="B12" s="157" t="s">
        <v>253</v>
      </c>
    </row>
    <row r="13" spans="2:6" x14ac:dyDescent="0.3">
      <c r="B13" s="157"/>
    </row>
    <row r="14" spans="2:6" x14ac:dyDescent="0.3">
      <c r="B14" s="157" t="s">
        <v>254</v>
      </c>
    </row>
    <row r="15" spans="2:6" x14ac:dyDescent="0.3">
      <c r="B15" s="156" t="s">
        <v>255</v>
      </c>
    </row>
    <row r="16" spans="2:6" ht="14.25" thickBot="1" x14ac:dyDescent="0.35"/>
    <row r="17" spans="1:14" x14ac:dyDescent="0.3">
      <c r="B17" s="3" t="s">
        <v>0</v>
      </c>
      <c r="C17" s="4" t="s">
        <v>256</v>
      </c>
      <c r="D17" s="4" t="s">
        <v>1</v>
      </c>
      <c r="E17" s="4" t="s">
        <v>2</v>
      </c>
      <c r="F17" s="4" t="s">
        <v>36</v>
      </c>
      <c r="G17" s="4" t="s">
        <v>3</v>
      </c>
      <c r="H17" s="4" t="s">
        <v>70</v>
      </c>
      <c r="I17" s="4" t="s">
        <v>71</v>
      </c>
      <c r="J17" s="4" t="s">
        <v>72</v>
      </c>
      <c r="K17" s="4" t="s">
        <v>75</v>
      </c>
      <c r="L17" s="73" t="s">
        <v>76</v>
      </c>
      <c r="M17" s="4" t="s">
        <v>73</v>
      </c>
      <c r="N17" s="80" t="s">
        <v>74</v>
      </c>
    </row>
    <row r="18" spans="1:14" x14ac:dyDescent="0.3">
      <c r="A18" s="156" t="s">
        <v>257</v>
      </c>
      <c r="B18" s="5" t="s">
        <v>258</v>
      </c>
      <c r="C18" s="6">
        <v>8357078555</v>
      </c>
      <c r="D18" s="6">
        <v>6629898597.9020004</v>
      </c>
      <c r="E18" s="6">
        <v>8088933456</v>
      </c>
      <c r="F18" s="6">
        <v>8285594445</v>
      </c>
      <c r="G18" s="6">
        <v>8444037996</v>
      </c>
      <c r="H18" s="6">
        <v>8408662571</v>
      </c>
      <c r="I18" s="6">
        <v>7930471712</v>
      </c>
      <c r="J18" s="6">
        <v>8422864390</v>
      </c>
      <c r="K18" s="6">
        <v>7484645852</v>
      </c>
      <c r="L18" s="74">
        <v>7599457573</v>
      </c>
      <c r="M18" s="6">
        <v>7351579284</v>
      </c>
      <c r="N18" s="81">
        <v>7878825915</v>
      </c>
    </row>
    <row r="19" spans="1:14" x14ac:dyDescent="0.3">
      <c r="A19" s="156" t="s">
        <v>259</v>
      </c>
      <c r="B19" s="7" t="s">
        <v>260</v>
      </c>
      <c r="C19" s="6">
        <v>2222181958</v>
      </c>
      <c r="D19" s="6">
        <v>1326148332</v>
      </c>
      <c r="E19" s="6">
        <v>1109590670</v>
      </c>
      <c r="F19" s="6">
        <v>1368971919</v>
      </c>
      <c r="G19" s="6">
        <v>1283151195</v>
      </c>
      <c r="H19" s="6">
        <v>1295326842</v>
      </c>
      <c r="I19" s="6">
        <v>1918321221</v>
      </c>
      <c r="J19" s="6">
        <v>2109557133</v>
      </c>
      <c r="K19" s="6">
        <v>2258274420</v>
      </c>
      <c r="L19" s="74">
        <v>1943018127</v>
      </c>
      <c r="M19" s="6">
        <v>2096960755</v>
      </c>
      <c r="N19" s="81">
        <v>1695855768</v>
      </c>
    </row>
    <row r="20" spans="1:14" x14ac:dyDescent="0.3">
      <c r="A20" s="156" t="s">
        <v>7</v>
      </c>
      <c r="B20" s="7" t="s">
        <v>261</v>
      </c>
      <c r="C20" s="6">
        <v>1169059229</v>
      </c>
      <c r="D20" s="6">
        <v>864098434</v>
      </c>
      <c r="E20" s="6">
        <v>700538386</v>
      </c>
      <c r="F20" s="6">
        <v>282972718</v>
      </c>
      <c r="G20" s="6">
        <v>438893540</v>
      </c>
      <c r="H20" s="6">
        <v>400074558</v>
      </c>
      <c r="I20" s="6">
        <v>646626532</v>
      </c>
      <c r="J20" s="6">
        <v>419338042</v>
      </c>
      <c r="K20" s="6">
        <v>904477364</v>
      </c>
      <c r="L20" s="74">
        <v>753893940</v>
      </c>
      <c r="M20" s="6">
        <v>979650983</v>
      </c>
      <c r="N20" s="81">
        <v>633708016</v>
      </c>
    </row>
    <row r="21" spans="1:14" x14ac:dyDescent="0.3">
      <c r="A21" s="156" t="s">
        <v>262</v>
      </c>
      <c r="B21" s="7" t="s">
        <v>264</v>
      </c>
      <c r="C21" s="6">
        <v>802049212</v>
      </c>
      <c r="D21" s="6">
        <v>519794684</v>
      </c>
      <c r="E21" s="6">
        <v>564542316</v>
      </c>
      <c r="F21" s="6">
        <v>291281441</v>
      </c>
      <c r="G21" s="6">
        <v>240517439</v>
      </c>
      <c r="H21" s="6">
        <v>232760997</v>
      </c>
      <c r="I21" s="6">
        <v>170550445</v>
      </c>
      <c r="J21" s="6">
        <v>440669315</v>
      </c>
      <c r="K21" s="6">
        <v>164002785</v>
      </c>
      <c r="L21" s="74">
        <v>139069026</v>
      </c>
      <c r="M21" s="6">
        <v>446127690</v>
      </c>
      <c r="N21" s="81">
        <v>273503838</v>
      </c>
    </row>
    <row r="22" spans="1:14" x14ac:dyDescent="0.3">
      <c r="A22" s="156" t="s">
        <v>265</v>
      </c>
      <c r="B22" s="7" t="s">
        <v>266</v>
      </c>
      <c r="C22" s="6">
        <f>283492243</f>
        <v>283492243</v>
      </c>
      <c r="D22" s="6">
        <v>54974937</v>
      </c>
      <c r="E22" s="6">
        <v>469950910</v>
      </c>
      <c r="F22" s="6">
        <v>514645368</v>
      </c>
      <c r="G22" s="6">
        <v>111703072</v>
      </c>
      <c r="H22" s="6">
        <v>13356968</v>
      </c>
      <c r="I22" s="6">
        <v>90387652</v>
      </c>
      <c r="J22" s="6">
        <v>55818029</v>
      </c>
      <c r="K22" s="6">
        <v>52492007</v>
      </c>
      <c r="L22" s="74">
        <v>20193132</v>
      </c>
      <c r="M22" s="6">
        <v>35618067</v>
      </c>
      <c r="N22" s="81">
        <v>77613140</v>
      </c>
    </row>
    <row r="23" spans="1:14" x14ac:dyDescent="0.3">
      <c r="A23" s="156" t="s">
        <v>10</v>
      </c>
      <c r="B23" s="7" t="s">
        <v>267</v>
      </c>
      <c r="C23" s="6"/>
      <c r="D23" s="6">
        <f>49060000</f>
        <v>49060000</v>
      </c>
      <c r="E23" s="6">
        <v>22776400</v>
      </c>
      <c r="F23" s="6">
        <v>257483476</v>
      </c>
      <c r="G23" s="6">
        <v>49979298</v>
      </c>
      <c r="H23" s="6">
        <v>8724266</v>
      </c>
      <c r="I23" s="6"/>
      <c r="J23" s="6">
        <v>4916400</v>
      </c>
      <c r="K23" s="6">
        <v>973053</v>
      </c>
      <c r="L23" s="74"/>
      <c r="M23" s="6">
        <v>21323305</v>
      </c>
      <c r="N23" s="81">
        <v>34980053</v>
      </c>
    </row>
    <row r="24" spans="1:14" ht="14.25" thickBot="1" x14ac:dyDescent="0.35">
      <c r="A24" s="156" t="s">
        <v>268</v>
      </c>
      <c r="B24" s="8" t="s">
        <v>269</v>
      </c>
      <c r="C24" s="9">
        <f>986728743</f>
        <v>986728743</v>
      </c>
      <c r="D24" s="9">
        <f>981621756</f>
        <v>981621756</v>
      </c>
      <c r="E24" s="9">
        <f>1030681756</f>
        <v>1030681756</v>
      </c>
      <c r="F24" s="9">
        <f>1053458156</f>
        <v>1053458156</v>
      </c>
      <c r="G24" s="9">
        <f>1068250623</f>
        <v>1068250623</v>
      </c>
      <c r="H24" s="9">
        <f>1100991875</f>
        <v>1100991875</v>
      </c>
      <c r="I24" s="9">
        <f>1069297917</f>
        <v>1069297917</v>
      </c>
      <c r="J24" s="9">
        <f>1065272465</f>
        <v>1065272465</v>
      </c>
      <c r="K24" s="9">
        <f>1038447205</f>
        <v>1038447205</v>
      </c>
      <c r="L24" s="75">
        <f>1013020848</f>
        <v>1013020848</v>
      </c>
      <c r="M24" s="9">
        <f>541485676</f>
        <v>541485676</v>
      </c>
      <c r="N24" s="82">
        <f>562427025</f>
        <v>562427025</v>
      </c>
    </row>
    <row r="25" spans="1:14" ht="14.25" thickBot="1" x14ac:dyDescent="0.35">
      <c r="B25" s="159"/>
      <c r="C25" s="160"/>
      <c r="D25" s="160"/>
      <c r="E25" s="160"/>
      <c r="F25" s="160"/>
      <c r="G25" s="160"/>
      <c r="H25" s="160"/>
      <c r="I25" s="160"/>
      <c r="J25" s="160"/>
      <c r="K25" s="160"/>
      <c r="L25" s="160"/>
      <c r="M25" s="160"/>
      <c r="N25" s="160"/>
    </row>
    <row r="26" spans="1:14" x14ac:dyDescent="0.3">
      <c r="B26" s="10" t="s">
        <v>270</v>
      </c>
      <c r="C26" s="11">
        <f>IF(ISERROR(H23/C18),0,H23/C18)</f>
        <v>1.0439372972963516E-3</v>
      </c>
      <c r="D26" s="11">
        <f>IF(ISERROR(I23/D18),0,I23/D18)</f>
        <v>0</v>
      </c>
      <c r="E26" s="11">
        <f>IF(ISERROR(J23/E18),0,J23/E18)</f>
        <v>6.0779335455569115E-4</v>
      </c>
      <c r="F26" s="11">
        <f>IF(ISERROR(K23/F18),0,K23/F18)</f>
        <v>1.1743912961938364E-4</v>
      </c>
      <c r="G26" s="11">
        <f>IF(ISERROR(L23/G18),0,L23/G18)</f>
        <v>0</v>
      </c>
      <c r="H26" s="11">
        <f t="shared" ref="H26:I26" si="0">IF(ISERROR(M23/H18),0,M23/H18)</f>
        <v>2.535873549444157E-3</v>
      </c>
      <c r="I26" s="11">
        <f t="shared" si="0"/>
        <v>4.4108414064537808E-3</v>
      </c>
      <c r="J26" s="11"/>
      <c r="K26" s="12"/>
      <c r="L26" s="76"/>
      <c r="M26" s="78"/>
      <c r="N26" s="161"/>
    </row>
    <row r="27" spans="1:14" x14ac:dyDescent="0.3">
      <c r="B27" s="13" t="s">
        <v>271</v>
      </c>
      <c r="C27" s="14">
        <f>IF(ISERROR(G23/C19),0,G23/C19)</f>
        <v>2.2491091613839841E-2</v>
      </c>
      <c r="D27" s="14">
        <f t="shared" ref="D27:J27" si="1">IF(ISERROR(H23/D19),0,H23/D19)</f>
        <v>6.5786502078863983E-3</v>
      </c>
      <c r="E27" s="14">
        <f t="shared" si="1"/>
        <v>0</v>
      </c>
      <c r="F27" s="14">
        <f t="shared" si="1"/>
        <v>3.5913081428224679E-3</v>
      </c>
      <c r="G27" s="14">
        <f t="shared" si="1"/>
        <v>7.5833074371255214E-4</v>
      </c>
      <c r="H27" s="14">
        <f t="shared" si="1"/>
        <v>0</v>
      </c>
      <c r="I27" s="14">
        <f t="shared" si="1"/>
        <v>1.1115607108221633E-2</v>
      </c>
      <c r="J27" s="14">
        <f t="shared" si="1"/>
        <v>1.6581704497500328E-2</v>
      </c>
      <c r="K27" s="14"/>
      <c r="L27" s="77"/>
      <c r="M27" s="79"/>
      <c r="N27" s="162"/>
    </row>
    <row r="28" spans="1:14" x14ac:dyDescent="0.3">
      <c r="B28" s="13" t="s">
        <v>272</v>
      </c>
      <c r="C28" s="14">
        <f>IF(ISERROR(F23/C20),0,F23/C20)</f>
        <v>0.22024844388786738</v>
      </c>
      <c r="D28" s="14">
        <f t="shared" ref="D28:H28" si="2">IF(ISERROR(G23/D20),0,G23/D20)</f>
        <v>5.783982013326968E-2</v>
      </c>
      <c r="E28" s="14">
        <f t="shared" si="2"/>
        <v>1.2453658749258032E-2</v>
      </c>
      <c r="F28" s="14">
        <f t="shared" si="2"/>
        <v>0</v>
      </c>
      <c r="G28" s="14">
        <f t="shared" si="2"/>
        <v>1.1201805339855309E-2</v>
      </c>
      <c r="H28" s="14">
        <f t="shared" si="2"/>
        <v>2.4321791539665964E-3</v>
      </c>
      <c r="I28" s="14">
        <f>IF(ISERROR(L23/I20),0,L23/I20)</f>
        <v>0</v>
      </c>
      <c r="J28" s="14">
        <f t="shared" ref="J28:K28" si="3">IF(ISERROR(M23/J20),0,M23/J20)</f>
        <v>5.0849917880810822E-2</v>
      </c>
      <c r="K28" s="14">
        <f t="shared" si="3"/>
        <v>3.867432662471805E-2</v>
      </c>
      <c r="L28" s="77"/>
      <c r="M28" s="79"/>
      <c r="N28" s="162"/>
    </row>
    <row r="29" spans="1:14" x14ac:dyDescent="0.3">
      <c r="B29" s="13" t="s">
        <v>273</v>
      </c>
      <c r="C29" s="14">
        <f>IF(ISERROR(E23/C21),0,(E23/C21))</f>
        <v>2.8397758715084931E-2</v>
      </c>
      <c r="D29" s="14">
        <f t="shared" ref="D29:I29" si="4">IF(ISERROR(F23/D21),0,(F23/D21))</f>
        <v>0.49535611641615018</v>
      </c>
      <c r="E29" s="14">
        <f t="shared" si="4"/>
        <v>8.853064966701274E-2</v>
      </c>
      <c r="F29" s="14">
        <f t="shared" si="4"/>
        <v>2.9951328069679522E-2</v>
      </c>
      <c r="G29" s="14">
        <f t="shared" si="4"/>
        <v>0</v>
      </c>
      <c r="H29" s="14">
        <f t="shared" si="4"/>
        <v>2.1122095468597772E-2</v>
      </c>
      <c r="I29" s="14">
        <f t="shared" si="4"/>
        <v>5.705367699275132E-3</v>
      </c>
      <c r="J29" s="14">
        <f>IF(ISERROR(L23/J21),0,(L23/J21))</f>
        <v>0</v>
      </c>
      <c r="K29" s="14">
        <f t="shared" ref="K29:L29" si="5">IF(ISERROR(M23/K21),0,(M23/K21))</f>
        <v>0.13001794451234472</v>
      </c>
      <c r="L29" s="14">
        <f t="shared" si="5"/>
        <v>0.25153015021475739</v>
      </c>
      <c r="M29" s="79"/>
      <c r="N29" s="162"/>
    </row>
    <row r="30" spans="1:14" ht="14.25" thickBot="1" x14ac:dyDescent="0.35">
      <c r="B30" s="15" t="s">
        <v>274</v>
      </c>
      <c r="C30" s="16">
        <f>IF(ISERROR(D23/C22),0,D23/C22)</f>
        <v>0.17305588146198414</v>
      </c>
      <c r="D30" s="16">
        <f t="shared" ref="D30:J30" si="6">IF(ISERROR(E23/D22),0,E23/D22)</f>
        <v>0.41430515873078672</v>
      </c>
      <c r="E30" s="16">
        <f t="shared" si="6"/>
        <v>0.5478944088011235</v>
      </c>
      <c r="F30" s="16">
        <f t="shared" si="6"/>
        <v>9.7114053885742929E-2</v>
      </c>
      <c r="G30" s="16">
        <f t="shared" si="6"/>
        <v>7.8102292477685839E-2</v>
      </c>
      <c r="H30" s="16">
        <f t="shared" si="6"/>
        <v>0</v>
      </c>
      <c r="I30" s="16">
        <f t="shared" si="6"/>
        <v>5.4392385366974681E-2</v>
      </c>
      <c r="J30" s="16">
        <f t="shared" si="6"/>
        <v>1.7432593329298675E-2</v>
      </c>
      <c r="K30" s="16">
        <f>IF(ISERROR(L23/K22),0,L23/K22)</f>
        <v>0</v>
      </c>
      <c r="L30" s="16">
        <f t="shared" ref="L30:M30" si="7">IF(ISERROR(M23/L22),0,M23/L22)</f>
        <v>1.0559681875996254</v>
      </c>
      <c r="M30" s="16">
        <f t="shared" si="7"/>
        <v>0.98208734909729944</v>
      </c>
      <c r="N30" s="163"/>
    </row>
    <row r="31" spans="1:14" x14ac:dyDescent="0.3">
      <c r="B31" s="164"/>
      <c r="C31" s="164"/>
      <c r="D31" s="164"/>
      <c r="E31" s="164"/>
      <c r="F31" s="164"/>
      <c r="G31" s="164"/>
      <c r="H31" s="164"/>
      <c r="I31" s="164"/>
      <c r="J31" s="164"/>
      <c r="K31" s="164"/>
    </row>
    <row r="32" spans="1:14" x14ac:dyDescent="0.3">
      <c r="B32" s="157" t="s">
        <v>275</v>
      </c>
      <c r="C32" s="164"/>
      <c r="D32" s="164"/>
      <c r="E32" s="164"/>
      <c r="F32" s="164"/>
      <c r="G32" s="164"/>
      <c r="H32" s="164"/>
      <c r="I32" s="164"/>
      <c r="J32" s="164"/>
      <c r="K32" s="164"/>
    </row>
    <row r="33" spans="2:11" x14ac:dyDescent="0.3">
      <c r="B33" s="156" t="s">
        <v>276</v>
      </c>
      <c r="C33" s="164"/>
      <c r="D33" s="164"/>
      <c r="E33" s="164"/>
      <c r="F33" s="164"/>
      <c r="G33" s="164"/>
      <c r="H33" s="164"/>
      <c r="I33" s="164"/>
      <c r="J33" s="164"/>
      <c r="K33" s="164"/>
    </row>
    <row r="34" spans="2:11" ht="14.25" thickBot="1" x14ac:dyDescent="0.35">
      <c r="B34" s="164"/>
      <c r="C34" s="164"/>
      <c r="D34" s="164"/>
      <c r="E34" s="164"/>
      <c r="F34" s="164"/>
      <c r="G34" s="164"/>
      <c r="H34" s="164"/>
      <c r="I34" s="164"/>
      <c r="J34" s="164"/>
      <c r="K34" s="164"/>
    </row>
    <row r="35" spans="2:11" ht="54" x14ac:dyDescent="0.3">
      <c r="B35" s="170" t="s">
        <v>0</v>
      </c>
      <c r="C35" s="68" t="s">
        <v>277</v>
      </c>
      <c r="D35" s="69" t="s">
        <v>278</v>
      </c>
      <c r="E35" s="70" t="s">
        <v>279</v>
      </c>
      <c r="F35" s="71" t="s">
        <v>46</v>
      </c>
      <c r="G35" s="72" t="s">
        <v>280</v>
      </c>
      <c r="I35" s="164"/>
      <c r="J35" s="164"/>
      <c r="K35" s="164"/>
    </row>
    <row r="36" spans="2:11" ht="14.25" thickBot="1" x14ac:dyDescent="0.35">
      <c r="B36" s="171"/>
      <c r="C36" s="17" t="s">
        <v>74</v>
      </c>
      <c r="D36" s="18" t="s">
        <v>74</v>
      </c>
      <c r="E36" s="19" t="s">
        <v>74</v>
      </c>
      <c r="F36" s="62" t="s">
        <v>74</v>
      </c>
      <c r="G36" s="56" t="s">
        <v>74</v>
      </c>
      <c r="I36" s="164"/>
      <c r="J36" s="164"/>
      <c r="K36" s="164"/>
    </row>
    <row r="37" spans="2:11" x14ac:dyDescent="0.3">
      <c r="B37" s="20" t="s">
        <v>26</v>
      </c>
      <c r="C37" s="21">
        <f>N18</f>
        <v>7878825915</v>
      </c>
      <c r="D37" s="50">
        <f>C53</f>
        <v>0</v>
      </c>
      <c r="E37" s="51">
        <f>C37-D37</f>
        <v>7878825915</v>
      </c>
      <c r="F37" s="63">
        <f>AVERAGE(C26:N26)</f>
        <v>1.2451263910527662E-3</v>
      </c>
      <c r="G37" s="57">
        <f>ROUND(E37*F37,)</f>
        <v>9810134</v>
      </c>
      <c r="I37" s="164"/>
      <c r="J37" s="164"/>
      <c r="K37" s="164"/>
    </row>
    <row r="38" spans="2:11" x14ac:dyDescent="0.3">
      <c r="B38" s="22" t="s">
        <v>38</v>
      </c>
      <c r="C38" s="23">
        <f>N19</f>
        <v>1695855768</v>
      </c>
      <c r="D38" s="52">
        <f t="shared" ref="D38:D43" si="8">C54</f>
        <v>0</v>
      </c>
      <c r="E38" s="24">
        <f t="shared" ref="E38:E43" si="9">C38-D38</f>
        <v>1695855768</v>
      </c>
      <c r="F38" s="64">
        <f>AVERAGE(C27:N27)</f>
        <v>7.6395865392479027E-3</v>
      </c>
      <c r="G38" s="58">
        <f t="shared" ref="G38:G43" si="10">ROUND(E38*F38,)</f>
        <v>12955637</v>
      </c>
      <c r="I38" s="164"/>
      <c r="J38" s="164"/>
      <c r="K38" s="164"/>
    </row>
    <row r="39" spans="2:11" x14ac:dyDescent="0.3">
      <c r="B39" s="22" t="s">
        <v>28</v>
      </c>
      <c r="C39" s="23">
        <f t="shared" ref="C39:C41" si="11">N20</f>
        <v>633708016</v>
      </c>
      <c r="D39" s="52">
        <f t="shared" si="8"/>
        <v>0</v>
      </c>
      <c r="E39" s="24">
        <f t="shared" si="9"/>
        <v>633708016</v>
      </c>
      <c r="F39" s="64">
        <f>AVERAGE(C28:N28)</f>
        <v>4.374446130774954E-2</v>
      </c>
      <c r="G39" s="58">
        <f t="shared" si="10"/>
        <v>27721216</v>
      </c>
      <c r="I39" s="164"/>
      <c r="J39" s="164"/>
      <c r="K39" s="164"/>
    </row>
    <row r="40" spans="2:11" x14ac:dyDescent="0.3">
      <c r="B40" s="22" t="s">
        <v>29</v>
      </c>
      <c r="C40" s="23">
        <f t="shared" si="11"/>
        <v>273503838</v>
      </c>
      <c r="D40" s="52">
        <f t="shared" si="8"/>
        <v>0</v>
      </c>
      <c r="E40" s="24">
        <f t="shared" si="9"/>
        <v>273503838</v>
      </c>
      <c r="F40" s="64">
        <f>IF(AVERAGE(C29:N29)&gt;100%,100%,AVERAGE(C29:N29))</f>
        <v>0.10506114107629023</v>
      </c>
      <c r="G40" s="58">
        <f t="shared" si="10"/>
        <v>28734625</v>
      </c>
      <c r="I40" s="164"/>
      <c r="J40" s="164"/>
      <c r="K40" s="164"/>
    </row>
    <row r="41" spans="2:11" ht="14.25" thickBot="1" x14ac:dyDescent="0.35">
      <c r="B41" s="25" t="s">
        <v>31</v>
      </c>
      <c r="C41" s="23">
        <f t="shared" si="11"/>
        <v>77613140</v>
      </c>
      <c r="D41" s="53">
        <f t="shared" si="8"/>
        <v>0</v>
      </c>
      <c r="E41" s="26">
        <f t="shared" si="9"/>
        <v>77613140</v>
      </c>
      <c r="F41" s="65">
        <f>IF(AVERAGE(C30:N30)&gt;100%,100%,AVERAGE(C30:N30))</f>
        <v>0.3109411191591383</v>
      </c>
      <c r="G41" s="59">
        <f t="shared" si="10"/>
        <v>24133117</v>
      </c>
      <c r="I41" s="164"/>
      <c r="J41" s="164"/>
      <c r="K41" s="164"/>
    </row>
    <row r="42" spans="2:11" x14ac:dyDescent="0.3">
      <c r="B42" s="27" t="s">
        <v>33</v>
      </c>
      <c r="C42" s="28">
        <f>N23</f>
        <v>34980053</v>
      </c>
      <c r="D42" s="54">
        <f t="shared" si="8"/>
        <v>0</v>
      </c>
      <c r="E42" s="29">
        <f t="shared" si="9"/>
        <v>34980053</v>
      </c>
      <c r="F42" s="66">
        <v>1</v>
      </c>
      <c r="G42" s="60">
        <f t="shared" si="10"/>
        <v>34980053</v>
      </c>
      <c r="I42" s="164"/>
      <c r="J42" s="164"/>
      <c r="K42" s="164"/>
    </row>
    <row r="43" spans="2:11" ht="14.25" thickBot="1" x14ac:dyDescent="0.35">
      <c r="B43" s="30" t="s">
        <v>35</v>
      </c>
      <c r="C43" s="31">
        <f>N24</f>
        <v>562427025</v>
      </c>
      <c r="D43" s="55">
        <f t="shared" si="8"/>
        <v>119192371</v>
      </c>
      <c r="E43" s="32">
        <f t="shared" si="9"/>
        <v>443234654</v>
      </c>
      <c r="F43" s="67">
        <v>1</v>
      </c>
      <c r="G43" s="61">
        <f t="shared" si="10"/>
        <v>443234654</v>
      </c>
      <c r="I43" s="164"/>
      <c r="J43" s="164"/>
      <c r="K43" s="164"/>
    </row>
    <row r="44" spans="2:11" ht="14.25" thickBot="1" x14ac:dyDescent="0.35">
      <c r="B44" s="30" t="s">
        <v>281</v>
      </c>
      <c r="C44" s="31">
        <f>SUM(C37:C43)</f>
        <v>11156913755</v>
      </c>
      <c r="D44" s="55">
        <f>SUM(D37:D43)</f>
        <v>119192371</v>
      </c>
      <c r="E44" s="32">
        <f>SUM(E37:E43)</f>
        <v>11037721384</v>
      </c>
      <c r="F44" s="67"/>
      <c r="G44" s="61">
        <f>SUM(G37:G43)</f>
        <v>581569436</v>
      </c>
      <c r="H44" s="164"/>
      <c r="I44" s="164"/>
      <c r="J44" s="164"/>
      <c r="K44" s="164"/>
    </row>
    <row r="45" spans="2:11" ht="14.25" thickBot="1" x14ac:dyDescent="0.35">
      <c r="B45" s="164"/>
      <c r="E45" s="165"/>
      <c r="F45" s="166"/>
      <c r="G45" s="167"/>
      <c r="H45" s="164"/>
      <c r="I45" s="164"/>
      <c r="J45" s="164"/>
      <c r="K45" s="164"/>
    </row>
    <row r="46" spans="2:11" ht="14.25" thickBot="1" x14ac:dyDescent="0.35">
      <c r="G46" s="33">
        <f>G44</f>
        <v>581569436</v>
      </c>
      <c r="H46" s="156" t="s">
        <v>283</v>
      </c>
    </row>
    <row r="47" spans="2:11" x14ac:dyDescent="0.3">
      <c r="D47" s="165"/>
    </row>
    <row r="48" spans="2:11" x14ac:dyDescent="0.3">
      <c r="B48" s="157" t="s">
        <v>284</v>
      </c>
    </row>
    <row r="49" spans="2:6" x14ac:dyDescent="0.3">
      <c r="B49" s="156" t="s">
        <v>285</v>
      </c>
    </row>
    <row r="50" spans="2:6" ht="14.25" thickBot="1" x14ac:dyDescent="0.35"/>
    <row r="51" spans="2:6" ht="67.5" x14ac:dyDescent="0.3">
      <c r="B51" s="170" t="s">
        <v>0</v>
      </c>
      <c r="C51" s="68" t="s">
        <v>286</v>
      </c>
      <c r="D51" s="70" t="s">
        <v>287</v>
      </c>
    </row>
    <row r="52" spans="2:6" ht="14.25" thickBot="1" x14ac:dyDescent="0.35">
      <c r="B52" s="171"/>
      <c r="C52" s="17" t="s">
        <v>74</v>
      </c>
      <c r="D52" s="19" t="s">
        <v>74</v>
      </c>
    </row>
    <row r="53" spans="2:6" x14ac:dyDescent="0.3">
      <c r="B53" s="20" t="s">
        <v>26</v>
      </c>
      <c r="C53" s="34">
        <v>0</v>
      </c>
      <c r="D53" s="35">
        <v>0</v>
      </c>
    </row>
    <row r="54" spans="2:6" x14ac:dyDescent="0.3">
      <c r="B54" s="22" t="s">
        <v>38</v>
      </c>
      <c r="C54" s="36">
        <v>0</v>
      </c>
      <c r="D54" s="37">
        <v>0</v>
      </c>
    </row>
    <row r="55" spans="2:6" x14ac:dyDescent="0.3">
      <c r="B55" s="22" t="s">
        <v>28</v>
      </c>
      <c r="C55" s="36">
        <v>0</v>
      </c>
      <c r="D55" s="37">
        <v>0</v>
      </c>
    </row>
    <row r="56" spans="2:6" x14ac:dyDescent="0.3">
      <c r="B56" s="22" t="s">
        <v>29</v>
      </c>
      <c r="C56" s="36">
        <v>0</v>
      </c>
      <c r="D56" s="37">
        <v>0</v>
      </c>
    </row>
    <row r="57" spans="2:6" x14ac:dyDescent="0.3">
      <c r="B57" s="25" t="s">
        <v>31</v>
      </c>
      <c r="C57" s="38">
        <v>0</v>
      </c>
      <c r="D57" s="39">
        <v>0</v>
      </c>
    </row>
    <row r="58" spans="2:6" x14ac:dyDescent="0.3">
      <c r="B58" s="25" t="s">
        <v>33</v>
      </c>
      <c r="C58" s="38"/>
      <c r="D58" s="39"/>
    </row>
    <row r="59" spans="2:6" ht="14.25" thickBot="1" x14ac:dyDescent="0.35">
      <c r="B59" s="49" t="s">
        <v>35</v>
      </c>
      <c r="C59" s="40">
        <v>119192371</v>
      </c>
      <c r="D59" s="41">
        <v>119192371</v>
      </c>
    </row>
    <row r="60" spans="2:6" s="2" customFormat="1" ht="14.25" thickBot="1" x14ac:dyDescent="0.35">
      <c r="B60" s="46" t="s">
        <v>288</v>
      </c>
      <c r="C60" s="47">
        <f>SUM(C53:C59)</f>
        <v>119192371</v>
      </c>
      <c r="D60" s="48">
        <f>SUM(D53:D59)</f>
        <v>119192371</v>
      </c>
    </row>
    <row r="61" spans="2:6" ht="14.25" thickBot="1" x14ac:dyDescent="0.35"/>
    <row r="62" spans="2:6" ht="14.25" thickBot="1" x14ac:dyDescent="0.35">
      <c r="E62" s="33">
        <f>D60</f>
        <v>119192371</v>
      </c>
      <c r="F62" s="156" t="s">
        <v>289</v>
      </c>
    </row>
    <row r="64" spans="2:6" x14ac:dyDescent="0.3">
      <c r="B64" s="157" t="s">
        <v>290</v>
      </c>
    </row>
    <row r="65" spans="1:6" x14ac:dyDescent="0.3">
      <c r="B65" s="156" t="s">
        <v>20</v>
      </c>
    </row>
    <row r="66" spans="1:6" x14ac:dyDescent="0.3">
      <c r="B66" s="42" t="s">
        <v>291</v>
      </c>
      <c r="C66" s="42" t="s">
        <v>15</v>
      </c>
      <c r="D66" s="42" t="s">
        <v>292</v>
      </c>
      <c r="E66" s="42" t="s">
        <v>52</v>
      </c>
    </row>
    <row r="67" spans="1:6" x14ac:dyDescent="0.3">
      <c r="A67" s="156" t="s">
        <v>293</v>
      </c>
      <c r="B67" s="103" t="s">
        <v>294</v>
      </c>
      <c r="C67" s="43" t="s">
        <v>4</v>
      </c>
      <c r="D67" s="44">
        <v>11156913755</v>
      </c>
      <c r="E67" s="43"/>
    </row>
    <row r="68" spans="1:6" x14ac:dyDescent="0.3">
      <c r="A68" s="156" t="s">
        <v>295</v>
      </c>
      <c r="B68" s="43">
        <v>1110321</v>
      </c>
      <c r="C68" s="43" t="s">
        <v>13</v>
      </c>
      <c r="D68" s="44">
        <v>700761807</v>
      </c>
      <c r="E68" s="45">
        <f>D68-G46-E62</f>
        <v>0</v>
      </c>
      <c r="F68" s="156" t="s">
        <v>296</v>
      </c>
    </row>
    <row r="69" spans="1:6" x14ac:dyDescent="0.3">
      <c r="B69" s="43"/>
      <c r="C69" s="43" t="s">
        <v>297</v>
      </c>
      <c r="D69" s="45">
        <f>D67-D68</f>
        <v>10456151948</v>
      </c>
      <c r="E69" s="45">
        <f>D69-E44-C60+G46+E62</f>
        <v>0</v>
      </c>
      <c r="F69" s="156" t="s">
        <v>16</v>
      </c>
    </row>
    <row r="70" spans="1:6" x14ac:dyDescent="0.3">
      <c r="D70" s="165"/>
    </row>
    <row r="71" spans="1:6" x14ac:dyDescent="0.3">
      <c r="D71" s="165"/>
    </row>
    <row r="72" spans="1:6" x14ac:dyDescent="0.3">
      <c r="D72" s="165"/>
    </row>
  </sheetData>
  <mergeCells count="2">
    <mergeCell ref="B35:B36"/>
    <mergeCell ref="B51:B52"/>
  </mergeCells>
  <phoneticPr fontId="3" type="noConversion"/>
  <pageMargins left="0.70866141732283472" right="0.70866141732283472" top="0.74803149606299213" bottom="0.74803149606299213" header="0.31496062992125984" footer="0.31496062992125984"/>
  <pageSetup paperSize="9" scale="8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2060"/>
  </sheetPr>
  <dimension ref="A2:O67"/>
  <sheetViews>
    <sheetView topLeftCell="A28" zoomScale="85" zoomScaleNormal="85" workbookViewId="0">
      <selection activeCell="D63" sqref="D63"/>
    </sheetView>
  </sheetViews>
  <sheetFormatPr defaultColWidth="9" defaultRowHeight="13.5" x14ac:dyDescent="0.3"/>
  <cols>
    <col min="1" max="1" width="4.875" style="156" customWidth="1"/>
    <col min="2" max="2" width="62.25" style="156" customWidth="1"/>
    <col min="3" max="3" width="17.75" style="156" customWidth="1"/>
    <col min="4" max="4" width="19" style="156" bestFit="1" customWidth="1"/>
    <col min="5" max="5" width="16.875" style="156" customWidth="1"/>
    <col min="6" max="12" width="16" style="156" bestFit="1" customWidth="1"/>
    <col min="13" max="14" width="16" style="156" customWidth="1"/>
    <col min="15" max="15" width="14" style="156" customWidth="1"/>
    <col min="16" max="16384" width="9" style="156"/>
  </cols>
  <sheetData>
    <row r="2" spans="2:14" x14ac:dyDescent="0.3">
      <c r="B2" s="157" t="s">
        <v>251</v>
      </c>
    </row>
    <row r="3" spans="2:14" ht="14.25" thickBot="1" x14ac:dyDescent="0.35"/>
    <row r="4" spans="2:14" ht="14.25" thickBot="1" x14ac:dyDescent="0.35">
      <c r="C4" s="1"/>
      <c r="D4" s="156" t="s">
        <v>22</v>
      </c>
      <c r="E4" s="158"/>
      <c r="F4" s="156" t="s">
        <v>23</v>
      </c>
    </row>
    <row r="5" spans="2:14" s="2" customFormat="1" x14ac:dyDescent="0.3"/>
    <row r="6" spans="2:14" x14ac:dyDescent="0.3">
      <c r="B6" s="157" t="s">
        <v>298</v>
      </c>
    </row>
    <row r="7" spans="2:14" x14ac:dyDescent="0.3">
      <c r="B7" s="157"/>
    </row>
    <row r="8" spans="2:14" x14ac:dyDescent="0.3">
      <c r="B8" s="157" t="s">
        <v>66</v>
      </c>
    </row>
    <row r="9" spans="2:14" x14ac:dyDescent="0.3">
      <c r="B9" s="156" t="s">
        <v>299</v>
      </c>
    </row>
    <row r="10" spans="2:14" ht="14.25" thickBot="1" x14ac:dyDescent="0.35"/>
    <row r="11" spans="2:14" x14ac:dyDescent="0.3">
      <c r="B11" s="3" t="s">
        <v>0</v>
      </c>
      <c r="C11" s="4" t="s">
        <v>256</v>
      </c>
      <c r="D11" s="4" t="s">
        <v>1</v>
      </c>
      <c r="E11" s="4" t="s">
        <v>2</v>
      </c>
      <c r="F11" s="4" t="s">
        <v>36</v>
      </c>
      <c r="G11" s="4" t="s">
        <v>3</v>
      </c>
      <c r="H11" s="4" t="s">
        <v>70</v>
      </c>
      <c r="I11" s="4" t="s">
        <v>71</v>
      </c>
      <c r="J11" s="4" t="s">
        <v>72</v>
      </c>
      <c r="K11" s="4" t="s">
        <v>75</v>
      </c>
      <c r="L11" s="73" t="s">
        <v>76</v>
      </c>
      <c r="M11" s="4" t="s">
        <v>73</v>
      </c>
      <c r="N11" s="80" t="s">
        <v>74</v>
      </c>
    </row>
    <row r="12" spans="2:14" x14ac:dyDescent="0.3">
      <c r="B12" s="5" t="s">
        <v>91</v>
      </c>
      <c r="C12" s="6">
        <v>8357078555</v>
      </c>
      <c r="D12" s="6">
        <v>6629898597.9020004</v>
      </c>
      <c r="E12" s="6">
        <v>8088933456</v>
      </c>
      <c r="F12" s="6">
        <v>8285594445</v>
      </c>
      <c r="G12" s="6">
        <v>8444037996</v>
      </c>
      <c r="H12" s="6">
        <v>8408662571</v>
      </c>
      <c r="I12" s="6">
        <v>7930471712</v>
      </c>
      <c r="J12" s="6">
        <v>8422864390</v>
      </c>
      <c r="K12" s="6">
        <v>7484645852</v>
      </c>
      <c r="L12" s="74">
        <v>7599457573</v>
      </c>
      <c r="M12" s="6">
        <v>7351579284</v>
      </c>
      <c r="N12" s="81">
        <v>7878825915</v>
      </c>
    </row>
    <row r="13" spans="2:14" x14ac:dyDescent="0.3">
      <c r="B13" s="7" t="s">
        <v>300</v>
      </c>
      <c r="C13" s="6">
        <v>2222181958</v>
      </c>
      <c r="D13" s="6">
        <v>1326148332</v>
      </c>
      <c r="E13" s="6">
        <v>1109590670</v>
      </c>
      <c r="F13" s="6">
        <v>1368971919</v>
      </c>
      <c r="G13" s="6">
        <v>1283151195</v>
      </c>
      <c r="H13" s="6">
        <v>1295326842</v>
      </c>
      <c r="I13" s="6">
        <v>1918321221</v>
      </c>
      <c r="J13" s="6">
        <v>2109557133</v>
      </c>
      <c r="K13" s="6">
        <v>2258274420</v>
      </c>
      <c r="L13" s="74">
        <v>1943018127</v>
      </c>
      <c r="M13" s="6">
        <v>2096960755</v>
      </c>
      <c r="N13" s="81">
        <v>1695855768</v>
      </c>
    </row>
    <row r="14" spans="2:14" x14ac:dyDescent="0.3">
      <c r="B14" s="7" t="s">
        <v>301</v>
      </c>
      <c r="C14" s="6">
        <v>1169059229</v>
      </c>
      <c r="D14" s="6">
        <v>864098434</v>
      </c>
      <c r="E14" s="6">
        <v>700538386</v>
      </c>
      <c r="F14" s="6">
        <v>282972718</v>
      </c>
      <c r="G14" s="6">
        <v>438893540</v>
      </c>
      <c r="H14" s="6">
        <v>400074558</v>
      </c>
      <c r="I14" s="6">
        <v>646626532</v>
      </c>
      <c r="J14" s="6">
        <v>419338042</v>
      </c>
      <c r="K14" s="6">
        <v>904477364</v>
      </c>
      <c r="L14" s="74">
        <v>753893940</v>
      </c>
      <c r="M14" s="6">
        <v>979650983</v>
      </c>
      <c r="N14" s="81">
        <v>633708016</v>
      </c>
    </row>
    <row r="15" spans="2:14" x14ac:dyDescent="0.3">
      <c r="B15" s="7" t="s">
        <v>263</v>
      </c>
      <c r="C15" s="6">
        <v>802049212</v>
      </c>
      <c r="D15" s="6">
        <v>519794684</v>
      </c>
      <c r="E15" s="6">
        <v>564542316</v>
      </c>
      <c r="F15" s="6">
        <v>291281441</v>
      </c>
      <c r="G15" s="6">
        <v>240517439</v>
      </c>
      <c r="H15" s="6">
        <v>232760997</v>
      </c>
      <c r="I15" s="6">
        <v>170550445</v>
      </c>
      <c r="J15" s="6">
        <v>440669315</v>
      </c>
      <c r="K15" s="6">
        <v>164002785</v>
      </c>
      <c r="L15" s="74">
        <v>139069026</v>
      </c>
      <c r="M15" s="6">
        <v>446127690</v>
      </c>
      <c r="N15" s="81">
        <v>273503838</v>
      </c>
    </row>
    <row r="16" spans="2:14" x14ac:dyDescent="0.3">
      <c r="B16" s="7" t="s">
        <v>302</v>
      </c>
      <c r="C16" s="6">
        <v>283492243</v>
      </c>
      <c r="D16" s="6">
        <v>54974937</v>
      </c>
      <c r="E16" s="6">
        <v>469950910</v>
      </c>
      <c r="F16" s="6">
        <v>514645368</v>
      </c>
      <c r="G16" s="6">
        <v>111703072</v>
      </c>
      <c r="H16" s="6">
        <v>13356968</v>
      </c>
      <c r="I16" s="6">
        <v>90387652</v>
      </c>
      <c r="J16" s="6">
        <v>55818029</v>
      </c>
      <c r="K16" s="6">
        <v>52492007</v>
      </c>
      <c r="L16" s="74">
        <v>20193132</v>
      </c>
      <c r="M16" s="6">
        <v>35618067</v>
      </c>
      <c r="N16" s="81">
        <v>77613140</v>
      </c>
    </row>
    <row r="17" spans="2:15" x14ac:dyDescent="0.3">
      <c r="B17" s="7" t="s">
        <v>303</v>
      </c>
      <c r="C17" s="6"/>
      <c r="D17" s="6">
        <v>49060000</v>
      </c>
      <c r="E17" s="6">
        <v>22776400</v>
      </c>
      <c r="F17" s="6">
        <v>257483476</v>
      </c>
      <c r="G17" s="6">
        <v>49979298</v>
      </c>
      <c r="H17" s="6">
        <v>8724266</v>
      </c>
      <c r="I17" s="6"/>
      <c r="J17" s="6">
        <v>4916400</v>
      </c>
      <c r="K17" s="6">
        <v>973053</v>
      </c>
      <c r="L17" s="74"/>
      <c r="M17" s="6">
        <v>21323305</v>
      </c>
      <c r="N17" s="81">
        <v>34980053</v>
      </c>
    </row>
    <row r="18" spans="2:15" ht="14.25" thickBot="1" x14ac:dyDescent="0.35">
      <c r="B18" s="8" t="s">
        <v>304</v>
      </c>
      <c r="C18" s="9">
        <v>986728743</v>
      </c>
      <c r="D18" s="9">
        <v>981621756</v>
      </c>
      <c r="E18" s="9">
        <v>1030681756</v>
      </c>
      <c r="F18" s="9">
        <v>1053458156</v>
      </c>
      <c r="G18" s="9">
        <v>1068250623</v>
      </c>
      <c r="H18" s="9">
        <v>1100991875</v>
      </c>
      <c r="I18" s="9">
        <v>1069297917</v>
      </c>
      <c r="J18" s="9">
        <v>1065272465</v>
      </c>
      <c r="K18" s="9">
        <v>1038447205</v>
      </c>
      <c r="L18" s="75">
        <v>1013020848</v>
      </c>
      <c r="M18" s="9">
        <v>541485676</v>
      </c>
      <c r="N18" s="82">
        <v>562427025</v>
      </c>
    </row>
    <row r="19" spans="2:15" x14ac:dyDescent="0.3">
      <c r="B19" s="159"/>
      <c r="C19" s="160"/>
      <c r="D19" s="160"/>
      <c r="E19" s="160"/>
      <c r="F19" s="160"/>
      <c r="G19" s="160"/>
      <c r="H19" s="160"/>
      <c r="I19" s="160"/>
      <c r="J19" s="160"/>
      <c r="K19" s="160"/>
      <c r="L19" s="160"/>
      <c r="M19" s="160"/>
      <c r="N19" s="160"/>
    </row>
    <row r="20" spans="2:15" ht="14.25" thickBot="1" x14ac:dyDescent="0.35">
      <c r="B20" s="164"/>
      <c r="C20" s="164"/>
      <c r="D20" s="164"/>
      <c r="E20" s="164"/>
      <c r="F20" s="164"/>
      <c r="G20" s="164"/>
      <c r="H20" s="164"/>
      <c r="I20" s="164"/>
      <c r="J20" s="164"/>
      <c r="K20" s="164"/>
    </row>
    <row r="21" spans="2:15" x14ac:dyDescent="0.3">
      <c r="B21" s="10" t="s">
        <v>305</v>
      </c>
      <c r="C21" s="11">
        <f>IF(IFERROR(D13/C12,0)&gt;1,1,IFERROR(D13/C12,0))</f>
        <v>0.15868563676556227</v>
      </c>
      <c r="D21" s="11">
        <f>IF(IFERROR(E13/D12,0)&gt;1,1,IFERROR(E13/D12,0))</f>
        <v>0.16736163511627836</v>
      </c>
      <c r="E21" s="11">
        <f t="shared" ref="E21:M21" si="0">IF(IFERROR(F13/E12,0)&gt;1,1,IFERROR(F13/E12,0))</f>
        <v>0.16924010148514196</v>
      </c>
      <c r="F21" s="11">
        <f t="shared" si="0"/>
        <v>0.15486531515844668</v>
      </c>
      <c r="G21" s="11">
        <f t="shared" si="0"/>
        <v>0.15340135165351049</v>
      </c>
      <c r="H21" s="11">
        <f t="shared" si="0"/>
        <v>0.22813630643426613</v>
      </c>
      <c r="I21" s="11">
        <f t="shared" si="0"/>
        <v>0.2660065138127814</v>
      </c>
      <c r="J21" s="11">
        <f t="shared" si="0"/>
        <v>0.26811240397994818</v>
      </c>
      <c r="K21" s="11">
        <f t="shared" si="0"/>
        <v>0.25960054295432011</v>
      </c>
      <c r="L21" s="11">
        <f t="shared" si="0"/>
        <v>0.27593558288294956</v>
      </c>
      <c r="M21" s="83">
        <f t="shared" si="0"/>
        <v>0.23067911022749435</v>
      </c>
      <c r="N21" s="84">
        <f>AVERAGE(C21:M21)</f>
        <v>0.21200222731551815</v>
      </c>
      <c r="O21" s="172" t="s">
        <v>58</v>
      </c>
    </row>
    <row r="22" spans="2:15" x14ac:dyDescent="0.3">
      <c r="B22" s="13" t="s">
        <v>61</v>
      </c>
      <c r="C22" s="14">
        <f>IF(IFERROR(D14/C13,0)&gt;1,1,IFERROR(D14/C13,0))</f>
        <v>0.38885134085855988</v>
      </c>
      <c r="D22" s="14">
        <f t="shared" ref="D22:M22" si="1">IF(IFERROR(E14/D13,0)&gt;1,1,IFERROR(E14/D13,0))</f>
        <v>0.5282503993678439</v>
      </c>
      <c r="E22" s="14">
        <f t="shared" si="1"/>
        <v>0.25502442085242116</v>
      </c>
      <c r="F22" s="14">
        <f t="shared" si="1"/>
        <v>0.32060083476409129</v>
      </c>
      <c r="G22" s="14">
        <f t="shared" si="1"/>
        <v>0.31179066002428496</v>
      </c>
      <c r="H22" s="14">
        <f t="shared" si="1"/>
        <v>0.49919951554589959</v>
      </c>
      <c r="I22" s="14">
        <f t="shared" si="1"/>
        <v>0.21859636301234453</v>
      </c>
      <c r="J22" s="14">
        <f t="shared" si="1"/>
        <v>0.42875224844645154</v>
      </c>
      <c r="K22" s="14">
        <f t="shared" si="1"/>
        <v>0.33383628372321555</v>
      </c>
      <c r="L22" s="14">
        <f t="shared" si="1"/>
        <v>0.50419034665032747</v>
      </c>
      <c r="M22" s="85">
        <f t="shared" si="1"/>
        <v>0.30220308820228731</v>
      </c>
      <c r="N22" s="86">
        <f t="shared" ref="N22:N25" si="2">AVERAGE(C22:M22)</f>
        <v>0.37193595467706614</v>
      </c>
      <c r="O22" s="172"/>
    </row>
    <row r="23" spans="2:15" x14ac:dyDescent="0.3">
      <c r="B23" s="13" t="s">
        <v>306</v>
      </c>
      <c r="C23" s="14">
        <f t="shared" ref="C23:M25" si="3">IF(IFERROR(D15/C14,0)&gt;1,1,IFERROR(D15/C14,0))</f>
        <v>0.44462647495168101</v>
      </c>
      <c r="D23" s="14">
        <f t="shared" si="3"/>
        <v>0.65333102547897914</v>
      </c>
      <c r="E23" s="14">
        <f t="shared" si="3"/>
        <v>0.41579654565852725</v>
      </c>
      <c r="F23" s="14">
        <f t="shared" si="3"/>
        <v>0.84996688267312048</v>
      </c>
      <c r="G23" s="14">
        <f t="shared" si="3"/>
        <v>0.53033589193406672</v>
      </c>
      <c r="H23" s="14">
        <f t="shared" si="3"/>
        <v>0.42629665293537611</v>
      </c>
      <c r="I23" s="14">
        <f t="shared" si="3"/>
        <v>0.6814896902498272</v>
      </c>
      <c r="J23" s="14">
        <f t="shared" si="3"/>
        <v>0.39109922919895734</v>
      </c>
      <c r="K23" s="14">
        <f t="shared" si="3"/>
        <v>0.15375622600987501</v>
      </c>
      <c r="L23" s="14">
        <f t="shared" si="3"/>
        <v>0.59176452592257212</v>
      </c>
      <c r="M23" s="85">
        <f t="shared" si="3"/>
        <v>0.27918497786063062</v>
      </c>
      <c r="N23" s="86">
        <f t="shared" si="2"/>
        <v>0.49251346571578303</v>
      </c>
      <c r="O23" s="172"/>
    </row>
    <row r="24" spans="2:15" x14ac:dyDescent="0.3">
      <c r="B24" s="13" t="s">
        <v>63</v>
      </c>
      <c r="C24" s="14">
        <f t="shared" si="3"/>
        <v>6.8543097078686485E-2</v>
      </c>
      <c r="D24" s="14">
        <f t="shared" si="3"/>
        <v>0.90410872689879218</v>
      </c>
      <c r="E24" s="14">
        <f t="shared" si="3"/>
        <v>0.91161522070915935</v>
      </c>
      <c r="F24" s="14">
        <f t="shared" si="3"/>
        <v>0.38348846262402281</v>
      </c>
      <c r="G24" s="14">
        <f t="shared" si="3"/>
        <v>5.5534301610454119E-2</v>
      </c>
      <c r="H24" s="14">
        <f t="shared" si="3"/>
        <v>0.38832816994678881</v>
      </c>
      <c r="I24" s="14">
        <f t="shared" si="3"/>
        <v>0.32728163799279447</v>
      </c>
      <c r="J24" s="14">
        <f t="shared" si="3"/>
        <v>0.11911881588578502</v>
      </c>
      <c r="K24" s="14">
        <f t="shared" si="3"/>
        <v>0.12312676275588856</v>
      </c>
      <c r="L24" s="14">
        <f t="shared" si="3"/>
        <v>0.25611790076102209</v>
      </c>
      <c r="M24" s="87">
        <f t="shared" si="3"/>
        <v>0.17397068538830218</v>
      </c>
      <c r="N24" s="86">
        <f t="shared" si="2"/>
        <v>0.33738488924106325</v>
      </c>
      <c r="O24" s="172"/>
    </row>
    <row r="25" spans="2:15" ht="14.25" thickBot="1" x14ac:dyDescent="0.35">
      <c r="B25" s="15" t="s">
        <v>307</v>
      </c>
      <c r="C25" s="16">
        <f t="shared" si="3"/>
        <v>0.17305588146198414</v>
      </c>
      <c r="D25" s="16">
        <f t="shared" si="3"/>
        <v>0.41430515873078672</v>
      </c>
      <c r="E25" s="16">
        <f t="shared" si="3"/>
        <v>0.5478944088011235</v>
      </c>
      <c r="F25" s="16">
        <f t="shared" si="3"/>
        <v>9.7114053885742929E-2</v>
      </c>
      <c r="G25" s="16">
        <f t="shared" si="3"/>
        <v>7.8102292477685839E-2</v>
      </c>
      <c r="H25" s="16">
        <f t="shared" si="3"/>
        <v>0</v>
      </c>
      <c r="I25" s="16">
        <f t="shared" si="3"/>
        <v>5.4392385366974681E-2</v>
      </c>
      <c r="J25" s="16">
        <f t="shared" si="3"/>
        <v>1.7432593329298675E-2</v>
      </c>
      <c r="K25" s="16">
        <f t="shared" si="3"/>
        <v>0</v>
      </c>
      <c r="L25" s="16">
        <f t="shared" si="3"/>
        <v>1</v>
      </c>
      <c r="M25" s="88">
        <f t="shared" si="3"/>
        <v>0.98208734909729944</v>
      </c>
      <c r="N25" s="89">
        <f t="shared" si="2"/>
        <v>0.30585310210462691</v>
      </c>
      <c r="O25" s="172"/>
    </row>
    <row r="26" spans="2:15" x14ac:dyDescent="0.3">
      <c r="B26" s="164"/>
      <c r="C26" s="164"/>
      <c r="D26" s="164"/>
      <c r="E26" s="164"/>
      <c r="F26" s="164"/>
      <c r="G26" s="164"/>
      <c r="H26" s="164"/>
      <c r="I26" s="164"/>
      <c r="J26" s="164"/>
      <c r="K26" s="164"/>
    </row>
    <row r="27" spans="2:15" x14ac:dyDescent="0.3">
      <c r="B27" s="157" t="s">
        <v>40</v>
      </c>
      <c r="C27" s="164"/>
      <c r="D27" s="164"/>
      <c r="E27" s="164"/>
      <c r="F27" s="164"/>
      <c r="G27" s="164"/>
      <c r="H27" s="164"/>
      <c r="I27" s="164"/>
      <c r="J27" s="164"/>
      <c r="K27" s="164"/>
    </row>
    <row r="28" spans="2:15" x14ac:dyDescent="0.3">
      <c r="B28" s="156" t="s">
        <v>308</v>
      </c>
      <c r="C28" s="164"/>
      <c r="D28" s="164"/>
      <c r="E28" s="164"/>
      <c r="F28" s="164"/>
      <c r="G28" s="164"/>
      <c r="H28" s="164"/>
      <c r="I28" s="164"/>
      <c r="J28" s="164"/>
      <c r="K28" s="164"/>
    </row>
    <row r="29" spans="2:15" x14ac:dyDescent="0.3">
      <c r="B29" s="164"/>
      <c r="C29" s="164"/>
      <c r="D29" s="164"/>
      <c r="E29" s="164"/>
      <c r="F29" s="164"/>
      <c r="G29" s="164"/>
      <c r="H29" s="164"/>
      <c r="I29" s="164"/>
      <c r="J29" s="164"/>
      <c r="K29" s="164"/>
    </row>
    <row r="30" spans="2:15" ht="14.25" thickBot="1" x14ac:dyDescent="0.35">
      <c r="D30" s="165"/>
    </row>
    <row r="31" spans="2:15" ht="54" x14ac:dyDescent="0.3">
      <c r="B31" s="170" t="s">
        <v>0</v>
      </c>
      <c r="C31" s="68" t="s">
        <v>94</v>
      </c>
      <c r="D31" s="69" t="s">
        <v>278</v>
      </c>
      <c r="E31" s="70" t="s">
        <v>45</v>
      </c>
      <c r="F31" s="71" t="s">
        <v>309</v>
      </c>
      <c r="G31" s="72" t="s">
        <v>47</v>
      </c>
      <c r="I31" s="164"/>
      <c r="J31" s="164"/>
      <c r="K31" s="164"/>
    </row>
    <row r="32" spans="2:15" ht="14.25" thickBot="1" x14ac:dyDescent="0.35">
      <c r="B32" s="171"/>
      <c r="C32" s="90" t="s">
        <v>74</v>
      </c>
      <c r="D32" s="91" t="s">
        <v>74</v>
      </c>
      <c r="E32" s="92" t="s">
        <v>74</v>
      </c>
      <c r="F32" s="93" t="s">
        <v>74</v>
      </c>
      <c r="G32" s="56" t="s">
        <v>74</v>
      </c>
      <c r="I32" s="164"/>
      <c r="J32" s="164"/>
      <c r="K32" s="164"/>
    </row>
    <row r="33" spans="2:11" x14ac:dyDescent="0.3">
      <c r="B33" s="20" t="s">
        <v>26</v>
      </c>
      <c r="C33" s="94">
        <f t="shared" ref="C33:C39" si="4">N12</f>
        <v>7878825915</v>
      </c>
      <c r="D33" s="50">
        <f>C48</f>
        <v>0</v>
      </c>
      <c r="E33" s="95">
        <f>C33-D33</f>
        <v>7878825915</v>
      </c>
      <c r="F33" s="63">
        <f>PRODUCT(N21:$N$25)</f>
        <v>4.0074232459511852E-3</v>
      </c>
      <c r="G33" s="57">
        <f>ROUND(E33*F33,)</f>
        <v>31573790</v>
      </c>
      <c r="I33" s="164"/>
      <c r="J33" s="164"/>
      <c r="K33" s="164"/>
    </row>
    <row r="34" spans="2:11" x14ac:dyDescent="0.3">
      <c r="B34" s="22" t="s">
        <v>38</v>
      </c>
      <c r="C34" s="96">
        <f t="shared" si="4"/>
        <v>1695855768</v>
      </c>
      <c r="D34" s="52">
        <f t="shared" ref="D34:D39" si="5">C49</f>
        <v>0</v>
      </c>
      <c r="E34" s="97">
        <f t="shared" ref="E34:E39" si="6">C34-D34</f>
        <v>1695855768</v>
      </c>
      <c r="F34" s="64">
        <f>PRODUCT(N22:$N$25)</f>
        <v>1.8902741243312635E-2</v>
      </c>
      <c r="G34" s="58">
        <f t="shared" ref="G34:G39" si="7">ROUND(E34*F34,)</f>
        <v>32056323</v>
      </c>
      <c r="I34" s="164"/>
      <c r="J34" s="164"/>
      <c r="K34" s="164"/>
    </row>
    <row r="35" spans="2:11" x14ac:dyDescent="0.3">
      <c r="B35" s="22" t="s">
        <v>28</v>
      </c>
      <c r="C35" s="96">
        <f t="shared" si="4"/>
        <v>633708016</v>
      </c>
      <c r="D35" s="52">
        <f t="shared" si="5"/>
        <v>0</v>
      </c>
      <c r="E35" s="97">
        <f t="shared" si="6"/>
        <v>633708016</v>
      </c>
      <c r="F35" s="64">
        <f>PRODUCT(N23:$N$25)</f>
        <v>5.082257040657702E-2</v>
      </c>
      <c r="G35" s="58">
        <f t="shared" si="7"/>
        <v>32206670</v>
      </c>
      <c r="I35" s="164"/>
      <c r="J35" s="164"/>
      <c r="K35" s="164"/>
    </row>
    <row r="36" spans="2:11" x14ac:dyDescent="0.3">
      <c r="B36" s="22" t="s">
        <v>29</v>
      </c>
      <c r="C36" s="96">
        <f t="shared" si="4"/>
        <v>273503838</v>
      </c>
      <c r="D36" s="52">
        <f t="shared" si="5"/>
        <v>0</v>
      </c>
      <c r="E36" s="97">
        <f t="shared" si="6"/>
        <v>273503838</v>
      </c>
      <c r="F36" s="64">
        <f>PRODUCT(N24:$N$25)</f>
        <v>0.10319021497760515</v>
      </c>
      <c r="G36" s="58">
        <f t="shared" si="7"/>
        <v>28222920</v>
      </c>
      <c r="I36" s="164"/>
      <c r="J36" s="164"/>
      <c r="K36" s="164"/>
    </row>
    <row r="37" spans="2:11" ht="14.25" thickBot="1" x14ac:dyDescent="0.35">
      <c r="B37" s="25" t="s">
        <v>31</v>
      </c>
      <c r="C37" s="98">
        <f t="shared" si="4"/>
        <v>77613140</v>
      </c>
      <c r="D37" s="55">
        <f t="shared" si="5"/>
        <v>0</v>
      </c>
      <c r="E37" s="99">
        <f t="shared" si="6"/>
        <v>77613140</v>
      </c>
      <c r="F37" s="67">
        <f>PRODUCT(N25:$N$25)</f>
        <v>0.30585310210462691</v>
      </c>
      <c r="G37" s="59">
        <f t="shared" si="7"/>
        <v>23738220</v>
      </c>
      <c r="I37" s="164"/>
      <c r="J37" s="164"/>
      <c r="K37" s="164"/>
    </row>
    <row r="38" spans="2:11" x14ac:dyDescent="0.3">
      <c r="B38" s="27" t="s">
        <v>33</v>
      </c>
      <c r="C38" s="94">
        <f t="shared" si="4"/>
        <v>34980053</v>
      </c>
      <c r="D38" s="50">
        <f t="shared" si="5"/>
        <v>0</v>
      </c>
      <c r="E38" s="29">
        <f t="shared" si="6"/>
        <v>34980053</v>
      </c>
      <c r="F38" s="100">
        <v>1</v>
      </c>
      <c r="G38" s="60">
        <f t="shared" si="7"/>
        <v>34980053</v>
      </c>
      <c r="I38" s="164"/>
      <c r="J38" s="164"/>
      <c r="K38" s="164"/>
    </row>
    <row r="39" spans="2:11" ht="14.25" thickBot="1" x14ac:dyDescent="0.35">
      <c r="B39" s="30" t="s">
        <v>35</v>
      </c>
      <c r="C39" s="98">
        <f t="shared" si="4"/>
        <v>562427025</v>
      </c>
      <c r="D39" s="55">
        <f t="shared" si="5"/>
        <v>119192371</v>
      </c>
      <c r="E39" s="32">
        <f t="shared" si="6"/>
        <v>443234654</v>
      </c>
      <c r="F39" s="67">
        <v>1</v>
      </c>
      <c r="G39" s="61">
        <f t="shared" si="7"/>
        <v>443234654</v>
      </c>
      <c r="I39" s="164"/>
      <c r="J39" s="164"/>
      <c r="K39" s="164"/>
    </row>
    <row r="40" spans="2:11" ht="14.25" thickBot="1" x14ac:dyDescent="0.35">
      <c r="B40" s="30" t="s">
        <v>310</v>
      </c>
      <c r="C40" s="101">
        <f>SUM(C33:C39)</f>
        <v>11156913755</v>
      </c>
      <c r="D40" s="101">
        <f>SUM(D33:D39)</f>
        <v>119192371</v>
      </c>
      <c r="E40" s="102">
        <f>SUM(E33:E39)</f>
        <v>11037721384</v>
      </c>
      <c r="F40" s="67"/>
      <c r="G40" s="61">
        <f>SUM(G33:G39)</f>
        <v>626012630</v>
      </c>
      <c r="H40" s="164"/>
      <c r="I40" s="164"/>
      <c r="J40" s="164"/>
      <c r="K40" s="164"/>
    </row>
    <row r="41" spans="2:11" ht="14.25" thickBot="1" x14ac:dyDescent="0.35">
      <c r="B41" s="164"/>
      <c r="E41" s="165"/>
      <c r="F41" s="166"/>
      <c r="G41" s="167"/>
      <c r="H41" s="164"/>
      <c r="I41" s="164"/>
      <c r="J41" s="164"/>
      <c r="K41" s="164"/>
    </row>
    <row r="42" spans="2:11" ht="14.25" thickBot="1" x14ac:dyDescent="0.35">
      <c r="G42" s="33">
        <f>G40</f>
        <v>626012630</v>
      </c>
      <c r="H42" s="156" t="s">
        <v>282</v>
      </c>
    </row>
    <row r="43" spans="2:11" x14ac:dyDescent="0.3">
      <c r="B43" s="157" t="s">
        <v>48</v>
      </c>
    </row>
    <row r="44" spans="2:11" x14ac:dyDescent="0.3">
      <c r="B44" s="156" t="s">
        <v>49</v>
      </c>
    </row>
    <row r="45" spans="2:11" ht="14.25" thickBot="1" x14ac:dyDescent="0.35"/>
    <row r="46" spans="2:11" ht="67.5" x14ac:dyDescent="0.3">
      <c r="B46" s="170" t="s">
        <v>0</v>
      </c>
      <c r="C46" s="68" t="s">
        <v>95</v>
      </c>
      <c r="D46" s="70" t="s">
        <v>311</v>
      </c>
    </row>
    <row r="47" spans="2:11" ht="14.25" thickBot="1" x14ac:dyDescent="0.35">
      <c r="B47" s="171"/>
      <c r="C47" s="17" t="s">
        <v>74</v>
      </c>
      <c r="D47" s="19" t="s">
        <v>74</v>
      </c>
    </row>
    <row r="48" spans="2:11" x14ac:dyDescent="0.3">
      <c r="B48" s="20" t="s">
        <v>26</v>
      </c>
      <c r="C48" s="34">
        <v>0</v>
      </c>
      <c r="D48" s="35">
        <v>0</v>
      </c>
    </row>
    <row r="49" spans="1:6" x14ac:dyDescent="0.3">
      <c r="B49" s="22" t="s">
        <v>38</v>
      </c>
      <c r="C49" s="36">
        <v>0</v>
      </c>
      <c r="D49" s="37">
        <v>0</v>
      </c>
    </row>
    <row r="50" spans="1:6" x14ac:dyDescent="0.3">
      <c r="B50" s="22" t="s">
        <v>28</v>
      </c>
      <c r="C50" s="36">
        <v>0</v>
      </c>
      <c r="D50" s="37">
        <v>0</v>
      </c>
    </row>
    <row r="51" spans="1:6" x14ac:dyDescent="0.3">
      <c r="B51" s="22" t="s">
        <v>29</v>
      </c>
      <c r="C51" s="36">
        <v>0</v>
      </c>
      <c r="D51" s="37">
        <v>0</v>
      </c>
    </row>
    <row r="52" spans="1:6" x14ac:dyDescent="0.3">
      <c r="B52" s="25" t="s">
        <v>31</v>
      </c>
      <c r="C52" s="38">
        <v>0</v>
      </c>
      <c r="D52" s="39">
        <v>0</v>
      </c>
    </row>
    <row r="53" spans="1:6" x14ac:dyDescent="0.3">
      <c r="B53" s="25" t="s">
        <v>33</v>
      </c>
      <c r="C53" s="38"/>
      <c r="D53" s="39"/>
    </row>
    <row r="54" spans="1:6" ht="14.25" thickBot="1" x14ac:dyDescent="0.35">
      <c r="B54" s="49" t="s">
        <v>35</v>
      </c>
      <c r="C54" s="40">
        <v>119192371</v>
      </c>
      <c r="D54" s="41">
        <v>119192371</v>
      </c>
    </row>
    <row r="55" spans="1:6" s="2" customFormat="1" ht="14.25" thickBot="1" x14ac:dyDescent="0.35">
      <c r="B55" s="46" t="s">
        <v>288</v>
      </c>
      <c r="C55" s="47">
        <f>SUM(C48:C54)</f>
        <v>119192371</v>
      </c>
      <c r="D55" s="48">
        <f>SUM(D48:D54)</f>
        <v>119192371</v>
      </c>
    </row>
    <row r="56" spans="1:6" ht="14.25" thickBot="1" x14ac:dyDescent="0.35"/>
    <row r="57" spans="1:6" ht="14.25" thickBot="1" x14ac:dyDescent="0.35">
      <c r="E57" s="33">
        <f>D55</f>
        <v>119192371</v>
      </c>
      <c r="F57" s="156" t="s">
        <v>289</v>
      </c>
    </row>
    <row r="59" spans="1:6" x14ac:dyDescent="0.3">
      <c r="B59" s="157" t="s">
        <v>12</v>
      </c>
    </row>
    <row r="60" spans="1:6" x14ac:dyDescent="0.3">
      <c r="B60" s="156" t="s">
        <v>20</v>
      </c>
    </row>
    <row r="61" spans="1:6" x14ac:dyDescent="0.3">
      <c r="B61" s="42" t="s">
        <v>312</v>
      </c>
      <c r="C61" s="42" t="s">
        <v>15</v>
      </c>
      <c r="D61" s="42" t="s">
        <v>98</v>
      </c>
      <c r="E61" s="42" t="s">
        <v>52</v>
      </c>
    </row>
    <row r="62" spans="1:6" x14ac:dyDescent="0.3">
      <c r="A62" s="156" t="s">
        <v>18</v>
      </c>
      <c r="B62" s="103" t="s">
        <v>294</v>
      </c>
      <c r="C62" s="43" t="s">
        <v>4</v>
      </c>
      <c r="D62" s="44">
        <v>11156913755</v>
      </c>
      <c r="E62" s="43"/>
    </row>
    <row r="63" spans="1:6" x14ac:dyDescent="0.3">
      <c r="A63" s="156" t="s">
        <v>19</v>
      </c>
      <c r="B63" s="43">
        <v>1110321</v>
      </c>
      <c r="C63" s="43" t="s">
        <v>13</v>
      </c>
      <c r="D63" s="44">
        <v>745205001</v>
      </c>
      <c r="E63" s="45">
        <f>D63-G42-E57</f>
        <v>0</v>
      </c>
      <c r="F63" s="156" t="s">
        <v>16</v>
      </c>
    </row>
    <row r="64" spans="1:6" x14ac:dyDescent="0.3">
      <c r="B64" s="43"/>
      <c r="C64" s="43" t="s">
        <v>109</v>
      </c>
      <c r="D64" s="45">
        <f>D62-D63</f>
        <v>10411708754</v>
      </c>
      <c r="E64" s="45">
        <f>D64-E40-C55+G42+E57</f>
        <v>0</v>
      </c>
      <c r="F64" s="156" t="s">
        <v>16</v>
      </c>
    </row>
    <row r="65" spans="4:4" x14ac:dyDescent="0.3">
      <c r="D65" s="165"/>
    </row>
    <row r="66" spans="4:4" x14ac:dyDescent="0.3">
      <c r="D66" s="165"/>
    </row>
    <row r="67" spans="4:4" x14ac:dyDescent="0.3">
      <c r="D67" s="165"/>
    </row>
  </sheetData>
  <mergeCells count="3">
    <mergeCell ref="O21:O25"/>
    <mergeCell ref="B31:B32"/>
    <mergeCell ref="B46:B47"/>
  </mergeCells>
  <phoneticPr fontId="3"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2060"/>
    <pageSetUpPr fitToPage="1"/>
  </sheetPr>
  <dimension ref="A2:N69"/>
  <sheetViews>
    <sheetView topLeftCell="A37" zoomScaleNormal="100" workbookViewId="0">
      <selection activeCell="D68" sqref="D68"/>
    </sheetView>
  </sheetViews>
  <sheetFormatPr defaultColWidth="9" defaultRowHeight="13.5" x14ac:dyDescent="0.3"/>
  <cols>
    <col min="1" max="1" width="9.75" style="2"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6384" width="9" style="2"/>
  </cols>
  <sheetData>
    <row r="2" spans="2:6" x14ac:dyDescent="0.3">
      <c r="B2" s="117" t="s">
        <v>54</v>
      </c>
    </row>
    <row r="3" spans="2:6" x14ac:dyDescent="0.3">
      <c r="B3" s="117" t="s">
        <v>55</v>
      </c>
    </row>
    <row r="4" spans="2:6" x14ac:dyDescent="0.3">
      <c r="B4" s="117" t="s">
        <v>56</v>
      </c>
    </row>
    <row r="5" spans="2:6" x14ac:dyDescent="0.3">
      <c r="B5" s="2" t="s">
        <v>57</v>
      </c>
    </row>
    <row r="8" spans="2:6" x14ac:dyDescent="0.3">
      <c r="B8" s="111" t="s">
        <v>21</v>
      </c>
    </row>
    <row r="9" spans="2:6" ht="14.25" thickBot="1" x14ac:dyDescent="0.35"/>
    <row r="10" spans="2:6" ht="14.25" thickBot="1" x14ac:dyDescent="0.35">
      <c r="C10" s="1"/>
      <c r="D10" s="2" t="s">
        <v>22</v>
      </c>
      <c r="E10" s="116"/>
      <c r="F10" s="2" t="s">
        <v>23</v>
      </c>
    </row>
    <row r="12" spans="2:6" x14ac:dyDescent="0.3">
      <c r="B12" s="111" t="s">
        <v>24</v>
      </c>
    </row>
    <row r="13" spans="2:6" x14ac:dyDescent="0.3">
      <c r="B13" s="111"/>
    </row>
    <row r="14" spans="2:6" x14ac:dyDescent="0.3">
      <c r="B14" s="111" t="s">
        <v>25</v>
      </c>
    </row>
    <row r="15" spans="2:6" x14ac:dyDescent="0.3">
      <c r="B15" s="2" t="s">
        <v>43</v>
      </c>
    </row>
    <row r="16" spans="2:6" ht="14.25" thickBot="1" x14ac:dyDescent="0.35"/>
    <row r="17" spans="1:14" x14ac:dyDescent="0.3">
      <c r="B17" s="3" t="s">
        <v>0</v>
      </c>
      <c r="C17" s="4" t="s">
        <v>1</v>
      </c>
      <c r="D17" s="4" t="s">
        <v>2</v>
      </c>
      <c r="E17" s="4" t="s">
        <v>36</v>
      </c>
      <c r="F17" s="4" t="s">
        <v>3</v>
      </c>
      <c r="G17" s="4" t="s">
        <v>70</v>
      </c>
      <c r="H17" s="4" t="s">
        <v>71</v>
      </c>
      <c r="I17" s="4" t="s">
        <v>72</v>
      </c>
      <c r="J17" s="4" t="s">
        <v>75</v>
      </c>
      <c r="K17" s="4" t="s">
        <v>76</v>
      </c>
      <c r="L17" s="73" t="s">
        <v>73</v>
      </c>
      <c r="M17" s="4" t="s">
        <v>74</v>
      </c>
      <c r="N17" s="149" t="s">
        <v>247</v>
      </c>
    </row>
    <row r="18" spans="1:14" x14ac:dyDescent="0.3">
      <c r="A18" s="2" t="s">
        <v>5</v>
      </c>
      <c r="B18" s="5" t="s">
        <v>27</v>
      </c>
      <c r="C18" s="6">
        <v>6629898597.9020004</v>
      </c>
      <c r="D18" s="6">
        <v>8088933456</v>
      </c>
      <c r="E18" s="6">
        <v>8285594445</v>
      </c>
      <c r="F18" s="6">
        <v>8444037996</v>
      </c>
      <c r="G18" s="6">
        <v>8408662571</v>
      </c>
      <c r="H18" s="6">
        <v>7930471712</v>
      </c>
      <c r="I18" s="6">
        <v>8422864390</v>
      </c>
      <c r="J18" s="6">
        <v>7484645852</v>
      </c>
      <c r="K18" s="6">
        <v>7599457573</v>
      </c>
      <c r="L18" s="74">
        <v>7351579284</v>
      </c>
      <c r="M18" s="6">
        <v>7878825915</v>
      </c>
      <c r="N18" s="150">
        <v>7429311505</v>
      </c>
    </row>
    <row r="19" spans="1:14" x14ac:dyDescent="0.3">
      <c r="A19" s="2" t="s">
        <v>6</v>
      </c>
      <c r="B19" s="7" t="s">
        <v>39</v>
      </c>
      <c r="C19" s="6">
        <v>1326148332</v>
      </c>
      <c r="D19" s="6">
        <v>1109590670</v>
      </c>
      <c r="E19" s="6">
        <v>1368971919</v>
      </c>
      <c r="F19" s="6">
        <v>1283151195</v>
      </c>
      <c r="G19" s="6">
        <v>1295326842</v>
      </c>
      <c r="H19" s="6">
        <v>1918321221</v>
      </c>
      <c r="I19" s="6">
        <v>2109557133</v>
      </c>
      <c r="J19" s="6">
        <v>2258274420</v>
      </c>
      <c r="K19" s="6">
        <v>1943018127</v>
      </c>
      <c r="L19" s="74">
        <v>2096960755</v>
      </c>
      <c r="M19" s="6">
        <v>1695855768</v>
      </c>
      <c r="N19" s="150">
        <v>1329525137</v>
      </c>
    </row>
    <row r="20" spans="1:14" x14ac:dyDescent="0.3">
      <c r="A20" s="2" t="s">
        <v>7</v>
      </c>
      <c r="B20" s="7" t="s">
        <v>92</v>
      </c>
      <c r="C20" s="6">
        <v>864098434</v>
      </c>
      <c r="D20" s="6">
        <v>700538386</v>
      </c>
      <c r="E20" s="6">
        <v>282972718</v>
      </c>
      <c r="F20" s="6">
        <v>438893540</v>
      </c>
      <c r="G20" s="6">
        <v>400074558</v>
      </c>
      <c r="H20" s="6">
        <v>646626532</v>
      </c>
      <c r="I20" s="6">
        <v>419338042</v>
      </c>
      <c r="J20" s="6">
        <v>904477364</v>
      </c>
      <c r="K20" s="6">
        <v>753893940</v>
      </c>
      <c r="L20" s="74">
        <v>979650983</v>
      </c>
      <c r="M20" s="6">
        <v>633708016</v>
      </c>
      <c r="N20" s="150">
        <v>239763111</v>
      </c>
    </row>
    <row r="21" spans="1:14" x14ac:dyDescent="0.3">
      <c r="A21" s="2" t="s">
        <v>8</v>
      </c>
      <c r="B21" s="7" t="s">
        <v>30</v>
      </c>
      <c r="C21" s="6">
        <v>519794684</v>
      </c>
      <c r="D21" s="6">
        <v>564542316</v>
      </c>
      <c r="E21" s="6">
        <v>291281441</v>
      </c>
      <c r="F21" s="6">
        <v>240517439</v>
      </c>
      <c r="G21" s="6">
        <v>232760997</v>
      </c>
      <c r="H21" s="6">
        <v>170550445</v>
      </c>
      <c r="I21" s="6">
        <v>440669315</v>
      </c>
      <c r="J21" s="6">
        <v>164002785</v>
      </c>
      <c r="K21" s="6">
        <v>139069026</v>
      </c>
      <c r="L21" s="74">
        <v>446127690</v>
      </c>
      <c r="M21" s="6">
        <v>273503838</v>
      </c>
      <c r="N21" s="150">
        <v>347750247</v>
      </c>
    </row>
    <row r="22" spans="1:14" x14ac:dyDescent="0.3">
      <c r="A22" s="2" t="s">
        <v>9</v>
      </c>
      <c r="B22" s="7" t="s">
        <v>32</v>
      </c>
      <c r="C22" s="6">
        <v>54974937</v>
      </c>
      <c r="D22" s="6">
        <v>469950910</v>
      </c>
      <c r="E22" s="6">
        <v>514645368</v>
      </c>
      <c r="F22" s="6">
        <v>111703072</v>
      </c>
      <c r="G22" s="6">
        <v>13356968</v>
      </c>
      <c r="H22" s="6">
        <v>90387652</v>
      </c>
      <c r="I22" s="6">
        <v>55818029</v>
      </c>
      <c r="J22" s="6">
        <v>52492007</v>
      </c>
      <c r="K22" s="6">
        <v>20193132</v>
      </c>
      <c r="L22" s="74">
        <v>35618067</v>
      </c>
      <c r="M22" s="6">
        <v>77613140</v>
      </c>
      <c r="N22" s="150">
        <v>56425025</v>
      </c>
    </row>
    <row r="23" spans="1:14" x14ac:dyDescent="0.3">
      <c r="A23" s="2" t="s">
        <v>10</v>
      </c>
      <c r="B23" s="7" t="s">
        <v>34</v>
      </c>
      <c r="C23" s="6">
        <f>49060000</f>
        <v>49060000</v>
      </c>
      <c r="D23" s="6">
        <v>22776400</v>
      </c>
      <c r="E23" s="6">
        <v>257483476</v>
      </c>
      <c r="F23" s="6">
        <v>49979298</v>
      </c>
      <c r="G23" s="6">
        <v>8724266</v>
      </c>
      <c r="H23" s="6"/>
      <c r="I23" s="6">
        <v>4916400</v>
      </c>
      <c r="J23" s="6">
        <v>973053</v>
      </c>
      <c r="K23" s="6"/>
      <c r="L23" s="74">
        <v>21323305</v>
      </c>
      <c r="M23" s="6">
        <v>34980053</v>
      </c>
      <c r="N23" s="150">
        <v>56383366</v>
      </c>
    </row>
    <row r="24" spans="1:14" ht="14.25" thickBot="1" x14ac:dyDescent="0.35">
      <c r="A24" s="2" t="s">
        <v>17</v>
      </c>
      <c r="B24" s="8" t="s">
        <v>93</v>
      </c>
      <c r="C24" s="9">
        <f>981621756</f>
        <v>981621756</v>
      </c>
      <c r="D24" s="9">
        <f>1030681756</f>
        <v>1030681756</v>
      </c>
      <c r="E24" s="9">
        <f>1053458156</f>
        <v>1053458156</v>
      </c>
      <c r="F24" s="9">
        <f>1068250623</f>
        <v>1068250623</v>
      </c>
      <c r="G24" s="9">
        <f>1100991875</f>
        <v>1100991875</v>
      </c>
      <c r="H24" s="9">
        <f>1069297917</f>
        <v>1069297917</v>
      </c>
      <c r="I24" s="9">
        <f>1065272465</f>
        <v>1065272465</v>
      </c>
      <c r="J24" s="9">
        <f>1038447205</f>
        <v>1038447205</v>
      </c>
      <c r="K24" s="9">
        <f>1013020848</f>
        <v>1013020848</v>
      </c>
      <c r="L24" s="75">
        <f>541485676</f>
        <v>541485676</v>
      </c>
      <c r="M24" s="9">
        <v>562427025</v>
      </c>
      <c r="N24" s="151">
        <v>541485676</v>
      </c>
    </row>
    <row r="25" spans="1:14" ht="14.25" thickBot="1" x14ac:dyDescent="0.35">
      <c r="B25" s="113"/>
      <c r="C25" s="114"/>
      <c r="D25" s="114"/>
      <c r="E25" s="114"/>
      <c r="F25" s="114"/>
      <c r="G25" s="114"/>
      <c r="H25" s="114"/>
      <c r="I25" s="114"/>
      <c r="J25" s="114"/>
      <c r="K25" s="114"/>
      <c r="L25" s="114"/>
      <c r="M25" s="114"/>
      <c r="N25" s="114"/>
    </row>
    <row r="26" spans="1:14" x14ac:dyDescent="0.3">
      <c r="B26" s="10" t="s">
        <v>102</v>
      </c>
      <c r="C26" s="11">
        <f>IF(ISERROR(H23/C18),0,H23/C18)</f>
        <v>0</v>
      </c>
      <c r="D26" s="11">
        <f>IF(ISERROR(I23/D18),0,I23/D18)</f>
        <v>6.0779335455569115E-4</v>
      </c>
      <c r="E26" s="11">
        <f>IF(ISERROR(J23/E18),0,J23/E18)</f>
        <v>1.1743912961938364E-4</v>
      </c>
      <c r="F26" s="11">
        <f>IF(ISERROR(K23/F18),0,K23/F18)</f>
        <v>0</v>
      </c>
      <c r="G26" s="11">
        <f>IF(ISERROR(L23/G18),0,L23/G18)</f>
        <v>2.535873549444157E-3</v>
      </c>
      <c r="H26" s="11">
        <f t="shared" ref="H26:I26" si="0">IF(ISERROR(M23/H18),0,M23/H18)</f>
        <v>4.4108414064537808E-3</v>
      </c>
      <c r="I26" s="11">
        <f t="shared" si="0"/>
        <v>6.6940845049032064E-3</v>
      </c>
      <c r="J26" s="11"/>
      <c r="K26" s="12"/>
      <c r="L26" s="76"/>
      <c r="M26" s="78"/>
      <c r="N26" s="152"/>
    </row>
    <row r="27" spans="1:14" x14ac:dyDescent="0.3">
      <c r="B27" s="13" t="s">
        <v>103</v>
      </c>
      <c r="C27" s="14">
        <f>IF(ISERROR(G23/C19),0,G23/C19)</f>
        <v>6.5786502078863983E-3</v>
      </c>
      <c r="D27" s="14">
        <f t="shared" ref="D27:F27" si="1">IF(ISERROR(H23/D19),0,H23/D19)</f>
        <v>0</v>
      </c>
      <c r="E27" s="14">
        <f t="shared" si="1"/>
        <v>3.5913081428224679E-3</v>
      </c>
      <c r="F27" s="14">
        <f t="shared" si="1"/>
        <v>7.5833074371255214E-4</v>
      </c>
      <c r="G27" s="14">
        <f t="shared" ref="G27" si="2">IF(ISERROR(K23/G19),0,K23/G19)</f>
        <v>0</v>
      </c>
      <c r="H27" s="14">
        <f t="shared" ref="H27" si="3">IF(ISERROR(L23/H19),0,L23/H19)</f>
        <v>1.1115607108221633E-2</v>
      </c>
      <c r="I27" s="14">
        <f t="shared" ref="I27" si="4">IF(ISERROR(M23/I19),0,M23/I19)</f>
        <v>1.6581704497500328E-2</v>
      </c>
      <c r="J27" s="14">
        <f t="shared" ref="J27" si="5">IF(ISERROR(N23/J19),0,N23/J19)</f>
        <v>2.4967455460970948E-2</v>
      </c>
      <c r="K27" s="14"/>
      <c r="L27" s="77"/>
      <c r="M27" s="79"/>
      <c r="N27" s="153"/>
    </row>
    <row r="28" spans="1:14" x14ac:dyDescent="0.3">
      <c r="B28" s="13" t="s">
        <v>104</v>
      </c>
      <c r="C28" s="14">
        <f>IF(ISERROR(F23/C20),0,F23/C20)</f>
        <v>5.783982013326968E-2</v>
      </c>
      <c r="D28" s="14">
        <f t="shared" ref="D28:H28" si="6">IF(ISERROR(G23/D20),0,G23/D20)</f>
        <v>1.2453658749258032E-2</v>
      </c>
      <c r="E28" s="14">
        <f t="shared" si="6"/>
        <v>0</v>
      </c>
      <c r="F28" s="14">
        <f t="shared" si="6"/>
        <v>1.1201805339855309E-2</v>
      </c>
      <c r="G28" s="14">
        <f t="shared" si="6"/>
        <v>2.4321791539665964E-3</v>
      </c>
      <c r="H28" s="14">
        <f t="shared" si="6"/>
        <v>0</v>
      </c>
      <c r="I28" s="14">
        <f>IF(ISERROR(L23/I20),0,L23/I20)</f>
        <v>5.0849917880810822E-2</v>
      </c>
      <c r="J28" s="14">
        <f t="shared" ref="J28:K28" si="7">IF(ISERROR(M23/J20),0,M23/J20)</f>
        <v>3.867432662471805E-2</v>
      </c>
      <c r="K28" s="14">
        <f t="shared" si="7"/>
        <v>7.4789520127990422E-2</v>
      </c>
      <c r="L28" s="77"/>
      <c r="M28" s="79"/>
      <c r="N28" s="153"/>
    </row>
    <row r="29" spans="1:14" x14ac:dyDescent="0.3">
      <c r="B29" s="13" t="s">
        <v>105</v>
      </c>
      <c r="C29" s="14">
        <f>IF(ISERROR(E23/C21),0,(E23/C21))</f>
        <v>0.49535611641615018</v>
      </c>
      <c r="D29" s="14">
        <f t="shared" ref="D29:I29" si="8">IF(ISERROR(F23/D21),0,(F23/D21))</f>
        <v>8.853064966701274E-2</v>
      </c>
      <c r="E29" s="14">
        <f t="shared" si="8"/>
        <v>2.9951328069679522E-2</v>
      </c>
      <c r="F29" s="14">
        <f t="shared" si="8"/>
        <v>0</v>
      </c>
      <c r="G29" s="14">
        <f t="shared" si="8"/>
        <v>2.1122095468597772E-2</v>
      </c>
      <c r="H29" s="14">
        <f t="shared" si="8"/>
        <v>5.705367699275132E-3</v>
      </c>
      <c r="I29" s="14">
        <f t="shared" si="8"/>
        <v>0</v>
      </c>
      <c r="J29" s="14">
        <f>IF(ISERROR(L23/J21),0,(L23/J21))</f>
        <v>0.13001794451234472</v>
      </c>
      <c r="K29" s="14">
        <f t="shared" ref="K29:L29" si="9">IF(ISERROR(M23/K21),0,(M23/K21))</f>
        <v>0.25153015021475739</v>
      </c>
      <c r="L29" s="14">
        <f t="shared" si="9"/>
        <v>0.12638391936622451</v>
      </c>
      <c r="M29" s="79"/>
      <c r="N29" s="153"/>
    </row>
    <row r="30" spans="1:14" ht="14.25" thickBot="1" x14ac:dyDescent="0.35">
      <c r="B30" s="15" t="s">
        <v>106</v>
      </c>
      <c r="C30" s="16">
        <f>IF(ISERROR(D23/C22),0,D23/C22)</f>
        <v>0.41430515873078672</v>
      </c>
      <c r="D30" s="16">
        <f t="shared" ref="D30:J30" si="10">IF(ISERROR(E23/D22),0,E23/D22)</f>
        <v>0.5478944088011235</v>
      </c>
      <c r="E30" s="16">
        <f t="shared" si="10"/>
        <v>9.7114053885742929E-2</v>
      </c>
      <c r="F30" s="16">
        <f t="shared" si="10"/>
        <v>7.8102292477685839E-2</v>
      </c>
      <c r="G30" s="16">
        <f t="shared" si="10"/>
        <v>0</v>
      </c>
      <c r="H30" s="16">
        <f t="shared" si="10"/>
        <v>5.4392385366974681E-2</v>
      </c>
      <c r="I30" s="16">
        <f t="shared" si="10"/>
        <v>1.7432593329298675E-2</v>
      </c>
      <c r="J30" s="16">
        <f t="shared" si="10"/>
        <v>0</v>
      </c>
      <c r="K30" s="16">
        <f>IF(ISERROR(L23/K22),0,L23/K22)</f>
        <v>1.0559681875996254</v>
      </c>
      <c r="L30" s="16">
        <f t="shared" ref="L30:M30" si="11">IF(ISERROR(M23/L22),0,M23/L22)</f>
        <v>0.98208734909729944</v>
      </c>
      <c r="M30" s="16">
        <f t="shared" si="11"/>
        <v>0.72646675550042172</v>
      </c>
      <c r="N30" s="154"/>
    </row>
    <row r="31" spans="1:14" x14ac:dyDescent="0.3">
      <c r="B31" s="108"/>
      <c r="C31" s="108"/>
      <c r="D31" s="108"/>
      <c r="E31" s="108"/>
      <c r="F31" s="108"/>
      <c r="G31" s="108"/>
      <c r="H31" s="108"/>
      <c r="I31" s="108"/>
      <c r="J31" s="108"/>
      <c r="K31" s="108"/>
    </row>
    <row r="32" spans="1:14" x14ac:dyDescent="0.3">
      <c r="B32" s="111" t="s">
        <v>40</v>
      </c>
      <c r="C32" s="108"/>
      <c r="D32" s="108"/>
      <c r="E32" s="108"/>
      <c r="F32" s="108"/>
      <c r="G32" s="108"/>
      <c r="H32" s="108"/>
      <c r="I32" s="108"/>
      <c r="J32" s="108"/>
      <c r="K32" s="108"/>
    </row>
    <row r="33" spans="2:11" x14ac:dyDescent="0.3">
      <c r="B33" s="2" t="s">
        <v>42</v>
      </c>
      <c r="C33" s="108"/>
      <c r="D33" s="108"/>
      <c r="E33" s="108"/>
      <c r="F33" s="108"/>
      <c r="G33" s="108"/>
      <c r="H33" s="108"/>
      <c r="I33" s="108"/>
      <c r="J33" s="108"/>
      <c r="K33" s="108"/>
    </row>
    <row r="34" spans="2:11" ht="14.25" thickBot="1" x14ac:dyDescent="0.35">
      <c r="B34" s="108"/>
      <c r="C34" s="108"/>
      <c r="D34" s="108"/>
      <c r="E34" s="108"/>
      <c r="F34" s="108"/>
      <c r="G34" s="108"/>
      <c r="H34" s="108"/>
      <c r="I34" s="108"/>
      <c r="J34" s="108"/>
      <c r="K34" s="108"/>
    </row>
    <row r="35" spans="2:11" ht="54" x14ac:dyDescent="0.3">
      <c r="B35" s="170" t="s">
        <v>0</v>
      </c>
      <c r="C35" s="68" t="s">
        <v>94</v>
      </c>
      <c r="D35" s="69" t="s">
        <v>44</v>
      </c>
      <c r="E35" s="70" t="s">
        <v>45</v>
      </c>
      <c r="F35" s="71" t="s">
        <v>46</v>
      </c>
      <c r="G35" s="72" t="s">
        <v>47</v>
      </c>
      <c r="I35" s="108"/>
      <c r="J35" s="108"/>
      <c r="K35" s="108"/>
    </row>
    <row r="36" spans="2:11" ht="14.25" thickBot="1" x14ac:dyDescent="0.35">
      <c r="B36" s="171"/>
      <c r="C36" s="17" t="s">
        <v>246</v>
      </c>
      <c r="D36" s="18" t="s">
        <v>246</v>
      </c>
      <c r="E36" s="19" t="s">
        <v>246</v>
      </c>
      <c r="F36" s="62" t="s">
        <v>246</v>
      </c>
      <c r="G36" s="56" t="s">
        <v>246</v>
      </c>
      <c r="I36" s="108"/>
      <c r="J36" s="108"/>
      <c r="K36" s="108"/>
    </row>
    <row r="37" spans="2:11" x14ac:dyDescent="0.3">
      <c r="B37" s="20" t="s">
        <v>26</v>
      </c>
      <c r="C37" s="21">
        <f>N18</f>
        <v>7429311505</v>
      </c>
      <c r="D37" s="50">
        <f>C53</f>
        <v>0</v>
      </c>
      <c r="E37" s="51">
        <f>C37-D37</f>
        <v>7429311505</v>
      </c>
      <c r="F37" s="63">
        <f>AVERAGE(C26:N26)</f>
        <v>2.0522902778537457E-3</v>
      </c>
      <c r="G37" s="57">
        <f>ROUND(E37*F37,)</f>
        <v>15247104</v>
      </c>
      <c r="I37" s="108"/>
      <c r="J37" s="108"/>
      <c r="K37" s="108"/>
    </row>
    <row r="38" spans="2:11" x14ac:dyDescent="0.3">
      <c r="B38" s="22" t="s">
        <v>38</v>
      </c>
      <c r="C38" s="23">
        <f>N19</f>
        <v>1329525137</v>
      </c>
      <c r="D38" s="52">
        <f t="shared" ref="D38:D43" si="12">C54</f>
        <v>0</v>
      </c>
      <c r="E38" s="24">
        <f t="shared" ref="E38:E43" si="13">C38-D38</f>
        <v>1329525137</v>
      </c>
      <c r="F38" s="64">
        <f>AVERAGE(C27:N27)</f>
        <v>7.9491320201392907E-3</v>
      </c>
      <c r="G38" s="58">
        <f t="shared" ref="G38:G43" si="14">ROUND(E38*F38,)</f>
        <v>10568571</v>
      </c>
      <c r="I38" s="108"/>
      <c r="J38" s="108"/>
      <c r="K38" s="108"/>
    </row>
    <row r="39" spans="2:11" x14ac:dyDescent="0.3">
      <c r="B39" s="22" t="s">
        <v>28</v>
      </c>
      <c r="C39" s="23">
        <f t="shared" ref="C39:C41" si="15">N20</f>
        <v>239763111</v>
      </c>
      <c r="D39" s="52">
        <f t="shared" si="12"/>
        <v>0</v>
      </c>
      <c r="E39" s="24">
        <f t="shared" si="13"/>
        <v>239763111</v>
      </c>
      <c r="F39" s="64">
        <f>AVERAGE(C28:N28)</f>
        <v>2.7582358667763211E-2</v>
      </c>
      <c r="G39" s="58">
        <f t="shared" si="14"/>
        <v>6613232</v>
      </c>
      <c r="I39" s="108"/>
      <c r="J39" s="108"/>
      <c r="K39" s="108"/>
    </row>
    <row r="40" spans="2:11" x14ac:dyDescent="0.3">
      <c r="B40" s="22" t="s">
        <v>29</v>
      </c>
      <c r="C40" s="23">
        <f t="shared" si="15"/>
        <v>347750247</v>
      </c>
      <c r="D40" s="52">
        <f t="shared" si="12"/>
        <v>0</v>
      </c>
      <c r="E40" s="24">
        <f t="shared" si="13"/>
        <v>347750247</v>
      </c>
      <c r="F40" s="64">
        <f>IF(AVERAGE(C29:N29)&gt;100%,100%,AVERAGE(C29:N29))</f>
        <v>0.1148597571414042</v>
      </c>
      <c r="G40" s="58">
        <f t="shared" si="14"/>
        <v>39942509</v>
      </c>
      <c r="I40" s="108"/>
      <c r="J40" s="108"/>
      <c r="K40" s="108"/>
    </row>
    <row r="41" spans="2:11" ht="14.25" thickBot="1" x14ac:dyDescent="0.35">
      <c r="B41" s="25" t="s">
        <v>31</v>
      </c>
      <c r="C41" s="23">
        <f t="shared" si="15"/>
        <v>56425025</v>
      </c>
      <c r="D41" s="53">
        <f t="shared" si="12"/>
        <v>0</v>
      </c>
      <c r="E41" s="26">
        <f t="shared" si="13"/>
        <v>56425025</v>
      </c>
      <c r="F41" s="65">
        <f>IF(AVERAGE(C30:N30)&gt;100%,100%,AVERAGE(C30:N30))</f>
        <v>0.36125119861717808</v>
      </c>
      <c r="G41" s="59">
        <f t="shared" si="14"/>
        <v>20383608</v>
      </c>
      <c r="I41" s="108"/>
      <c r="J41" s="108"/>
      <c r="K41" s="108"/>
    </row>
    <row r="42" spans="2:11" x14ac:dyDescent="0.3">
      <c r="B42" s="27" t="s">
        <v>33</v>
      </c>
      <c r="C42" s="28">
        <f>N23</f>
        <v>56383366</v>
      </c>
      <c r="D42" s="54">
        <f t="shared" si="12"/>
        <v>0</v>
      </c>
      <c r="E42" s="29">
        <f t="shared" si="13"/>
        <v>56383366</v>
      </c>
      <c r="F42" s="66">
        <v>1</v>
      </c>
      <c r="G42" s="60">
        <f t="shared" si="14"/>
        <v>56383366</v>
      </c>
      <c r="I42" s="108"/>
      <c r="J42" s="108"/>
      <c r="K42" s="108"/>
    </row>
    <row r="43" spans="2:11" ht="14.25" thickBot="1" x14ac:dyDescent="0.35">
      <c r="B43" s="30" t="s">
        <v>35</v>
      </c>
      <c r="C43" s="31">
        <f>N24</f>
        <v>541485676</v>
      </c>
      <c r="D43" s="55">
        <f t="shared" si="12"/>
        <v>119192371</v>
      </c>
      <c r="E43" s="32">
        <f t="shared" si="13"/>
        <v>422293305</v>
      </c>
      <c r="F43" s="67">
        <v>1</v>
      </c>
      <c r="G43" s="61">
        <f t="shared" si="14"/>
        <v>422293305</v>
      </c>
      <c r="I43" s="108"/>
      <c r="J43" s="108"/>
      <c r="K43" s="108"/>
    </row>
    <row r="44" spans="2:11" ht="14.25" thickBot="1" x14ac:dyDescent="0.35">
      <c r="B44" s="30" t="s">
        <v>41</v>
      </c>
      <c r="C44" s="31">
        <f>SUM(C37:C43)</f>
        <v>10000644067</v>
      </c>
      <c r="D44" s="55">
        <f>SUM(D37:D43)</f>
        <v>119192371</v>
      </c>
      <c r="E44" s="32">
        <f>SUM(E37:E43)</f>
        <v>9881451696</v>
      </c>
      <c r="F44" s="67"/>
      <c r="G44" s="61">
        <f>SUM(G37:G43)</f>
        <v>571431695</v>
      </c>
      <c r="H44" s="108"/>
      <c r="I44" s="108"/>
      <c r="J44" s="108"/>
      <c r="K44" s="108"/>
    </row>
    <row r="45" spans="2:11" ht="14.25" thickBot="1" x14ac:dyDescent="0.35">
      <c r="B45" s="108"/>
      <c r="E45" s="109"/>
      <c r="F45" s="110"/>
      <c r="G45" s="115"/>
      <c r="H45" s="108"/>
      <c r="I45" s="108"/>
      <c r="J45" s="108"/>
      <c r="K45" s="108"/>
    </row>
    <row r="46" spans="2:11" ht="14.25" thickBot="1" x14ac:dyDescent="0.35">
      <c r="G46" s="112">
        <f>G44</f>
        <v>571431695</v>
      </c>
      <c r="H46" s="2" t="s">
        <v>37</v>
      </c>
    </row>
    <row r="47" spans="2:11" x14ac:dyDescent="0.3">
      <c r="D47" s="109"/>
    </row>
    <row r="48" spans="2:11" x14ac:dyDescent="0.3">
      <c r="B48" s="111" t="s">
        <v>48</v>
      </c>
    </row>
    <row r="49" spans="2:9" x14ac:dyDescent="0.3">
      <c r="B49" s="2" t="s">
        <v>49</v>
      </c>
    </row>
    <row r="50" spans="2:9" ht="14.25" thickBot="1" x14ac:dyDescent="0.35"/>
    <row r="51" spans="2:9" ht="67.5" x14ac:dyDescent="0.3">
      <c r="B51" s="170" t="s">
        <v>0</v>
      </c>
      <c r="C51" s="68" t="s">
        <v>107</v>
      </c>
      <c r="D51" s="70" t="s">
        <v>50</v>
      </c>
    </row>
    <row r="52" spans="2:9" ht="14.25" thickBot="1" x14ac:dyDescent="0.35">
      <c r="B52" s="171"/>
      <c r="C52" s="17" t="s">
        <v>246</v>
      </c>
      <c r="D52" s="19" t="s">
        <v>246</v>
      </c>
    </row>
    <row r="53" spans="2:9" x14ac:dyDescent="0.3">
      <c r="B53" s="20" t="s">
        <v>26</v>
      </c>
      <c r="C53" s="34">
        <v>0</v>
      </c>
      <c r="D53" s="35">
        <v>0</v>
      </c>
      <c r="F53" s="173" t="s">
        <v>85</v>
      </c>
      <c r="G53" s="173"/>
      <c r="H53" s="173"/>
      <c r="I53" s="173"/>
    </row>
    <row r="54" spans="2:9" x14ac:dyDescent="0.3">
      <c r="B54" s="22" t="s">
        <v>38</v>
      </c>
      <c r="C54" s="36">
        <v>0</v>
      </c>
      <c r="D54" s="37">
        <v>0</v>
      </c>
      <c r="F54" s="104" t="s">
        <v>86</v>
      </c>
      <c r="G54" s="105">
        <v>27256788</v>
      </c>
      <c r="H54" s="104" t="s">
        <v>87</v>
      </c>
      <c r="I54" s="105">
        <v>49060000</v>
      </c>
    </row>
    <row r="55" spans="2:9" x14ac:dyDescent="0.3">
      <c r="B55" s="22" t="s">
        <v>28</v>
      </c>
      <c r="C55" s="36">
        <v>0</v>
      </c>
      <c r="D55" s="37">
        <v>0</v>
      </c>
      <c r="F55" s="104" t="s">
        <v>88</v>
      </c>
      <c r="G55" s="105">
        <v>3228130</v>
      </c>
      <c r="H55" s="104" t="s">
        <v>89</v>
      </c>
      <c r="I55" s="105">
        <v>12000000</v>
      </c>
    </row>
    <row r="56" spans="2:9" x14ac:dyDescent="0.3">
      <c r="B56" s="22" t="s">
        <v>29</v>
      </c>
      <c r="C56" s="36">
        <v>0</v>
      </c>
      <c r="D56" s="37">
        <v>0</v>
      </c>
      <c r="F56" s="104" t="s">
        <v>90</v>
      </c>
      <c r="G56" s="105">
        <v>27647453</v>
      </c>
      <c r="H56" s="106"/>
      <c r="I56" s="106"/>
    </row>
    <row r="57" spans="2:9" x14ac:dyDescent="0.3">
      <c r="B57" s="25" t="s">
        <v>31</v>
      </c>
      <c r="C57" s="38">
        <v>0</v>
      </c>
      <c r="D57" s="39">
        <v>0</v>
      </c>
    </row>
    <row r="58" spans="2:9" x14ac:dyDescent="0.3">
      <c r="B58" s="25" t="s">
        <v>33</v>
      </c>
      <c r="C58" s="38"/>
      <c r="D58" s="39"/>
    </row>
    <row r="59" spans="2:9" ht="14.25" thickBot="1" x14ac:dyDescent="0.35">
      <c r="B59" s="49" t="s">
        <v>35</v>
      </c>
      <c r="C59" s="40">
        <f>SUM(G54:G56,I54:I56)</f>
        <v>119192371</v>
      </c>
      <c r="D59" s="41">
        <f>C59</f>
        <v>119192371</v>
      </c>
    </row>
    <row r="60" spans="2:9" ht="14.25" thickBot="1" x14ac:dyDescent="0.35">
      <c r="B60" s="46" t="s">
        <v>11</v>
      </c>
      <c r="C60" s="47">
        <f>SUM(C53:C59)</f>
        <v>119192371</v>
      </c>
      <c r="D60" s="48">
        <f>SUM(D53:D59)</f>
        <v>119192371</v>
      </c>
    </row>
    <row r="61" spans="2:9" ht="14.25" thickBot="1" x14ac:dyDescent="0.35"/>
    <row r="62" spans="2:9" ht="14.25" thickBot="1" x14ac:dyDescent="0.35">
      <c r="E62" s="112">
        <f>D60</f>
        <v>119192371</v>
      </c>
      <c r="F62" s="2" t="s">
        <v>51</v>
      </c>
    </row>
    <row r="64" spans="2:9" x14ac:dyDescent="0.3">
      <c r="B64" s="111" t="s">
        <v>12</v>
      </c>
    </row>
    <row r="65" spans="1:6" x14ac:dyDescent="0.3">
      <c r="B65" s="2" t="s">
        <v>20</v>
      </c>
    </row>
    <row r="66" spans="1:6" x14ac:dyDescent="0.3">
      <c r="B66" s="42" t="s">
        <v>14</v>
      </c>
      <c r="C66" s="42" t="s">
        <v>15</v>
      </c>
      <c r="D66" s="42" t="s">
        <v>108</v>
      </c>
      <c r="E66" s="42" t="s">
        <v>52</v>
      </c>
    </row>
    <row r="67" spans="1:6" x14ac:dyDescent="0.3">
      <c r="A67" s="2" t="s">
        <v>18</v>
      </c>
      <c r="B67" s="103" t="s">
        <v>100</v>
      </c>
      <c r="C67" s="43" t="s">
        <v>4</v>
      </c>
      <c r="D67" s="44">
        <v>10000644067</v>
      </c>
      <c r="E67" s="43"/>
    </row>
    <row r="68" spans="1:6" x14ac:dyDescent="0.3">
      <c r="A68" s="2" t="s">
        <v>19</v>
      </c>
      <c r="B68" s="43">
        <v>1110321</v>
      </c>
      <c r="C68" s="43" t="s">
        <v>13</v>
      </c>
      <c r="D68" s="44">
        <v>690624066</v>
      </c>
      <c r="E68" s="45">
        <f>D68-G46-E62</f>
        <v>0</v>
      </c>
      <c r="F68" s="2" t="s">
        <v>53</v>
      </c>
    </row>
    <row r="69" spans="1:6" x14ac:dyDescent="0.3">
      <c r="B69" s="43"/>
      <c r="C69" s="43" t="s">
        <v>109</v>
      </c>
      <c r="D69" s="45">
        <f>D67-D68</f>
        <v>9310020001</v>
      </c>
      <c r="E69" s="45">
        <f>D69-E44-C60+G46+E62</f>
        <v>0</v>
      </c>
      <c r="F69" s="2" t="s">
        <v>16</v>
      </c>
    </row>
  </sheetData>
  <mergeCells count="3">
    <mergeCell ref="B35:B36"/>
    <mergeCell ref="B51:B52"/>
    <mergeCell ref="F53:I53"/>
  </mergeCells>
  <phoneticPr fontId="3" type="noConversion"/>
  <pageMargins left="0.70866141732283472" right="0.70866141732283472" top="0.74803149606299213" bottom="0.74803149606299213" header="0.31496062992125984" footer="0.31496062992125984"/>
  <pageSetup paperSize="9"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2060"/>
  </sheetPr>
  <dimension ref="A2:O64"/>
  <sheetViews>
    <sheetView zoomScaleNormal="100" workbookViewId="0">
      <selection activeCell="D22" sqref="D22"/>
    </sheetView>
  </sheetViews>
  <sheetFormatPr defaultColWidth="9" defaultRowHeight="13.5" x14ac:dyDescent="0.3"/>
  <cols>
    <col min="1" max="1" width="8" style="2" bestFit="1" customWidth="1"/>
    <col min="2" max="2" width="62.25" style="2" customWidth="1"/>
    <col min="3" max="3" width="17.75" style="2" customWidth="1"/>
    <col min="4" max="4" width="19" style="2" bestFit="1" customWidth="1"/>
    <col min="5" max="5" width="16.875" style="2" customWidth="1"/>
    <col min="6" max="12" width="16" style="2" bestFit="1" customWidth="1"/>
    <col min="13" max="14" width="16" style="2" customWidth="1"/>
    <col min="15" max="15" width="14" style="2" customWidth="1"/>
    <col min="16" max="16384" width="9" style="2"/>
  </cols>
  <sheetData>
    <row r="2" spans="2:14" x14ac:dyDescent="0.3">
      <c r="B2" s="111" t="s">
        <v>21</v>
      </c>
    </row>
    <row r="3" spans="2:14" ht="14.25" thickBot="1" x14ac:dyDescent="0.35"/>
    <row r="4" spans="2:14" ht="14.25" thickBot="1" x14ac:dyDescent="0.35">
      <c r="C4" s="1"/>
      <c r="D4" s="2" t="s">
        <v>22</v>
      </c>
      <c r="E4" s="116"/>
      <c r="F4" s="2" t="s">
        <v>23</v>
      </c>
    </row>
    <row r="6" spans="2:14" x14ac:dyDescent="0.3">
      <c r="B6" s="111" t="s">
        <v>24</v>
      </c>
    </row>
    <row r="7" spans="2:14" x14ac:dyDescent="0.3">
      <c r="B7" s="111"/>
    </row>
    <row r="8" spans="2:14" x14ac:dyDescent="0.3">
      <c r="B8" s="111" t="s">
        <v>66</v>
      </c>
    </row>
    <row r="9" spans="2:14" x14ac:dyDescent="0.3">
      <c r="B9" s="2" t="s">
        <v>43</v>
      </c>
    </row>
    <row r="10" spans="2:14" ht="14.25" thickBot="1" x14ac:dyDescent="0.35"/>
    <row r="11" spans="2:14" x14ac:dyDescent="0.3">
      <c r="B11" s="3" t="s">
        <v>0</v>
      </c>
      <c r="C11" s="4" t="s">
        <v>1</v>
      </c>
      <c r="D11" s="4" t="s">
        <v>2</v>
      </c>
      <c r="E11" s="4" t="s">
        <v>36</v>
      </c>
      <c r="F11" s="4" t="s">
        <v>3</v>
      </c>
      <c r="G11" s="4" t="s">
        <v>70</v>
      </c>
      <c r="H11" s="4" t="s">
        <v>71</v>
      </c>
      <c r="I11" s="4" t="s">
        <v>72</v>
      </c>
      <c r="J11" s="4" t="s">
        <v>75</v>
      </c>
      <c r="K11" s="4" t="s">
        <v>76</v>
      </c>
      <c r="L11" s="73" t="s">
        <v>73</v>
      </c>
      <c r="M11" s="4" t="s">
        <v>74</v>
      </c>
      <c r="N11" s="80" t="s">
        <v>77</v>
      </c>
    </row>
    <row r="12" spans="2:14" x14ac:dyDescent="0.3">
      <c r="B12" s="5" t="s">
        <v>91</v>
      </c>
      <c r="C12" s="6">
        <v>6629898597.9020004</v>
      </c>
      <c r="D12" s="6">
        <v>8088933456</v>
      </c>
      <c r="E12" s="6">
        <v>8285594445</v>
      </c>
      <c r="F12" s="6">
        <v>8444037996</v>
      </c>
      <c r="G12" s="6">
        <v>8408662571</v>
      </c>
      <c r="H12" s="6">
        <v>7930471712</v>
      </c>
      <c r="I12" s="6">
        <v>8422864390</v>
      </c>
      <c r="J12" s="6">
        <v>7484645852</v>
      </c>
      <c r="K12" s="6">
        <v>7599457573</v>
      </c>
      <c r="L12" s="74">
        <v>7351579284</v>
      </c>
      <c r="M12" s="6">
        <v>7878825915</v>
      </c>
      <c r="N12" s="81">
        <v>7429311505</v>
      </c>
    </row>
    <row r="13" spans="2:14" x14ac:dyDescent="0.3">
      <c r="B13" s="7" t="s">
        <v>39</v>
      </c>
      <c r="C13" s="6">
        <v>1326148332</v>
      </c>
      <c r="D13" s="6">
        <v>1109590670</v>
      </c>
      <c r="E13" s="6">
        <v>1368971919</v>
      </c>
      <c r="F13" s="6">
        <v>1283151195</v>
      </c>
      <c r="G13" s="6">
        <v>1295326842</v>
      </c>
      <c r="H13" s="6">
        <v>1918321221</v>
      </c>
      <c r="I13" s="6">
        <v>2109557133</v>
      </c>
      <c r="J13" s="6">
        <v>2258274420</v>
      </c>
      <c r="K13" s="6">
        <v>1943018127</v>
      </c>
      <c r="L13" s="74">
        <v>2096960755</v>
      </c>
      <c r="M13" s="6">
        <v>1695855768</v>
      </c>
      <c r="N13" s="81">
        <v>1329525137</v>
      </c>
    </row>
    <row r="14" spans="2:14" x14ac:dyDescent="0.3">
      <c r="B14" s="7" t="s">
        <v>92</v>
      </c>
      <c r="C14" s="6">
        <v>864098434</v>
      </c>
      <c r="D14" s="6">
        <v>700538386</v>
      </c>
      <c r="E14" s="6">
        <v>282972718</v>
      </c>
      <c r="F14" s="6">
        <v>438893540</v>
      </c>
      <c r="G14" s="6">
        <v>400074558</v>
      </c>
      <c r="H14" s="6">
        <v>646626532</v>
      </c>
      <c r="I14" s="6">
        <v>419338042</v>
      </c>
      <c r="J14" s="6">
        <v>904477364</v>
      </c>
      <c r="K14" s="6">
        <v>753893940</v>
      </c>
      <c r="L14" s="74">
        <v>979650983</v>
      </c>
      <c r="M14" s="6">
        <v>633708016</v>
      </c>
      <c r="N14" s="81">
        <v>239763111</v>
      </c>
    </row>
    <row r="15" spans="2:14" x14ac:dyDescent="0.3">
      <c r="B15" s="7" t="s">
        <v>30</v>
      </c>
      <c r="C15" s="6">
        <v>519794684</v>
      </c>
      <c r="D15" s="6">
        <v>564542316</v>
      </c>
      <c r="E15" s="6">
        <v>291281441</v>
      </c>
      <c r="F15" s="6">
        <v>240517439</v>
      </c>
      <c r="G15" s="6">
        <v>232760997</v>
      </c>
      <c r="H15" s="6">
        <v>170550445</v>
      </c>
      <c r="I15" s="6">
        <v>440669315</v>
      </c>
      <c r="J15" s="6">
        <v>164002785</v>
      </c>
      <c r="K15" s="6">
        <v>139069026</v>
      </c>
      <c r="L15" s="74">
        <v>446127690</v>
      </c>
      <c r="M15" s="6">
        <v>273503838</v>
      </c>
      <c r="N15" s="81">
        <v>347750247</v>
      </c>
    </row>
    <row r="16" spans="2:14" x14ac:dyDescent="0.3">
      <c r="B16" s="7" t="s">
        <v>32</v>
      </c>
      <c r="C16" s="6">
        <v>54974937</v>
      </c>
      <c r="D16" s="6">
        <v>469950910</v>
      </c>
      <c r="E16" s="6">
        <v>514645368</v>
      </c>
      <c r="F16" s="6">
        <v>111703072</v>
      </c>
      <c r="G16" s="6">
        <v>13356968</v>
      </c>
      <c r="H16" s="6">
        <v>90387652</v>
      </c>
      <c r="I16" s="6">
        <v>55818029</v>
      </c>
      <c r="J16" s="6">
        <v>52492007</v>
      </c>
      <c r="K16" s="6">
        <v>20193132</v>
      </c>
      <c r="L16" s="74">
        <v>35618067</v>
      </c>
      <c r="M16" s="6">
        <v>77613140</v>
      </c>
      <c r="N16" s="81">
        <v>56425025</v>
      </c>
    </row>
    <row r="17" spans="2:15" x14ac:dyDescent="0.3">
      <c r="B17" s="7" t="s">
        <v>34</v>
      </c>
      <c r="C17" s="6">
        <v>49060000</v>
      </c>
      <c r="D17" s="6">
        <v>22776400</v>
      </c>
      <c r="E17" s="6">
        <v>257483476</v>
      </c>
      <c r="F17" s="6">
        <v>49979298</v>
      </c>
      <c r="G17" s="6">
        <v>8724266</v>
      </c>
      <c r="H17" s="6"/>
      <c r="I17" s="6">
        <v>4916400</v>
      </c>
      <c r="J17" s="6">
        <v>973053</v>
      </c>
      <c r="K17" s="6"/>
      <c r="L17" s="74">
        <v>21323305</v>
      </c>
      <c r="M17" s="6">
        <v>34980053</v>
      </c>
      <c r="N17" s="81">
        <v>56383366</v>
      </c>
    </row>
    <row r="18" spans="2:15" ht="14.25" thickBot="1" x14ac:dyDescent="0.35">
      <c r="B18" s="8" t="s">
        <v>93</v>
      </c>
      <c r="C18" s="9">
        <v>981621756</v>
      </c>
      <c r="D18" s="9">
        <v>1030681756</v>
      </c>
      <c r="E18" s="9">
        <v>1053458156</v>
      </c>
      <c r="F18" s="9">
        <v>1068250623</v>
      </c>
      <c r="G18" s="9">
        <v>1100991875</v>
      </c>
      <c r="H18" s="9">
        <v>1069297917</v>
      </c>
      <c r="I18" s="9">
        <v>1065272465</v>
      </c>
      <c r="J18" s="9">
        <v>1038447205</v>
      </c>
      <c r="K18" s="9">
        <v>1013020848</v>
      </c>
      <c r="L18" s="75">
        <v>541485676</v>
      </c>
      <c r="M18" s="9">
        <v>562427025</v>
      </c>
      <c r="N18" s="82">
        <v>541485676</v>
      </c>
    </row>
    <row r="19" spans="2:15" x14ac:dyDescent="0.3">
      <c r="B19" s="113"/>
      <c r="C19" s="114"/>
      <c r="D19" s="114"/>
      <c r="E19" s="114"/>
      <c r="F19" s="114"/>
      <c r="G19" s="114"/>
      <c r="H19" s="114"/>
      <c r="I19" s="114"/>
      <c r="J19" s="114"/>
      <c r="K19" s="114"/>
      <c r="L19" s="114"/>
      <c r="M19" s="114"/>
      <c r="N19" s="114"/>
    </row>
    <row r="20" spans="2:15" ht="14.25" thickBot="1" x14ac:dyDescent="0.35">
      <c r="B20" s="108"/>
      <c r="C20" s="108"/>
      <c r="D20" s="108"/>
      <c r="E20" s="108"/>
      <c r="F20" s="108"/>
      <c r="G20" s="108"/>
      <c r="H20" s="108"/>
      <c r="I20" s="108"/>
      <c r="J20" s="108"/>
      <c r="K20" s="108"/>
    </row>
    <row r="21" spans="2:15" x14ac:dyDescent="0.3">
      <c r="B21" s="10" t="s">
        <v>60</v>
      </c>
      <c r="C21" s="11">
        <f>IF(IFERROR(D13/C12,0)&gt;1,1,IFERROR(D13/C12,0))</f>
        <v>0.16736163511627836</v>
      </c>
      <c r="D21" s="11">
        <f>IF(IFERROR(E13/D12,0)&gt;1,1,IFERROR(E13/D12,0))</f>
        <v>0.16924010148514196</v>
      </c>
      <c r="E21" s="11">
        <f t="shared" ref="E21:M21" si="0">IF(IFERROR(F13/E12,0)&gt;1,1,IFERROR(F13/E12,0))</f>
        <v>0.15486531515844668</v>
      </c>
      <c r="F21" s="11">
        <f t="shared" si="0"/>
        <v>0.15340135165351049</v>
      </c>
      <c r="G21" s="11">
        <f t="shared" si="0"/>
        <v>0.22813630643426613</v>
      </c>
      <c r="H21" s="11">
        <f t="shared" si="0"/>
        <v>0.2660065138127814</v>
      </c>
      <c r="I21" s="11">
        <f t="shared" si="0"/>
        <v>0.26811240397994818</v>
      </c>
      <c r="J21" s="11">
        <f t="shared" si="0"/>
        <v>0.25960054295432011</v>
      </c>
      <c r="K21" s="11">
        <f t="shared" si="0"/>
        <v>0.27593558288294956</v>
      </c>
      <c r="L21" s="11">
        <f t="shared" si="0"/>
        <v>0.23067911022749435</v>
      </c>
      <c r="M21" s="83">
        <f t="shared" si="0"/>
        <v>0.16874660658116597</v>
      </c>
      <c r="N21" s="84">
        <f>AVERAGE(C21:M21)</f>
        <v>0.21291686093511847</v>
      </c>
      <c r="O21" s="174" t="s">
        <v>58</v>
      </c>
    </row>
    <row r="22" spans="2:15" x14ac:dyDescent="0.3">
      <c r="B22" s="13" t="s">
        <v>61</v>
      </c>
      <c r="C22" s="14">
        <f>IF(IFERROR(D14/C13,0)&gt;1,1,IFERROR(D14/C13,0))</f>
        <v>0.5282503993678439</v>
      </c>
      <c r="D22" s="14">
        <f t="shared" ref="D22:M22" si="1">IF(IFERROR(E14/D13,0)&gt;1,1,IFERROR(E14/D13,0))</f>
        <v>0.25502442085242116</v>
      </c>
      <c r="E22" s="14">
        <f t="shared" si="1"/>
        <v>0.32060083476409129</v>
      </c>
      <c r="F22" s="14">
        <f t="shared" si="1"/>
        <v>0.31179066002428496</v>
      </c>
      <c r="G22" s="14">
        <f t="shared" si="1"/>
        <v>0.49919951554589959</v>
      </c>
      <c r="H22" s="14">
        <f t="shared" si="1"/>
        <v>0.21859636301234453</v>
      </c>
      <c r="I22" s="14">
        <f t="shared" si="1"/>
        <v>0.42875224844645154</v>
      </c>
      <c r="J22" s="14">
        <f t="shared" si="1"/>
        <v>0.33383628372321555</v>
      </c>
      <c r="K22" s="14">
        <f t="shared" si="1"/>
        <v>0.50419034665032747</v>
      </c>
      <c r="L22" s="14">
        <f t="shared" si="1"/>
        <v>0.30220308820228731</v>
      </c>
      <c r="M22" s="85">
        <f t="shared" si="1"/>
        <v>0.14138178229789175</v>
      </c>
      <c r="N22" s="86">
        <f t="shared" ref="N22:N25" si="2">AVERAGE(C22:M22)</f>
        <v>0.34943872208064169</v>
      </c>
      <c r="O22" s="174"/>
    </row>
    <row r="23" spans="2:15" x14ac:dyDescent="0.3">
      <c r="B23" s="13" t="s">
        <v>62</v>
      </c>
      <c r="C23" s="14">
        <f t="shared" ref="C23:M23" si="3">IF(IFERROR(D15/C14,0)&gt;1,1,IFERROR(D15/C14,0))</f>
        <v>0.65333102547897914</v>
      </c>
      <c r="D23" s="14">
        <f t="shared" si="3"/>
        <v>0.41579654565852725</v>
      </c>
      <c r="E23" s="14">
        <f t="shared" si="3"/>
        <v>0.84996688267312048</v>
      </c>
      <c r="F23" s="14">
        <f t="shared" si="3"/>
        <v>0.53033589193406672</v>
      </c>
      <c r="G23" s="14">
        <f t="shared" si="3"/>
        <v>0.42629665293537611</v>
      </c>
      <c r="H23" s="14">
        <f t="shared" si="3"/>
        <v>0.6814896902498272</v>
      </c>
      <c r="I23" s="14">
        <f t="shared" si="3"/>
        <v>0.39109922919895734</v>
      </c>
      <c r="J23" s="14">
        <f t="shared" si="3"/>
        <v>0.15375622600987501</v>
      </c>
      <c r="K23" s="14">
        <f t="shared" si="3"/>
        <v>0.59176452592257212</v>
      </c>
      <c r="L23" s="14">
        <f t="shared" si="3"/>
        <v>0.27918497786063062</v>
      </c>
      <c r="M23" s="85">
        <f t="shared" si="3"/>
        <v>0.54875469178221659</v>
      </c>
      <c r="N23" s="86">
        <f t="shared" si="2"/>
        <v>0.50197966724583165</v>
      </c>
      <c r="O23" s="174"/>
    </row>
    <row r="24" spans="2:15" x14ac:dyDescent="0.3">
      <c r="B24" s="13" t="s">
        <v>63</v>
      </c>
      <c r="C24" s="14">
        <f t="shared" ref="C24:M24" si="4">IF(IFERROR(D16/C15,0)&gt;1,1,IFERROR(D16/C15,0))</f>
        <v>0.90410872689879218</v>
      </c>
      <c r="D24" s="14">
        <f t="shared" si="4"/>
        <v>0.91161522070915935</v>
      </c>
      <c r="E24" s="14">
        <f t="shared" si="4"/>
        <v>0.38348846262402281</v>
      </c>
      <c r="F24" s="14">
        <f t="shared" si="4"/>
        <v>5.5534301610454119E-2</v>
      </c>
      <c r="G24" s="14">
        <f t="shared" si="4"/>
        <v>0.38832816994678881</v>
      </c>
      <c r="H24" s="14">
        <f t="shared" si="4"/>
        <v>0.32728163799279447</v>
      </c>
      <c r="I24" s="14">
        <f t="shared" si="4"/>
        <v>0.11911881588578502</v>
      </c>
      <c r="J24" s="14">
        <f t="shared" si="4"/>
        <v>0.12312676275588856</v>
      </c>
      <c r="K24" s="14">
        <f t="shared" si="4"/>
        <v>0.25611790076102209</v>
      </c>
      <c r="L24" s="14">
        <f t="shared" si="4"/>
        <v>0.17397068538830218</v>
      </c>
      <c r="M24" s="87">
        <f t="shared" si="4"/>
        <v>0.20630432615720734</v>
      </c>
      <c r="N24" s="86">
        <f t="shared" si="2"/>
        <v>0.3499086373391106</v>
      </c>
      <c r="O24" s="174"/>
    </row>
    <row r="25" spans="2:15" ht="14.25" thickBot="1" x14ac:dyDescent="0.35">
      <c r="B25" s="15" t="s">
        <v>64</v>
      </c>
      <c r="C25" s="16">
        <f t="shared" ref="C25:M25" si="5">IF(IFERROR(D17/C16,0)&gt;1,1,IFERROR(D17/C16,0))</f>
        <v>0.41430515873078672</v>
      </c>
      <c r="D25" s="16">
        <f t="shared" si="5"/>
        <v>0.5478944088011235</v>
      </c>
      <c r="E25" s="16">
        <f t="shared" si="5"/>
        <v>9.7114053885742929E-2</v>
      </c>
      <c r="F25" s="16">
        <f t="shared" si="5"/>
        <v>7.8102292477685839E-2</v>
      </c>
      <c r="G25" s="16">
        <f t="shared" si="5"/>
        <v>0</v>
      </c>
      <c r="H25" s="16">
        <f t="shared" si="5"/>
        <v>5.4392385366974681E-2</v>
      </c>
      <c r="I25" s="16">
        <f t="shared" si="5"/>
        <v>1.7432593329298675E-2</v>
      </c>
      <c r="J25" s="16">
        <f t="shared" si="5"/>
        <v>0</v>
      </c>
      <c r="K25" s="16">
        <f t="shared" si="5"/>
        <v>1</v>
      </c>
      <c r="L25" s="16">
        <f t="shared" si="5"/>
        <v>0.98208734909729944</v>
      </c>
      <c r="M25" s="88">
        <f t="shared" si="5"/>
        <v>0.72646675550042172</v>
      </c>
      <c r="N25" s="89">
        <f t="shared" si="2"/>
        <v>0.35616318156266669</v>
      </c>
      <c r="O25" s="174"/>
    </row>
    <row r="26" spans="2:15" x14ac:dyDescent="0.3">
      <c r="B26" s="108"/>
      <c r="C26" s="108"/>
      <c r="D26" s="108"/>
      <c r="E26" s="108"/>
      <c r="F26" s="108"/>
      <c r="G26" s="108"/>
      <c r="H26" s="108"/>
      <c r="I26" s="108"/>
      <c r="J26" s="108"/>
      <c r="K26" s="108"/>
    </row>
    <row r="27" spans="2:15" x14ac:dyDescent="0.3">
      <c r="B27" s="111" t="s">
        <v>40</v>
      </c>
      <c r="C27" s="108"/>
      <c r="D27" s="108"/>
      <c r="E27" s="108"/>
      <c r="F27" s="108"/>
      <c r="G27" s="108"/>
      <c r="H27" s="108"/>
      <c r="I27" s="108"/>
      <c r="J27" s="108"/>
      <c r="K27" s="108"/>
    </row>
    <row r="28" spans="2:15" x14ac:dyDescent="0.3">
      <c r="B28" s="2" t="s">
        <v>65</v>
      </c>
      <c r="C28" s="108"/>
      <c r="D28" s="108"/>
      <c r="E28" s="108"/>
      <c r="F28" s="108"/>
      <c r="G28" s="108"/>
      <c r="H28" s="108"/>
      <c r="I28" s="108"/>
      <c r="J28" s="108"/>
      <c r="K28" s="108"/>
    </row>
    <row r="29" spans="2:15" x14ac:dyDescent="0.3">
      <c r="B29" s="108"/>
      <c r="C29" s="108"/>
      <c r="D29" s="108"/>
      <c r="E29" s="108"/>
      <c r="F29" s="108"/>
      <c r="G29" s="108"/>
      <c r="H29" s="108"/>
      <c r="I29" s="108"/>
      <c r="J29" s="108"/>
      <c r="K29" s="108"/>
    </row>
    <row r="30" spans="2:15" ht="14.25" thickBot="1" x14ac:dyDescent="0.35">
      <c r="D30" s="109"/>
    </row>
    <row r="31" spans="2:15" ht="54" x14ac:dyDescent="0.3">
      <c r="B31" s="170" t="s">
        <v>0</v>
      </c>
      <c r="C31" s="68" t="s">
        <v>94</v>
      </c>
      <c r="D31" s="69" t="s">
        <v>44</v>
      </c>
      <c r="E31" s="70" t="s">
        <v>45</v>
      </c>
      <c r="F31" s="71" t="s">
        <v>59</v>
      </c>
      <c r="G31" s="72" t="s">
        <v>47</v>
      </c>
      <c r="I31" s="108"/>
      <c r="J31" s="108"/>
      <c r="K31" s="108"/>
    </row>
    <row r="32" spans="2:15" ht="14.25" thickBot="1" x14ac:dyDescent="0.35">
      <c r="B32" s="171"/>
      <c r="C32" s="90" t="s">
        <v>246</v>
      </c>
      <c r="D32" s="91" t="s">
        <v>246</v>
      </c>
      <c r="E32" s="92" t="s">
        <v>246</v>
      </c>
      <c r="F32" s="93" t="s">
        <v>246</v>
      </c>
      <c r="G32" s="56" t="s">
        <v>246</v>
      </c>
      <c r="I32" s="108"/>
      <c r="J32" s="108"/>
      <c r="K32" s="108"/>
    </row>
    <row r="33" spans="2:11" x14ac:dyDescent="0.3">
      <c r="B33" s="20" t="s">
        <v>26</v>
      </c>
      <c r="C33" s="94">
        <f t="shared" ref="C33:C39" si="6">N12</f>
        <v>7429311505</v>
      </c>
      <c r="D33" s="50">
        <f>C48</f>
        <v>0</v>
      </c>
      <c r="E33" s="95">
        <f>C33-D33</f>
        <v>7429311505</v>
      </c>
      <c r="F33" s="63">
        <f>PRODUCT(N21:$N$25)</f>
        <v>4.6544770647245978E-3</v>
      </c>
      <c r="G33" s="57">
        <f>ROUND(E33*F33,)</f>
        <v>34579560</v>
      </c>
      <c r="I33" s="108"/>
      <c r="J33" s="108"/>
      <c r="K33" s="108"/>
    </row>
    <row r="34" spans="2:11" x14ac:dyDescent="0.3">
      <c r="B34" s="22" t="s">
        <v>38</v>
      </c>
      <c r="C34" s="96">
        <f t="shared" si="6"/>
        <v>1329525137</v>
      </c>
      <c r="D34" s="52">
        <f t="shared" ref="D34:D39" si="7">C49</f>
        <v>0</v>
      </c>
      <c r="E34" s="97">
        <f t="shared" ref="E34:E39" si="8">C34-D34</f>
        <v>1329525137</v>
      </c>
      <c r="F34" s="64">
        <f>PRODUCT(N22:$N$25)</f>
        <v>2.1860537696650261E-2</v>
      </c>
      <c r="G34" s="58">
        <f t="shared" ref="G34:G39" si="9">ROUND(E34*F34,)</f>
        <v>29064134</v>
      </c>
      <c r="I34" s="108"/>
      <c r="J34" s="108"/>
      <c r="K34" s="108"/>
    </row>
    <row r="35" spans="2:11" x14ac:dyDescent="0.3">
      <c r="B35" s="22" t="s">
        <v>28</v>
      </c>
      <c r="C35" s="96">
        <f t="shared" si="6"/>
        <v>239763111</v>
      </c>
      <c r="D35" s="52">
        <f t="shared" si="7"/>
        <v>0</v>
      </c>
      <c r="E35" s="97">
        <f t="shared" si="8"/>
        <v>239763111</v>
      </c>
      <c r="F35" s="64">
        <f>PRODUCT(N23:$N$25)</f>
        <v>6.255900195172244E-2</v>
      </c>
      <c r="G35" s="58">
        <f t="shared" si="9"/>
        <v>14999341</v>
      </c>
      <c r="I35" s="108"/>
      <c r="J35" s="108"/>
      <c r="K35" s="108"/>
    </row>
    <row r="36" spans="2:11" x14ac:dyDescent="0.3">
      <c r="B36" s="22" t="s">
        <v>29</v>
      </c>
      <c r="C36" s="96">
        <f t="shared" si="6"/>
        <v>347750247</v>
      </c>
      <c r="D36" s="52">
        <f t="shared" si="7"/>
        <v>0</v>
      </c>
      <c r="E36" s="97">
        <f t="shared" si="8"/>
        <v>347750247</v>
      </c>
      <c r="F36" s="64">
        <f>PRODUCT(N24:$N$25)</f>
        <v>0.12462457353095494</v>
      </c>
      <c r="G36" s="58">
        <f t="shared" si="9"/>
        <v>43338226</v>
      </c>
      <c r="I36" s="108"/>
      <c r="J36" s="108"/>
      <c r="K36" s="108"/>
    </row>
    <row r="37" spans="2:11" ht="14.25" thickBot="1" x14ac:dyDescent="0.35">
      <c r="B37" s="25" t="s">
        <v>31</v>
      </c>
      <c r="C37" s="98">
        <f t="shared" si="6"/>
        <v>56425025</v>
      </c>
      <c r="D37" s="55">
        <f t="shared" si="7"/>
        <v>0</v>
      </c>
      <c r="E37" s="99">
        <f t="shared" si="8"/>
        <v>56425025</v>
      </c>
      <c r="F37" s="67">
        <f>PRODUCT(N25:$N$25)</f>
        <v>0.35616318156266669</v>
      </c>
      <c r="G37" s="59">
        <f t="shared" si="9"/>
        <v>20096516</v>
      </c>
      <c r="I37" s="108"/>
      <c r="J37" s="108"/>
      <c r="K37" s="108"/>
    </row>
    <row r="38" spans="2:11" x14ac:dyDescent="0.3">
      <c r="B38" s="27" t="s">
        <v>33</v>
      </c>
      <c r="C38" s="94">
        <f t="shared" si="6"/>
        <v>56383366</v>
      </c>
      <c r="D38" s="50">
        <f t="shared" si="7"/>
        <v>0</v>
      </c>
      <c r="E38" s="29">
        <f t="shared" si="8"/>
        <v>56383366</v>
      </c>
      <c r="F38" s="100">
        <v>1</v>
      </c>
      <c r="G38" s="60">
        <f t="shared" si="9"/>
        <v>56383366</v>
      </c>
      <c r="I38" s="108"/>
      <c r="J38" s="108"/>
      <c r="K38" s="108"/>
    </row>
    <row r="39" spans="2:11" ht="14.25" thickBot="1" x14ac:dyDescent="0.35">
      <c r="B39" s="30" t="s">
        <v>35</v>
      </c>
      <c r="C39" s="98">
        <f t="shared" si="6"/>
        <v>541485676</v>
      </c>
      <c r="D39" s="55">
        <f t="shared" si="7"/>
        <v>119192371</v>
      </c>
      <c r="E39" s="32">
        <f t="shared" si="8"/>
        <v>422293305</v>
      </c>
      <c r="F39" s="67">
        <v>1</v>
      </c>
      <c r="G39" s="61">
        <f t="shared" si="9"/>
        <v>422293305</v>
      </c>
      <c r="I39" s="108"/>
      <c r="J39" s="108"/>
      <c r="K39" s="108"/>
    </row>
    <row r="40" spans="2:11" ht="14.25" thickBot="1" x14ac:dyDescent="0.35">
      <c r="B40" s="30" t="s">
        <v>41</v>
      </c>
      <c r="C40" s="101">
        <f>SUM(C33:C39)</f>
        <v>10000644067</v>
      </c>
      <c r="D40" s="101">
        <f>SUM(D33:D39)</f>
        <v>119192371</v>
      </c>
      <c r="E40" s="102">
        <f>SUM(E33:E39)</f>
        <v>9881451696</v>
      </c>
      <c r="F40" s="67"/>
      <c r="G40" s="61">
        <f>SUM(G33:G39)</f>
        <v>620754448</v>
      </c>
      <c r="H40" s="108"/>
      <c r="I40" s="108"/>
      <c r="J40" s="108"/>
      <c r="K40" s="108"/>
    </row>
    <row r="41" spans="2:11" ht="14.25" thickBot="1" x14ac:dyDescent="0.35">
      <c r="B41" s="108"/>
      <c r="E41" s="109"/>
      <c r="F41" s="110"/>
      <c r="G41" s="115"/>
      <c r="H41" s="108"/>
      <c r="I41" s="108"/>
      <c r="J41" s="108"/>
      <c r="K41" s="108"/>
    </row>
    <row r="42" spans="2:11" ht="14.25" thickBot="1" x14ac:dyDescent="0.35">
      <c r="G42" s="33">
        <f>G40</f>
        <v>620754448</v>
      </c>
      <c r="H42" s="2" t="s">
        <v>37</v>
      </c>
    </row>
    <row r="43" spans="2:11" x14ac:dyDescent="0.3">
      <c r="B43" s="111" t="s">
        <v>48</v>
      </c>
    </row>
    <row r="44" spans="2:11" x14ac:dyDescent="0.3">
      <c r="B44" s="2" t="s">
        <v>49</v>
      </c>
    </row>
    <row r="45" spans="2:11" ht="14.25" thickBot="1" x14ac:dyDescent="0.35"/>
    <row r="46" spans="2:11" ht="67.5" x14ac:dyDescent="0.3">
      <c r="B46" s="170" t="s">
        <v>0</v>
      </c>
      <c r="C46" s="68" t="s">
        <v>95</v>
      </c>
      <c r="D46" s="70" t="s">
        <v>96</v>
      </c>
    </row>
    <row r="47" spans="2:11" ht="14.25" thickBot="1" x14ac:dyDescent="0.35">
      <c r="B47" s="171"/>
      <c r="C47" s="17" t="s">
        <v>246</v>
      </c>
      <c r="D47" s="19" t="s">
        <v>246</v>
      </c>
    </row>
    <row r="48" spans="2:11" x14ac:dyDescent="0.3">
      <c r="B48" s="20" t="s">
        <v>26</v>
      </c>
      <c r="C48" s="34">
        <v>0</v>
      </c>
      <c r="D48" s="35">
        <v>0</v>
      </c>
      <c r="F48" s="173" t="s">
        <v>85</v>
      </c>
      <c r="G48" s="173"/>
      <c r="H48" s="173"/>
      <c r="I48" s="173"/>
    </row>
    <row r="49" spans="1:10" x14ac:dyDescent="0.3">
      <c r="B49" s="22" t="s">
        <v>38</v>
      </c>
      <c r="C49" s="36">
        <v>0</v>
      </c>
      <c r="D49" s="37">
        <v>0</v>
      </c>
      <c r="F49" s="104" t="s">
        <v>86</v>
      </c>
      <c r="G49" s="105">
        <v>27256788</v>
      </c>
      <c r="H49" s="104" t="s">
        <v>87</v>
      </c>
      <c r="I49" s="105">
        <v>49060000</v>
      </c>
    </row>
    <row r="50" spans="1:10" x14ac:dyDescent="0.3">
      <c r="B50" s="22" t="s">
        <v>28</v>
      </c>
      <c r="C50" s="36">
        <v>0</v>
      </c>
      <c r="D50" s="37">
        <v>0</v>
      </c>
      <c r="F50" s="104" t="s">
        <v>88</v>
      </c>
      <c r="G50" s="105">
        <v>3228130</v>
      </c>
      <c r="H50" s="104" t="s">
        <v>89</v>
      </c>
      <c r="I50" s="105">
        <v>12000000</v>
      </c>
    </row>
    <row r="51" spans="1:10" x14ac:dyDescent="0.3">
      <c r="B51" s="22" t="s">
        <v>29</v>
      </c>
      <c r="C51" s="36">
        <v>0</v>
      </c>
      <c r="D51" s="37">
        <v>0</v>
      </c>
      <c r="F51" s="104" t="s">
        <v>90</v>
      </c>
      <c r="G51" s="105">
        <v>27647453</v>
      </c>
      <c r="H51" s="106"/>
      <c r="I51" s="106"/>
    </row>
    <row r="52" spans="1:10" x14ac:dyDescent="0.3">
      <c r="B52" s="25" t="s">
        <v>31</v>
      </c>
      <c r="C52" s="38">
        <v>0</v>
      </c>
      <c r="D52" s="39">
        <v>0</v>
      </c>
    </row>
    <row r="53" spans="1:10" x14ac:dyDescent="0.3">
      <c r="B53" s="25" t="s">
        <v>33</v>
      </c>
      <c r="C53" s="38"/>
      <c r="D53" s="39"/>
    </row>
    <row r="54" spans="1:10" ht="14.25" thickBot="1" x14ac:dyDescent="0.35">
      <c r="B54" s="49" t="s">
        <v>35</v>
      </c>
      <c r="C54" s="40">
        <f>SUM(G49:G51,I49:I51)</f>
        <v>119192371</v>
      </c>
      <c r="D54" s="41">
        <f>C54</f>
        <v>119192371</v>
      </c>
    </row>
    <row r="55" spans="1:10" ht="14.25" thickBot="1" x14ac:dyDescent="0.35">
      <c r="B55" s="46" t="s">
        <v>11</v>
      </c>
      <c r="C55" s="47">
        <f>SUM(C48:C54)</f>
        <v>119192371</v>
      </c>
      <c r="D55" s="48">
        <f>SUM(D48:D54)</f>
        <v>119192371</v>
      </c>
    </row>
    <row r="56" spans="1:10" ht="14.25" thickBot="1" x14ac:dyDescent="0.35"/>
    <row r="57" spans="1:10" ht="14.25" thickBot="1" x14ac:dyDescent="0.35">
      <c r="E57" s="33">
        <f>D55</f>
        <v>119192371</v>
      </c>
      <c r="F57" s="2" t="s">
        <v>51</v>
      </c>
    </row>
    <row r="59" spans="1:10" x14ac:dyDescent="0.3">
      <c r="B59" s="111" t="s">
        <v>12</v>
      </c>
    </row>
    <row r="60" spans="1:10" x14ac:dyDescent="0.3">
      <c r="B60" s="2" t="s">
        <v>20</v>
      </c>
      <c r="H60" s="118" t="s">
        <v>83</v>
      </c>
      <c r="I60" s="118" t="s">
        <v>84</v>
      </c>
      <c r="J60" s="118" t="s">
        <v>78</v>
      </c>
    </row>
    <row r="61" spans="1:10" x14ac:dyDescent="0.3">
      <c r="B61" s="42" t="s">
        <v>97</v>
      </c>
      <c r="C61" s="42" t="s">
        <v>15</v>
      </c>
      <c r="D61" s="42" t="s">
        <v>98</v>
      </c>
      <c r="E61" s="42" t="s">
        <v>99</v>
      </c>
      <c r="H61" s="43" t="s">
        <v>79</v>
      </c>
      <c r="I61" s="119">
        <f>D63</f>
        <v>739946819</v>
      </c>
      <c r="J61" s="119">
        <v>1170932564.2797999</v>
      </c>
    </row>
    <row r="62" spans="1:10" x14ac:dyDescent="0.3">
      <c r="A62" s="2" t="s">
        <v>18</v>
      </c>
      <c r="B62" s="103" t="s">
        <v>100</v>
      </c>
      <c r="C62" s="43" t="s">
        <v>4</v>
      </c>
      <c r="D62" s="44">
        <v>10000644067</v>
      </c>
      <c r="E62" s="43"/>
      <c r="H62" s="43" t="s">
        <v>80</v>
      </c>
      <c r="I62" s="119">
        <v>806659219</v>
      </c>
      <c r="J62" s="119">
        <v>1203486731</v>
      </c>
    </row>
    <row r="63" spans="1:10" x14ac:dyDescent="0.3">
      <c r="A63" s="2" t="s">
        <v>19</v>
      </c>
      <c r="B63" s="43">
        <v>1110321</v>
      </c>
      <c r="C63" s="43" t="s">
        <v>13</v>
      </c>
      <c r="D63" s="44">
        <v>739946819</v>
      </c>
      <c r="E63" s="45">
        <f>D63-G42-E57</f>
        <v>0</v>
      </c>
      <c r="F63" s="2" t="s">
        <v>16</v>
      </c>
      <c r="H63" s="43" t="s">
        <v>81</v>
      </c>
      <c r="I63" s="119"/>
      <c r="J63" s="119"/>
    </row>
    <row r="64" spans="1:10" x14ac:dyDescent="0.3">
      <c r="B64" s="43"/>
      <c r="C64" s="43" t="s">
        <v>101</v>
      </c>
      <c r="D64" s="45">
        <f>D62-D63</f>
        <v>9260697248</v>
      </c>
      <c r="E64" s="45">
        <f>D64-E40-C55+G42+E57</f>
        <v>0</v>
      </c>
      <c r="F64" s="2" t="s">
        <v>16</v>
      </c>
      <c r="H64" s="106" t="s">
        <v>82</v>
      </c>
      <c r="I64" s="120">
        <f>I61-I62+I63</f>
        <v>-66712400</v>
      </c>
      <c r="J64" s="107">
        <v>-32554166.720200099</v>
      </c>
    </row>
  </sheetData>
  <mergeCells count="4">
    <mergeCell ref="O21:O25"/>
    <mergeCell ref="B31:B32"/>
    <mergeCell ref="B46:B47"/>
    <mergeCell ref="F48:I48"/>
  </mergeCells>
  <phoneticPr fontId="25" type="noConversion"/>
  <pageMargins left="0.51181102362204722" right="0" top="0.94488188976377963" bottom="0.15748031496062992" header="0.31496062992125984" footer="0.31496062992125984"/>
  <pageSetup paperSize="9" scale="4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39</vt:i4>
      </vt:variant>
      <vt:variant>
        <vt:lpstr>이름 지정된 범위</vt:lpstr>
      </vt:variant>
      <vt:variant>
        <vt:i4>30</vt:i4>
      </vt:variant>
    </vt:vector>
  </HeadingPairs>
  <TitlesOfParts>
    <vt:vector size="69" baseType="lpstr">
      <vt:lpstr>기본가정</vt:lpstr>
      <vt:lpstr>3-2.2019년 3분기</vt:lpstr>
      <vt:lpstr>4-2.2019년 4분기</vt:lpstr>
      <vt:lpstr>1-2.2020년 1분기</vt:lpstr>
      <vt:lpstr>2-2.2020년 2분기</vt:lpstr>
      <vt:lpstr>부도율 적용(2020.02Q)</vt:lpstr>
      <vt:lpstr>전이율 적용(2020.02Q)</vt:lpstr>
      <vt:lpstr>부도율 적용(2020.3Q)</vt:lpstr>
      <vt:lpstr>전이율 적용(2020.3Q)</vt:lpstr>
      <vt:lpstr>부도율 적용(2020.4Q)</vt:lpstr>
      <vt:lpstr>전이율 적용(2020.4Q)-기존</vt:lpstr>
      <vt:lpstr>전이율 적용(2020.4Q)-국내</vt:lpstr>
      <vt:lpstr>전이율 적용(2020.4Q)-수출</vt:lpstr>
      <vt:lpstr>전이율 적용(2021.1Q)-국내</vt:lpstr>
      <vt:lpstr>전이율 적용(2021.1Q)-수출</vt:lpstr>
      <vt:lpstr>전이율 적용(2021.2Q)-국내</vt:lpstr>
      <vt:lpstr>전이율 적용(2021.2Q)-수출</vt:lpstr>
      <vt:lpstr>전이율 적용(2021.3Q)-국내</vt:lpstr>
      <vt:lpstr>전이율 적용(2021.3Q)-수출</vt:lpstr>
      <vt:lpstr>전이율 적용(2021.4Q)-국내</vt:lpstr>
      <vt:lpstr>전이율 적용(2021.4Q)-수출</vt:lpstr>
      <vt:lpstr>전이율 적용(2022.1Q)-국내</vt:lpstr>
      <vt:lpstr>전이율 적용(2022.1Q)-수출</vt:lpstr>
      <vt:lpstr>전이율 적용(2022.2Q)-국내</vt:lpstr>
      <vt:lpstr>전이율 적용(2022.2Q)-수출</vt:lpstr>
      <vt:lpstr>전이율 적용(2022.3Q)-국내.</vt:lpstr>
      <vt:lpstr>전이율 적용(2022.3Q)-수출.</vt:lpstr>
      <vt:lpstr>전이율 적용(2022.3Q)-국내</vt:lpstr>
      <vt:lpstr>전이율 적용(2022.3Q)-수출</vt:lpstr>
      <vt:lpstr>전이율 적용(2022.4Q)-국내</vt:lpstr>
      <vt:lpstr>전이율 적용(2022.4Q)-수출</vt:lpstr>
      <vt:lpstr>전이율 적용(2023.1Q)-국내</vt:lpstr>
      <vt:lpstr>전이율 적용(2023.1Q)-수출</vt:lpstr>
      <vt:lpstr>전이율 적용(2023.2Q)-국내</vt:lpstr>
      <vt:lpstr>전이율 적용(2023.2Q)-수출</vt:lpstr>
      <vt:lpstr>전이율 적용(2023.3Q)-국내</vt:lpstr>
      <vt:lpstr>전이율 적용(2023.3Q)-수출</vt:lpstr>
      <vt:lpstr>전이율 적용(2023.4Q)-국내</vt:lpstr>
      <vt:lpstr>전이율 적용(2023.4Q)-수출</vt:lpstr>
      <vt:lpstr>'전이율 적용(2020.3Q)'!Print_Area</vt:lpstr>
      <vt:lpstr>'전이율 적용(2020.4Q)-국내'!Print_Area</vt:lpstr>
      <vt:lpstr>'전이율 적용(2020.4Q)-기존'!Print_Area</vt:lpstr>
      <vt:lpstr>'전이율 적용(2020.4Q)-수출'!Print_Area</vt:lpstr>
      <vt:lpstr>'전이율 적용(2021.1Q)-국내'!Print_Area</vt:lpstr>
      <vt:lpstr>'전이율 적용(2021.1Q)-수출'!Print_Area</vt:lpstr>
      <vt:lpstr>'전이율 적용(2021.2Q)-국내'!Print_Area</vt:lpstr>
      <vt:lpstr>'전이율 적용(2021.2Q)-수출'!Print_Area</vt:lpstr>
      <vt:lpstr>'전이율 적용(2021.3Q)-국내'!Print_Area</vt:lpstr>
      <vt:lpstr>'전이율 적용(2021.3Q)-수출'!Print_Area</vt:lpstr>
      <vt:lpstr>'전이율 적용(2021.4Q)-국내'!Print_Area</vt:lpstr>
      <vt:lpstr>'전이율 적용(2021.4Q)-수출'!Print_Area</vt:lpstr>
      <vt:lpstr>'전이율 적용(2022.1Q)-국내'!Print_Area</vt:lpstr>
      <vt:lpstr>'전이율 적용(2022.1Q)-수출'!Print_Area</vt:lpstr>
      <vt:lpstr>'전이율 적용(2022.2Q)-국내'!Print_Area</vt:lpstr>
      <vt:lpstr>'전이율 적용(2022.2Q)-수출'!Print_Area</vt:lpstr>
      <vt:lpstr>'전이율 적용(2022.3Q)-국내'!Print_Area</vt:lpstr>
      <vt:lpstr>'전이율 적용(2022.3Q)-국내.'!Print_Area</vt:lpstr>
      <vt:lpstr>'전이율 적용(2022.3Q)-수출'!Print_Area</vt:lpstr>
      <vt:lpstr>'전이율 적용(2022.3Q)-수출.'!Print_Area</vt:lpstr>
      <vt:lpstr>'전이율 적용(2022.4Q)-국내'!Print_Area</vt:lpstr>
      <vt:lpstr>'전이율 적용(2022.4Q)-수출'!Print_Area</vt:lpstr>
      <vt:lpstr>'전이율 적용(2023.1Q)-국내'!Print_Area</vt:lpstr>
      <vt:lpstr>'전이율 적용(2023.1Q)-수출'!Print_Area</vt:lpstr>
      <vt:lpstr>'전이율 적용(2023.2Q)-국내'!Print_Area</vt:lpstr>
      <vt:lpstr>'전이율 적용(2023.2Q)-수출'!Print_Area</vt:lpstr>
      <vt:lpstr>'전이율 적용(2023.3Q)-국내'!Print_Area</vt:lpstr>
      <vt:lpstr>'전이율 적용(2023.3Q)-수출'!Print_Area</vt:lpstr>
      <vt:lpstr>'전이율 적용(2023.4Q)-국내'!Print_Area</vt:lpstr>
      <vt:lpstr>'전이율 적용(2023.4Q)-수출'!Print_Area</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YUJINOH</cp:lastModifiedBy>
  <cp:lastPrinted>2020-07-30T03:21:38Z</cp:lastPrinted>
  <dcterms:created xsi:type="dcterms:W3CDTF">2018-03-16T05:50:11Z</dcterms:created>
  <dcterms:modified xsi:type="dcterms:W3CDTF">2024-01-23T03:09:16Z</dcterms:modified>
</cp:coreProperties>
</file>