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0.10.10.11\Ai본부\F.AI본부\2023년 12월\★오디텍\오디텍(최수민)_2312_CGU\1. 받은자료\"/>
    </mc:Choice>
  </mc:AlternateContent>
  <bookViews>
    <workbookView xWindow="0" yWindow="0" windowWidth="28800" windowHeight="8970" activeTab="4"/>
  </bookViews>
  <sheets>
    <sheet name="1. 매출 구분" sheetId="1" r:id="rId1"/>
    <sheet name="2. 제조원명세서" sheetId="2" r:id="rId2"/>
    <sheet name="3-1. 2022년재무상태표" sheetId="4" r:id="rId3"/>
    <sheet name="3-2. 2022년손익계산서" sheetId="5" r:id="rId4"/>
    <sheet name="4. 이연법인세산출내역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S2SyncStepLS" hidden="1">0</definedName>
    <definedName name="conb121">[1]!conb121</definedName>
    <definedName name="_xlnm.Criteria">#REF!</definedName>
    <definedName name="_xlnm.Database">#REF!</definedName>
    <definedName name="DT">[2]Start!$D$4</definedName>
    <definedName name="dtt">[2]Start!$H$4</definedName>
    <definedName name="_xlnm.Extract">#REF!</definedName>
    <definedName name="_xlnm.Print_Area" localSheetId="2">'3-1. 2022년재무상태표'!$A$1:$E$143</definedName>
    <definedName name="_xlnm.Print_Area" localSheetId="3">'3-2. 2022년손익계산서'!$A$1:$I$87</definedName>
    <definedName name="_xlnm.Print_Area">#REF!</definedName>
    <definedName name="_xlnm.Print_Titles" localSheetId="2">'3-1. 2022년재무상태표'!$1:$10</definedName>
    <definedName name="_xlnm.Print_Titles" localSheetId="3">'3-2. 2022년손익계산서'!$1:$9</definedName>
    <definedName name="_xlnm.Print_Titles">#N/A</definedName>
    <definedName name="Question12">#REF!</definedName>
    <definedName name="Question13">#REF!</definedName>
    <definedName name="Question14">#REF!</definedName>
    <definedName name="Question15">#REF!</definedName>
    <definedName name="Question16">#REF!</definedName>
    <definedName name="Question17">#REF!</definedName>
    <definedName name="Question18">#REF!</definedName>
    <definedName name="Question19">#REF!</definedName>
    <definedName name="Question2">#REF!</definedName>
    <definedName name="Question3">#REF!</definedName>
    <definedName name="Question4">#REF!</definedName>
    <definedName name="Question5">#REF!</definedName>
    <definedName name="Question6">#REF!</definedName>
    <definedName name="Question7">#REF!</definedName>
    <definedName name="Question8">#REF!</definedName>
    <definedName name="Question9">#REF!</definedName>
    <definedName name="TEST_D">#N/A</definedName>
    <definedName name="TEST_E">#N/A</definedName>
    <definedName name="Z_4C59C1F8_C307_4815_9263_9F187D98E561_.wvu.PrintArea" localSheetId="2" hidden="1">'3-1. 2022년재무상태표'!$A$1:$E$143</definedName>
    <definedName name="Z_4C59C1F8_C307_4815_9263_9F187D98E561_.wvu.PrintArea" localSheetId="3" hidden="1">'3-2. 2022년손익계산서'!$A$1:$I$87</definedName>
    <definedName name="Z_4C59C1F8_C307_4815_9263_9F187D98E561_.wvu.PrintTitles" localSheetId="2" hidden="1">'3-1. 2022년재무상태표'!$1:$10</definedName>
    <definedName name="Z_4C59C1F8_C307_4815_9263_9F187D98E561_.wvu.PrintTitles" localSheetId="3" hidden="1">'3-2. 2022년손익계산서'!$1:$9</definedName>
    <definedName name="Z_4C59C1F8_C307_4815_9263_9F187D98E561_.wvu.Rows" localSheetId="2" hidden="1">'3-1. 2022년재무상태표'!$69:$69,'3-1. 2022년재무상태표'!$75:$75,'3-1. 2022년재무상태표'!$80:$80,'3-1. 2022년재무상태표'!$82:$82,'3-1. 2022년재무상태표'!$96:$100</definedName>
    <definedName name="내용연수">#REF!</definedName>
    <definedName name="내용연수2">#REF!</definedName>
    <definedName name="법인세비용">'3-2. 2022년손익계산서'!#REF!</definedName>
    <definedName name="법인세차감전순이익">'3-2. 2022년손익계산서'!#REF!</definedName>
    <definedName name="영업외비용" localSheetId="3">'3-2. 2022년손익계산서'!#REF!</definedName>
    <definedName name="영업외비용">#REF!</definedName>
    <definedName name="영업외수익" localSheetId="3">'3-2. 2022년손익계산서'!#REF!</definedName>
    <definedName name="영업외수익">#REF!</definedName>
    <definedName name="조골상매">'[3]상품수불(합산)'!$L$44</definedName>
    <definedName name="조골상전">'[3]상품수불(합산)'!$D$43</definedName>
    <definedName name="조골상타계정">'[3]상품수불(합산)'!$N$43</definedName>
    <definedName name="조골타계정제품">[4]업종별제조원가!$G$18</definedName>
    <definedName name="조레기말제품">[4]조치원제조!$E$25</definedName>
    <definedName name="조레기초제품">[4]조치원제조!$E$23</definedName>
    <definedName name="조레타계정제품">[4]조치원제조!$C$17</definedName>
    <definedName name="조상기말">'[3]상품수불(합산)'!$Q$42</definedName>
    <definedName name="조상매입">'[3]상품수불(합산)'!$F$42</definedName>
    <definedName name="조상전월">'[3]상품수불(합산)'!$D$42</definedName>
    <definedName name="조상타계정">'[3]상품수불(합산)'!$N$42</definedName>
    <definedName name="조제기말제품">[4]업종별제조원가!$C$22</definedName>
    <definedName name="조제기초제품">[4]업종별제조원가!$C$21</definedName>
    <definedName name="조제타계정제품">[4]업종별제조원가!$C$18</definedName>
    <definedName name="조청기말제품">[4]업종별제조원가!$K$22</definedName>
    <definedName name="조청기초제품">[4]업종별제조원가!$K$21</definedName>
    <definedName name="조청타계정제품">[5]총제품수불!$AC$105</definedName>
    <definedName name="특별손실">'3-2. 2022년손익계산서'!#REF!</definedName>
    <definedName name="특별이익">'3-2. 2022년손익계산서'!#REF!</definedName>
    <definedName name="판관비" localSheetId="3">'3-2. 2022년손익계산서'!#REF!</definedName>
    <definedName name="판관비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6" l="1"/>
  <c r="K42" i="6"/>
  <c r="K40" i="6"/>
  <c r="K39" i="6"/>
  <c r="K36" i="6"/>
  <c r="K35" i="6"/>
  <c r="K34" i="6"/>
  <c r="K33" i="6"/>
  <c r="K32" i="6"/>
  <c r="K31" i="6"/>
  <c r="K30" i="6"/>
  <c r="K29" i="6"/>
  <c r="K28" i="6"/>
  <c r="K27" i="6"/>
  <c r="K26" i="6"/>
  <c r="K23" i="6"/>
  <c r="K22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F20" i="6"/>
  <c r="H21" i="6"/>
  <c r="H42" i="6"/>
  <c r="H23" i="6"/>
  <c r="G38" i="6"/>
  <c r="G47" i="6"/>
  <c r="I10" i="1" l="1"/>
  <c r="H10" i="1"/>
  <c r="G10" i="1"/>
  <c r="F10" i="1"/>
  <c r="E10" i="1"/>
  <c r="E8" i="1" l="1"/>
  <c r="E51" i="6"/>
  <c r="D51" i="6"/>
  <c r="B36" i="6"/>
  <c r="B38" i="6" s="1"/>
  <c r="B40" i="6" s="1"/>
  <c r="D35" i="6"/>
  <c r="F35" i="6" s="1"/>
  <c r="H35" i="6" s="1"/>
  <c r="F34" i="6"/>
  <c r="H34" i="6" s="1"/>
  <c r="F32" i="6"/>
  <c r="H32" i="6" s="1"/>
  <c r="E31" i="6"/>
  <c r="D31" i="6"/>
  <c r="F31" i="6" s="1"/>
  <c r="E30" i="6"/>
  <c r="D30" i="6"/>
  <c r="F30" i="6" s="1"/>
  <c r="H30" i="6" s="1"/>
  <c r="E29" i="6"/>
  <c r="F29" i="6" s="1"/>
  <c r="H29" i="6" s="1"/>
  <c r="E28" i="6"/>
  <c r="D28" i="6"/>
  <c r="F28" i="6" s="1"/>
  <c r="H28" i="6" s="1"/>
  <c r="E27" i="6"/>
  <c r="D27" i="6"/>
  <c r="E26" i="6"/>
  <c r="D26" i="6"/>
  <c r="B23" i="6"/>
  <c r="B19" i="6"/>
  <c r="E18" i="6"/>
  <c r="F18" i="6" s="1"/>
  <c r="H18" i="6" s="1"/>
  <c r="E17" i="6"/>
  <c r="D17" i="6"/>
  <c r="F17" i="6" s="1"/>
  <c r="G17" i="6" s="1"/>
  <c r="H16" i="6"/>
  <c r="F16" i="6"/>
  <c r="E14" i="6"/>
  <c r="D14" i="6"/>
  <c r="F14" i="6" s="1"/>
  <c r="G14" i="6" s="1"/>
  <c r="E13" i="6"/>
  <c r="D13" i="6"/>
  <c r="F13" i="6" s="1"/>
  <c r="H13" i="6" s="1"/>
  <c r="E12" i="6"/>
  <c r="D12" i="6"/>
  <c r="D11" i="6"/>
  <c r="F11" i="6" s="1"/>
  <c r="H11" i="6" s="1"/>
  <c r="E10" i="6"/>
  <c r="D10" i="6"/>
  <c r="E9" i="6"/>
  <c r="D9" i="6"/>
  <c r="D8" i="6"/>
  <c r="F8" i="6" s="1"/>
  <c r="G8" i="6" s="1"/>
  <c r="E7" i="6"/>
  <c r="D7" i="6"/>
  <c r="E19" i="6" l="1"/>
  <c r="F9" i="6"/>
  <c r="F10" i="6"/>
  <c r="H10" i="6" s="1"/>
  <c r="F12" i="6"/>
  <c r="H12" i="6" s="1"/>
  <c r="F27" i="6"/>
  <c r="G27" i="6" s="1"/>
  <c r="B42" i="6"/>
  <c r="E36" i="6"/>
  <c r="F26" i="6"/>
  <c r="G26" i="6" s="1"/>
  <c r="F7" i="6"/>
  <c r="H7" i="6" s="1"/>
  <c r="H31" i="6"/>
  <c r="G20" i="6"/>
  <c r="G9" i="6"/>
  <c r="G19" i="6" s="1"/>
  <c r="G21" i="6" s="1"/>
  <c r="G23" i="6" s="1"/>
  <c r="G42" i="6" s="1"/>
  <c r="F36" i="6"/>
  <c r="G36" i="6"/>
  <c r="G40" i="6" s="1"/>
  <c r="H36" i="6"/>
  <c r="H38" i="6" s="1"/>
  <c r="H40" i="6" s="1"/>
  <c r="F19" i="6"/>
  <c r="F21" i="6" s="1"/>
  <c r="D36" i="6"/>
  <c r="E50" i="6" s="1"/>
  <c r="E52" i="6" s="1"/>
  <c r="D19" i="6"/>
  <c r="D50" i="6" l="1"/>
  <c r="D52" i="6" s="1"/>
  <c r="H19" i="6"/>
  <c r="G48" i="6" s="1"/>
  <c r="I97" i="5" l="1"/>
  <c r="G97" i="5"/>
  <c r="I90" i="5"/>
  <c r="G90" i="5"/>
  <c r="C83" i="5"/>
  <c r="B77" i="5"/>
  <c r="B76" i="5"/>
  <c r="B75" i="5"/>
  <c r="B74" i="5"/>
  <c r="B73" i="5"/>
  <c r="B72" i="5"/>
  <c r="B71" i="5"/>
  <c r="B70" i="5"/>
  <c r="B69" i="5"/>
  <c r="B68" i="5"/>
  <c r="B67" i="5"/>
  <c r="B66" i="5"/>
  <c r="B63" i="5"/>
  <c r="B62" i="5"/>
  <c r="B61" i="5"/>
  <c r="B60" i="5"/>
  <c r="B59" i="5"/>
  <c r="B58" i="5"/>
  <c r="B57" i="5"/>
  <c r="B56" i="5"/>
  <c r="B55" i="5"/>
  <c r="B54" i="5"/>
  <c r="B53" i="5"/>
  <c r="B52" i="5"/>
  <c r="B47" i="5"/>
  <c r="B46" i="5"/>
  <c r="B45" i="5"/>
  <c r="B44" i="5"/>
  <c r="B43" i="5"/>
  <c r="B42" i="5"/>
  <c r="B41" i="5"/>
  <c r="B40" i="5"/>
  <c r="B39" i="5"/>
  <c r="B37" i="5"/>
  <c r="B36" i="5"/>
  <c r="B35" i="5"/>
  <c r="B34" i="5"/>
  <c r="C26" i="5" s="1"/>
  <c r="B33" i="5"/>
  <c r="B32" i="5"/>
  <c r="B31" i="5"/>
  <c r="B30" i="5"/>
  <c r="B29" i="5"/>
  <c r="B28" i="5"/>
  <c r="B27" i="5"/>
  <c r="B21" i="5"/>
  <c r="B20" i="5"/>
  <c r="B18" i="5"/>
  <c r="B17" i="5"/>
  <c r="B16" i="5"/>
  <c r="I8" i="1"/>
  <c r="H8" i="1"/>
  <c r="G8" i="1"/>
  <c r="F8" i="1"/>
  <c r="B19" i="5" l="1"/>
  <c r="C13" i="5" s="1"/>
  <c r="C65" i="5"/>
  <c r="C51" i="5"/>
  <c r="C11" i="5"/>
  <c r="C24" i="5" s="1"/>
  <c r="C49" i="5" s="1"/>
  <c r="E97" i="5" l="1"/>
  <c r="C147" i="4"/>
  <c r="C79" i="5"/>
  <c r="C81" i="5" s="1"/>
  <c r="C85" i="5" s="1"/>
  <c r="C90" i="5" s="1"/>
  <c r="C97" i="5"/>
  <c r="E99" i="5" l="1"/>
  <c r="C148" i="4"/>
  <c r="E90" i="5" l="1"/>
  <c r="A133" i="4"/>
</calcChain>
</file>

<file path=xl/comments1.xml><?xml version="1.0" encoding="utf-8"?>
<comments xmlns="http://schemas.openxmlformats.org/spreadsheetml/2006/main">
  <authors>
    <author>default</author>
  </authors>
  <commentList>
    <comment ref="A21" authorId="0" shapeId="0">
      <text>
        <r>
          <rPr>
            <sz val="9"/>
            <color indexed="81"/>
            <rFont val="굴림"/>
            <family val="3"/>
            <charset val="129"/>
          </rPr>
          <t>전력비와 수도광열비를 합한것</t>
        </r>
      </text>
    </comment>
  </commentList>
</comments>
</file>

<file path=xl/sharedStrings.xml><?xml version="1.0" encoding="utf-8"?>
<sst xmlns="http://schemas.openxmlformats.org/spreadsheetml/2006/main" count="337" uniqueCount="302">
  <si>
    <t>매출유형</t>
    <phoneticPr fontId="5" type="noConversion"/>
  </si>
  <si>
    <t>품목</t>
    <phoneticPr fontId="5" type="noConversion"/>
  </si>
  <si>
    <t>2019년</t>
    <phoneticPr fontId="4" type="noConversion"/>
  </si>
  <si>
    <t>2020년</t>
    <phoneticPr fontId="4" type="noConversion"/>
  </si>
  <si>
    <t>2021년</t>
  </si>
  <si>
    <t>2022년</t>
  </si>
  <si>
    <t>제품</t>
    <phoneticPr fontId="5" type="noConversion"/>
  </si>
  <si>
    <t>반도체부문</t>
    <phoneticPr fontId="5" type="noConversion"/>
  </si>
  <si>
    <t>Zener Diode Chip 외</t>
    <phoneticPr fontId="5" type="noConversion"/>
  </si>
  <si>
    <t>센서부분</t>
    <phoneticPr fontId="5" type="noConversion"/>
  </si>
  <si>
    <r>
      <t>레이져프린트용C</t>
    </r>
    <r>
      <rPr>
        <sz val="11"/>
        <color indexed="8"/>
        <rFont val="맑은 고딕"/>
        <family val="3"/>
        <charset val="129"/>
      </rPr>
      <t>OB</t>
    </r>
    <phoneticPr fontId="5" type="noConversion"/>
  </si>
  <si>
    <t xml:space="preserve">소자등              </t>
    <phoneticPr fontId="5" type="noConversion"/>
  </si>
  <si>
    <t>상품</t>
    <phoneticPr fontId="5" type="noConversion"/>
  </si>
  <si>
    <t xml:space="preserve">소자 </t>
    <phoneticPr fontId="5" type="noConversion"/>
  </si>
  <si>
    <t>소 계</t>
    <phoneticPr fontId="4" type="noConversion"/>
  </si>
  <si>
    <t>제 조 원 가 명 세 서</t>
    <phoneticPr fontId="9" type="noConversion"/>
  </si>
  <si>
    <t>회사명 : ㈜오디텍</t>
    <phoneticPr fontId="9" type="noConversion"/>
  </si>
  <si>
    <t>과          목</t>
    <phoneticPr fontId="9" type="noConversion"/>
  </si>
  <si>
    <t>금        액</t>
    <phoneticPr fontId="9" type="noConversion"/>
  </si>
  <si>
    <t>금        액</t>
  </si>
  <si>
    <t xml:space="preserve"> Ⅰ. 재          료           비</t>
    <phoneticPr fontId="9" type="noConversion"/>
  </si>
  <si>
    <t xml:space="preserve">    1. 기 초  재  료  재  고  액</t>
    <phoneticPr fontId="9" type="noConversion"/>
  </si>
  <si>
    <t xml:space="preserve">    2. 당 기  재  료  매  입  액</t>
    <phoneticPr fontId="9" type="noConversion"/>
  </si>
  <si>
    <t xml:space="preserve">    3. 매  입   부  대   비   용</t>
    <phoneticPr fontId="9" type="noConversion"/>
  </si>
  <si>
    <t>계</t>
    <phoneticPr fontId="9" type="noConversion"/>
  </si>
  <si>
    <t xml:space="preserve">    4. 기 말  재  료  재  고  액</t>
    <phoneticPr fontId="9" type="noConversion"/>
  </si>
  <si>
    <t xml:space="preserve">    5. 타    계    정    대   체</t>
    <phoneticPr fontId="9" type="noConversion"/>
  </si>
  <si>
    <t xml:space="preserve"> Ⅱ. 노          무           비</t>
    <phoneticPr fontId="9" type="noConversion"/>
  </si>
  <si>
    <t xml:space="preserve">    1. 급                     여</t>
    <phoneticPr fontId="9" type="noConversion"/>
  </si>
  <si>
    <t xml:space="preserve">    2. 퇴      직      급     여</t>
    <phoneticPr fontId="9" type="noConversion"/>
  </si>
  <si>
    <t xml:space="preserve"> Ⅲ. 제      조       경      비</t>
    <phoneticPr fontId="9" type="noConversion"/>
  </si>
  <si>
    <t xml:space="preserve">    1. 가    스    수    도   료</t>
    <phoneticPr fontId="9" type="noConversion"/>
  </si>
  <si>
    <t xml:space="preserve">    2. 전         력          비</t>
    <phoneticPr fontId="9" type="noConversion"/>
  </si>
  <si>
    <t xml:space="preserve">    3. 감    가    상    각   비</t>
    <phoneticPr fontId="9" type="noConversion"/>
  </si>
  <si>
    <t xml:space="preserve">    4. 무  형  자  산  상  각 비</t>
    <phoneticPr fontId="9" type="noConversion"/>
  </si>
  <si>
    <t xml:space="preserve">    5. 소     모      품      비</t>
    <phoneticPr fontId="9" type="noConversion"/>
  </si>
  <si>
    <t xml:space="preserve">    6. 세    금    과    공   과</t>
    <phoneticPr fontId="9" type="noConversion"/>
  </si>
  <si>
    <t xml:space="preserve">    7. 임         차          료</t>
    <phoneticPr fontId="9" type="noConversion"/>
  </si>
  <si>
    <t xml:space="preserve">    8. 보         험          료</t>
    <phoneticPr fontId="9" type="noConversion"/>
  </si>
  <si>
    <t xml:space="preserve">    9. 복    리    후    생   비</t>
    <phoneticPr fontId="9" type="noConversion"/>
  </si>
  <si>
    <t xml:space="preserve">   10. 여    비    교    통   비</t>
    <phoneticPr fontId="9" type="noConversion"/>
  </si>
  <si>
    <t xml:space="preserve">   11. 접         대          비</t>
    <phoneticPr fontId="9" type="noConversion"/>
  </si>
  <si>
    <t xml:space="preserve">   12. 운                     임</t>
    <phoneticPr fontId="9" type="noConversion"/>
  </si>
  <si>
    <t xml:space="preserve">   13. 교    육    훈    련   비</t>
    <phoneticPr fontId="9" type="noConversion"/>
  </si>
  <si>
    <t xml:space="preserve">   14. 도    서    인    쇄   비</t>
    <phoneticPr fontId="9" type="noConversion"/>
  </si>
  <si>
    <t xml:space="preserve">   15. 경  상  연 구  개  발  비</t>
    <phoneticPr fontId="9" type="noConversion"/>
  </si>
  <si>
    <t xml:space="preserve">   16. 차    량    유    지   비</t>
    <phoneticPr fontId="9" type="noConversion"/>
  </si>
  <si>
    <t xml:space="preserve">   17. 외    주    가    공   비</t>
    <phoneticPr fontId="9" type="noConversion"/>
  </si>
  <si>
    <t xml:space="preserve">   18. 잡                     비</t>
    <phoneticPr fontId="9" type="noConversion"/>
  </si>
  <si>
    <t xml:space="preserve">   19. 지    급    수    수   료</t>
    <phoneticPr fontId="9" type="noConversion"/>
  </si>
  <si>
    <t xml:space="preserve">   20. 통         신          비</t>
    <phoneticPr fontId="9" type="noConversion"/>
  </si>
  <si>
    <t xml:space="preserve">   21. 광    고    선    전   비</t>
    <phoneticPr fontId="14" type="noConversion"/>
  </si>
  <si>
    <t xml:space="preserve"> Ⅳ. 당  기   총  제  조  비  용</t>
    <phoneticPr fontId="9" type="noConversion"/>
  </si>
  <si>
    <t xml:space="preserve"> Ⅴ. 기 초  재 공 품  재  고  액</t>
    <phoneticPr fontId="9" type="noConversion"/>
  </si>
  <si>
    <t xml:space="preserve"> Ⅵ. 합                       계</t>
    <phoneticPr fontId="9" type="noConversion"/>
  </si>
  <si>
    <t xml:space="preserve"> Ⅶ. 기 말  재 공 품  재  고  액</t>
    <phoneticPr fontId="9" type="noConversion"/>
  </si>
  <si>
    <t xml:space="preserve"> Ⅸ. 당 기  제 품  제 조  원  가</t>
    <phoneticPr fontId="9" type="noConversion"/>
  </si>
  <si>
    <t>2018년</t>
    <phoneticPr fontId="14" type="noConversion"/>
  </si>
  <si>
    <t>2019년</t>
    <phoneticPr fontId="14" type="noConversion"/>
  </si>
  <si>
    <t>제 22 기</t>
    <phoneticPr fontId="9" type="noConversion"/>
  </si>
  <si>
    <t>2020년</t>
    <phoneticPr fontId="9" type="noConversion"/>
  </si>
  <si>
    <t>2021년</t>
    <phoneticPr fontId="9" type="noConversion"/>
  </si>
  <si>
    <t>제 23 기</t>
    <phoneticPr fontId="9" type="noConversion"/>
  </si>
  <si>
    <t>2022년</t>
    <phoneticPr fontId="9" type="noConversion"/>
  </si>
  <si>
    <t xml:space="preserve">재  무  상  태  표 </t>
    <phoneticPr fontId="9" type="noConversion"/>
  </si>
  <si>
    <t>제 23 기 2022년 12월 31일 현재</t>
    <phoneticPr fontId="9" type="noConversion"/>
  </si>
  <si>
    <t>제 22 기 2021년 12월 31일 현재</t>
    <phoneticPr fontId="9" type="noConversion"/>
  </si>
  <si>
    <t xml:space="preserve"> 자                           산</t>
    <phoneticPr fontId="9" type="noConversion"/>
  </si>
  <si>
    <t xml:space="preserve"> Ⅰ. 유      동       자      산</t>
    <phoneticPr fontId="9" type="noConversion"/>
  </si>
  <si>
    <t xml:space="preserve">  (1) 당      좌      자      산</t>
    <phoneticPr fontId="9" type="noConversion"/>
  </si>
  <si>
    <t xml:space="preserve">     1. 현 금 및  현 금 등 가 물</t>
    <phoneticPr fontId="9" type="noConversion"/>
  </si>
  <si>
    <t xml:space="preserve">        국    고    보   조   금</t>
    <phoneticPr fontId="9" type="noConversion"/>
  </si>
  <si>
    <t xml:space="preserve">     2. 단  기   금  융   상  품</t>
    <phoneticPr fontId="9" type="noConversion"/>
  </si>
  <si>
    <t xml:space="preserve">     3. 매     출      채     권</t>
    <phoneticPr fontId="9" type="noConversion"/>
  </si>
  <si>
    <t xml:space="preserve">        대    손    충   당   금</t>
    <phoneticPr fontId="9" type="noConversion"/>
  </si>
  <si>
    <t xml:space="preserve">     4. 미     수      수     익</t>
    <phoneticPr fontId="9" type="noConversion"/>
  </si>
  <si>
    <t xml:space="preserve">     5. 미         수         금</t>
    <phoneticPr fontId="9" type="noConversion"/>
  </si>
  <si>
    <t xml:space="preserve">     6. 선         급         급</t>
    <phoneticPr fontId="9" type="noConversion"/>
  </si>
  <si>
    <t xml:space="preserve">     7. 선     급      비     용</t>
    <phoneticPr fontId="9" type="noConversion"/>
  </si>
  <si>
    <t xml:space="preserve">     8. 단 기 매 도 가 능 증  권</t>
    <phoneticPr fontId="9" type="noConversion"/>
  </si>
  <si>
    <t xml:space="preserve">     9. 단    기    대   여   금</t>
    <phoneticPr fontId="9" type="noConversion"/>
  </si>
  <si>
    <t xml:space="preserve">    10. 부  가  세  대   급   금</t>
    <phoneticPr fontId="9" type="noConversion"/>
  </si>
  <si>
    <t xml:space="preserve">    11. 선    급    법   인   세</t>
    <phoneticPr fontId="14" type="noConversion"/>
  </si>
  <si>
    <t xml:space="preserve">    12. 파  생  상   품  자   산</t>
    <phoneticPr fontId="9" type="noConversion"/>
  </si>
  <si>
    <t xml:space="preserve">    13 매 각 예 정 비 유 동 자 산</t>
    <phoneticPr fontId="9" type="noConversion"/>
  </si>
  <si>
    <t xml:space="preserve">  (2) 재      고      자      산</t>
    <phoneticPr fontId="9" type="noConversion"/>
  </si>
  <si>
    <t xml:space="preserve">     1. 제                    품</t>
    <phoneticPr fontId="9" type="noConversion"/>
  </si>
  <si>
    <t xml:space="preserve">        평   가   충    당    금</t>
    <phoneticPr fontId="9" type="noConversion"/>
  </si>
  <si>
    <t xml:space="preserve">     2. 원         재         료</t>
    <phoneticPr fontId="9" type="noConversion"/>
  </si>
  <si>
    <t xml:space="preserve">     3. 재         공         품</t>
    <phoneticPr fontId="9" type="noConversion"/>
  </si>
  <si>
    <t xml:space="preserve">     4. 상                    품</t>
    <phoneticPr fontId="9" type="noConversion"/>
  </si>
  <si>
    <t xml:space="preserve">     5. 미   착   원    재    료</t>
    <phoneticPr fontId="9" type="noConversion"/>
  </si>
  <si>
    <t xml:space="preserve"> Ⅱ. 비     유    동    자    산</t>
    <phoneticPr fontId="9" type="noConversion"/>
  </si>
  <si>
    <t xml:space="preserve">  (1) 투      자      자      산</t>
    <phoneticPr fontId="9" type="noConversion"/>
  </si>
  <si>
    <t xml:space="preserve">     1. 장 기 매 도 가 능 증  권</t>
    <phoneticPr fontId="9" type="noConversion"/>
  </si>
  <si>
    <t xml:space="preserve">     2. 당기손익-공정가치금융자산</t>
    <phoneticPr fontId="9" type="noConversion"/>
  </si>
  <si>
    <t xml:space="preserve">     3. 기타포괄손익-공정가치금융자산</t>
    <phoneticPr fontId="9" type="noConversion"/>
  </si>
  <si>
    <t xml:space="preserve">     4. 장   기     대   여   금</t>
    <phoneticPr fontId="9" type="noConversion"/>
  </si>
  <si>
    <t xml:space="preserve">     5. 장  기   금  융   상  품</t>
    <phoneticPr fontId="9" type="noConversion"/>
  </si>
  <si>
    <t xml:space="preserve">     6. 지 분 법 적 용 투자 주식</t>
    <phoneticPr fontId="9" type="noConversion"/>
  </si>
  <si>
    <t xml:space="preserve">  (2) 유      형      자      산</t>
    <phoneticPr fontId="9" type="noConversion"/>
  </si>
  <si>
    <t xml:space="preserve">     1. 토                    지</t>
    <phoneticPr fontId="9" type="noConversion"/>
  </si>
  <si>
    <t xml:space="preserve">     2. 건                    물</t>
    <phoneticPr fontId="9" type="noConversion"/>
  </si>
  <si>
    <t xml:space="preserve">        감  가  상  각  누 계 액</t>
    <phoneticPr fontId="9" type="noConversion"/>
  </si>
  <si>
    <t xml:space="preserve">     3. 구         축         물</t>
    <phoneticPr fontId="9" type="noConversion"/>
  </si>
  <si>
    <t xml:space="preserve">     4. 기     계      장     치</t>
    <phoneticPr fontId="9" type="noConversion"/>
  </si>
  <si>
    <t xml:space="preserve">     5. 공   구   와    기    구</t>
    <phoneticPr fontId="9" type="noConversion"/>
  </si>
  <si>
    <t xml:space="preserve">     6. 차   량   운    반    구</t>
    <phoneticPr fontId="9" type="noConversion"/>
  </si>
  <si>
    <t xml:space="preserve">     7. 비                    품</t>
    <phoneticPr fontId="9" type="noConversion"/>
  </si>
  <si>
    <t xml:space="preserve">     8. 건  설  중  인   자   산</t>
    <phoneticPr fontId="9" type="noConversion"/>
  </si>
  <si>
    <t xml:space="preserve">     9. 사   용   권    자    산</t>
    <phoneticPr fontId="9" type="noConversion"/>
  </si>
  <si>
    <t xml:space="preserve">  (3) 무      형      자      산</t>
    <phoneticPr fontId="9" type="noConversion"/>
  </si>
  <si>
    <t xml:space="preserve">     1. 산   업   재    산    권</t>
    <phoneticPr fontId="9" type="noConversion"/>
  </si>
  <si>
    <t xml:space="preserve">     2. 소   프   트    웨    어</t>
  </si>
  <si>
    <t xml:space="preserve">        국    고    보   조   금</t>
  </si>
  <si>
    <t xml:space="preserve">  (4) 기  타  비  유  동  자  산</t>
    <phoneticPr fontId="9" type="noConversion"/>
  </si>
  <si>
    <t xml:space="preserve">     1. 보         증         금</t>
    <phoneticPr fontId="9" type="noConversion"/>
  </si>
  <si>
    <t xml:space="preserve">     2. 회        원          권</t>
    <phoneticPr fontId="9" type="noConversion"/>
  </si>
  <si>
    <t xml:space="preserve">     3. 비유동성 이연법인세 자산</t>
    <phoneticPr fontId="14" type="noConversion"/>
  </si>
  <si>
    <t>자 산 총 계</t>
    <phoneticPr fontId="9" type="noConversion"/>
  </si>
  <si>
    <t xml:space="preserve"> 부                           채</t>
    <phoneticPr fontId="9" type="noConversion"/>
  </si>
  <si>
    <t xml:space="preserve"> Ⅰ. 유      동       부      채</t>
    <phoneticPr fontId="9" type="noConversion"/>
  </si>
  <si>
    <t xml:space="preserve">    1. 리  스  부  채 ( 유 동 )</t>
    <phoneticPr fontId="9" type="noConversion"/>
  </si>
  <si>
    <t xml:space="preserve">    2. 매      입      채     무</t>
    <phoneticPr fontId="9" type="noConversion"/>
  </si>
  <si>
    <t xml:space="preserve">    3. 미      지      급     금</t>
    <phoneticPr fontId="9" type="noConversion"/>
  </si>
  <si>
    <t xml:space="preserve">    4. 예         수          금</t>
    <phoneticPr fontId="9" type="noConversion"/>
  </si>
  <si>
    <t xml:space="preserve">    5. 미    지    급    비   용</t>
    <phoneticPr fontId="9" type="noConversion"/>
  </si>
  <si>
    <t xml:space="preserve">    6. 개   발    선    수    금</t>
    <phoneticPr fontId="9" type="noConversion"/>
  </si>
  <si>
    <t xml:space="preserve">    7. 미   지   급   법  인  세</t>
    <phoneticPr fontId="9" type="noConversion"/>
  </si>
  <si>
    <t xml:space="preserve">    8. 선        수          금</t>
    <phoneticPr fontId="9" type="noConversion"/>
  </si>
  <si>
    <t xml:space="preserve">    9. 미   지   급   배  당  금</t>
    <phoneticPr fontId="9" type="noConversion"/>
  </si>
  <si>
    <t xml:space="preserve">   10. 유 동  성  장  기  부  채 </t>
    <phoneticPr fontId="9" type="noConversion"/>
  </si>
  <si>
    <t xml:space="preserve">   11. 임   대    보    증    금</t>
    <phoneticPr fontId="14" type="noConversion"/>
  </si>
  <si>
    <t xml:space="preserve">   12. 파  생  상  품    부   채</t>
    <phoneticPr fontId="9" type="noConversion"/>
  </si>
  <si>
    <t xml:space="preserve">   13. 전    환    사   채(유동)</t>
    <phoneticPr fontId="9" type="noConversion"/>
  </si>
  <si>
    <t xml:space="preserve">   14. 전  환  권  조   정(유동)</t>
    <phoneticPr fontId="14" type="noConversion"/>
  </si>
  <si>
    <t xml:space="preserve"> Ⅱ. 비    유    동    부     채</t>
    <phoneticPr fontId="9" type="noConversion"/>
  </si>
  <si>
    <t xml:space="preserve">    1. 전      환      사     채</t>
    <phoneticPr fontId="9" type="noConversion"/>
  </si>
  <si>
    <t xml:space="preserve">    2. 전    환    권   조    정</t>
    <phoneticPr fontId="14" type="noConversion"/>
  </si>
  <si>
    <t xml:space="preserve">    2. 리  스  부  채 ( 비유동 )</t>
    <phoneticPr fontId="9" type="noConversion"/>
  </si>
  <si>
    <t xml:space="preserve">    3. 퇴  직  급  여  충  당 금</t>
    <phoneticPr fontId="9" type="noConversion"/>
  </si>
  <si>
    <t xml:space="preserve">       퇴 직 연 금 운 용  자 산</t>
    <phoneticPr fontId="9" type="noConversion"/>
  </si>
  <si>
    <t xml:space="preserve">    4. 비유동성 이연법인세 부 채</t>
    <phoneticPr fontId="14" type="noConversion"/>
  </si>
  <si>
    <t xml:space="preserve">    5. 종 속 회 사 투 자 충 당금</t>
    <phoneticPr fontId="14" type="noConversion"/>
  </si>
  <si>
    <t>부 채 총 계</t>
    <phoneticPr fontId="9" type="noConversion"/>
  </si>
  <si>
    <t xml:space="preserve"> 자                           본</t>
    <phoneticPr fontId="9" type="noConversion"/>
  </si>
  <si>
    <t xml:space="preserve"> Ⅰ. 자          본           금</t>
    <phoneticPr fontId="9" type="noConversion"/>
  </si>
  <si>
    <t xml:space="preserve">  (수 권 주 식 수:20,000,000주)</t>
    <phoneticPr fontId="9" type="noConversion"/>
  </si>
  <si>
    <t xml:space="preserve">  ( 1 주 당 금 액 : 500원 )</t>
    <phoneticPr fontId="9" type="noConversion"/>
  </si>
  <si>
    <t xml:space="preserve">  1. 보   통   주  자   본   금</t>
    <phoneticPr fontId="9" type="noConversion"/>
  </si>
  <si>
    <t xml:space="preserve">  (발 행 주 식 수: 11,746,609주)</t>
    <phoneticPr fontId="9" type="noConversion"/>
  </si>
  <si>
    <t xml:space="preserve"> Ⅱ. 자    본    잉     여    금</t>
    <phoneticPr fontId="9" type="noConversion"/>
  </si>
  <si>
    <t xml:space="preserve">  (1) 자    본    준    비    금</t>
    <phoneticPr fontId="9" type="noConversion"/>
  </si>
  <si>
    <t xml:space="preserve">     1. 주  식  발  행  초 과 금</t>
    <phoneticPr fontId="9" type="noConversion"/>
  </si>
  <si>
    <t xml:space="preserve">  (2) 기  타  자  본  잉  여  금</t>
    <phoneticPr fontId="9" type="noConversion"/>
  </si>
  <si>
    <t xml:space="preserve">    1. 자 기 주 식  처 분  이 익</t>
    <phoneticPr fontId="9" type="noConversion"/>
  </si>
  <si>
    <t xml:space="preserve">    2. 전    환   권    대    가</t>
    <phoneticPr fontId="14" type="noConversion"/>
  </si>
  <si>
    <t xml:space="preserve"> Ⅲ. 이    익     잉    여    금</t>
    <phoneticPr fontId="9" type="noConversion"/>
  </si>
  <si>
    <t xml:space="preserve">    1. 이    익   준    비    금</t>
    <phoneticPr fontId="9" type="noConversion"/>
  </si>
  <si>
    <t xml:space="preserve">    2. 중 소 기 업 투자 준 비 금</t>
    <phoneticPr fontId="14" type="noConversion"/>
  </si>
  <si>
    <t xml:space="preserve">    3. 임    의   적    립    금</t>
    <phoneticPr fontId="14" type="noConversion"/>
  </si>
  <si>
    <t xml:space="preserve">    4. 기 업  합 리 화  적 립 금</t>
    <phoneticPr fontId="14" type="noConversion"/>
  </si>
  <si>
    <t xml:space="preserve">    5. 연구및인력 개 발 준 비 금</t>
    <phoneticPr fontId="9" type="noConversion"/>
  </si>
  <si>
    <t xml:space="preserve">    6. 처 분 전  이 익  잉 여 금</t>
    <phoneticPr fontId="14" type="noConversion"/>
  </si>
  <si>
    <t xml:space="preserve"> Ⅳ. 자      본       조      정</t>
    <phoneticPr fontId="9" type="noConversion"/>
  </si>
  <si>
    <t xml:space="preserve">    1. 기-공정가치금융자산평가이익</t>
    <phoneticPr fontId="9" type="noConversion"/>
  </si>
  <si>
    <t xml:space="preserve">    2. 기-공정가치금융자산평가손실</t>
    <phoneticPr fontId="9" type="noConversion"/>
  </si>
  <si>
    <t xml:space="preserve">    3. 지  분  법  자 본 변 동</t>
    <phoneticPr fontId="9" type="noConversion"/>
  </si>
  <si>
    <t xml:space="preserve">    4. 자     기     주     식</t>
    <phoneticPr fontId="9" type="noConversion"/>
  </si>
  <si>
    <t>자 본 총 계</t>
    <phoneticPr fontId="9" type="noConversion"/>
  </si>
  <si>
    <t>부채 와 자본 총계</t>
    <phoneticPr fontId="9" type="noConversion"/>
  </si>
  <si>
    <t xml:space="preserve">손 익 계 산 서 </t>
    <phoneticPr fontId="9" type="noConversion"/>
  </si>
  <si>
    <t>제 23 기 2022년  1월 1일 부터  2022년 12월 31일까지</t>
    <phoneticPr fontId="9" type="noConversion"/>
  </si>
  <si>
    <t>제 22 기 2021년  1월 1일 부터  2021년 12월 31일까지</t>
    <phoneticPr fontId="9" type="noConversion"/>
  </si>
  <si>
    <t>3개월</t>
    <phoneticPr fontId="9" type="noConversion"/>
  </si>
  <si>
    <t>누   적</t>
    <phoneticPr fontId="9" type="noConversion"/>
  </si>
  <si>
    <t>누  적</t>
    <phoneticPr fontId="9" type="noConversion"/>
  </si>
  <si>
    <t xml:space="preserve"> Ⅰ. 매          출           액</t>
    <phoneticPr fontId="9" type="noConversion"/>
  </si>
  <si>
    <t xml:space="preserve"> Ⅱ. 매      출       원      가</t>
    <phoneticPr fontId="9" type="noConversion"/>
  </si>
  <si>
    <t xml:space="preserve">    1. 기 초  제  품  재  고  액</t>
    <phoneticPr fontId="9" type="noConversion"/>
  </si>
  <si>
    <t xml:space="preserve">    2. 기 초  상  품  재  고  액</t>
    <phoneticPr fontId="9" type="noConversion"/>
  </si>
  <si>
    <t xml:space="preserve">    3. 당 기  제 품  제 조 원 가</t>
    <phoneticPr fontId="9" type="noConversion"/>
  </si>
  <si>
    <t xml:space="preserve">    4. 당 기  상  품  매  입  액</t>
    <phoneticPr fontId="9" type="noConversion"/>
  </si>
  <si>
    <t xml:space="preserve">    5. 재 고 자 산 평  가  손 실</t>
    <phoneticPr fontId="9" type="noConversion"/>
  </si>
  <si>
    <t xml:space="preserve">    5. 기 말  제  품  재  고  액</t>
    <phoneticPr fontId="9" type="noConversion"/>
  </si>
  <si>
    <t xml:space="preserve">    6. 기 말  상  품  재  고  액</t>
    <phoneticPr fontId="9" type="noConversion"/>
  </si>
  <si>
    <t xml:space="preserve">    7. 재 고 자 산 충당금 환입액</t>
    <phoneticPr fontId="9" type="noConversion"/>
  </si>
  <si>
    <t xml:space="preserve"> Ⅲ. 매    출     총    이    익</t>
    <phoneticPr fontId="9" type="noConversion"/>
  </si>
  <si>
    <t xml:space="preserve"> Ⅳ. 판  매  비  와   관  리  비</t>
    <phoneticPr fontId="9" type="noConversion"/>
  </si>
  <si>
    <t xml:space="preserve">    2. 퇴     직      급      여</t>
    <phoneticPr fontId="9" type="noConversion"/>
  </si>
  <si>
    <t xml:space="preserve">    3. 복   리    후    생    비</t>
    <phoneticPr fontId="9" type="noConversion"/>
  </si>
  <si>
    <t xml:space="preserve">    4. 여   비    교    통    비</t>
    <phoneticPr fontId="9" type="noConversion"/>
  </si>
  <si>
    <t xml:space="preserve">    5. 통          신         비</t>
    <phoneticPr fontId="9" type="noConversion"/>
  </si>
  <si>
    <t xml:space="preserve">    6. 세    금    과   공    과</t>
    <phoneticPr fontId="9" type="noConversion"/>
  </si>
  <si>
    <t xml:space="preserve">    7. 임          차         료</t>
    <phoneticPr fontId="9" type="noConversion"/>
  </si>
  <si>
    <t xml:space="preserve">    8. 감    가    상   각    비</t>
    <phoneticPr fontId="9" type="noConversion"/>
  </si>
  <si>
    <t xml:space="preserve">    9. 보         험          료</t>
    <phoneticPr fontId="9" type="noConversion"/>
  </si>
  <si>
    <t xml:space="preserve">   10. 접         대          비</t>
    <phoneticPr fontId="9" type="noConversion"/>
  </si>
  <si>
    <t xml:space="preserve">   11. 교    육    훈   련    비</t>
    <phoneticPr fontId="9" type="noConversion"/>
  </si>
  <si>
    <t xml:space="preserve">   12. 경 상  연  구  개  발  비</t>
    <phoneticPr fontId="9" type="noConversion"/>
  </si>
  <si>
    <t xml:space="preserve">   13. 광    고    선   전    비</t>
    <phoneticPr fontId="9" type="noConversion"/>
  </si>
  <si>
    <t xml:space="preserve">   14. 도    서    인   쇄    비</t>
    <phoneticPr fontId="14" type="noConversion"/>
  </si>
  <si>
    <t xml:space="preserve">   15. 운         반          비</t>
    <phoneticPr fontId="14" type="noConversion"/>
  </si>
  <si>
    <t xml:space="preserve">   16. 지    급    수   수    료</t>
    <phoneticPr fontId="14" type="noConversion"/>
  </si>
  <si>
    <t xml:space="preserve">   17. 차    량    유   지    비</t>
    <phoneticPr fontId="14" type="noConversion"/>
  </si>
  <si>
    <t xml:space="preserve">   18. 잡                     비</t>
    <phoneticPr fontId="14" type="noConversion"/>
  </si>
  <si>
    <t xml:space="preserve">   19. 소      모      품     비</t>
    <phoneticPr fontId="14" type="noConversion"/>
  </si>
  <si>
    <t xml:space="preserve">   20. 대    손    상   각    비                   </t>
    <phoneticPr fontId="14" type="noConversion"/>
  </si>
  <si>
    <t xml:space="preserve">   21. 무  형  자  산   상 각 비</t>
    <phoneticPr fontId="14" type="noConversion"/>
  </si>
  <si>
    <t xml:space="preserve"> Ⅴ. 영      업       이      익</t>
    <phoneticPr fontId="9" type="noConversion"/>
  </si>
  <si>
    <t xml:space="preserve"> Ⅵ. 영     업    외    수    익</t>
    <phoneticPr fontId="9" type="noConversion"/>
  </si>
  <si>
    <t xml:space="preserve">    1. 이      자      수     익</t>
    <phoneticPr fontId="9" type="noConversion"/>
  </si>
  <si>
    <t xml:space="preserve">    2. 배   당    금    수    익</t>
    <phoneticPr fontId="9" type="noConversion"/>
  </si>
  <si>
    <t xml:space="preserve">    3. 외      환      차     익</t>
    <phoneticPr fontId="9" type="noConversion"/>
  </si>
  <si>
    <t xml:space="preserve">    4. 잡         이          익</t>
    <phoneticPr fontId="9" type="noConversion"/>
  </si>
  <si>
    <t xml:space="preserve">    5. 매도 가능 증권 처분 이 익</t>
    <phoneticPr fontId="9" type="noConversion"/>
  </si>
  <si>
    <t xml:space="preserve">    6. 당-공정가치금융자산처분이익</t>
    <phoneticPr fontId="9" type="noConversion"/>
  </si>
  <si>
    <t xml:space="preserve">    7. 외  화  환   산   이   익</t>
    <phoneticPr fontId="9" type="noConversion"/>
  </si>
  <si>
    <t xml:space="preserve">    8. 국   고    보    조    금</t>
    <phoneticPr fontId="9" type="noConversion"/>
  </si>
  <si>
    <t xml:space="preserve">    9. 당-공정가치금융자산평가이익</t>
    <phoneticPr fontId="9" type="noConversion"/>
  </si>
  <si>
    <t xml:space="preserve">   10. 유 형 자 산  처 분  이 익</t>
    <phoneticPr fontId="9" type="noConversion"/>
  </si>
  <si>
    <t xml:space="preserve">   11. 임   대    료    수    입</t>
    <phoneticPr fontId="9" type="noConversion"/>
  </si>
  <si>
    <t xml:space="preserve">   12. 파생 상품 자산 평가 이익</t>
    <phoneticPr fontId="9" type="noConversion"/>
  </si>
  <si>
    <t xml:space="preserve"> Ⅶ. 영     업    외    비    용</t>
    <phoneticPr fontId="9" type="noConversion"/>
  </si>
  <si>
    <t xml:space="preserve">    1. 이      자      비     용</t>
    <phoneticPr fontId="9" type="noConversion"/>
  </si>
  <si>
    <t xml:space="preserve">    2. 외      환      차     손</t>
    <phoneticPr fontId="9" type="noConversion"/>
  </si>
  <si>
    <t xml:space="preserve">    3. 잡         손          실</t>
    <phoneticPr fontId="9" type="noConversion"/>
  </si>
  <si>
    <t xml:space="preserve">    4. 외  화  환   산   손   실</t>
    <phoneticPr fontId="9" type="noConversion"/>
  </si>
  <si>
    <t xml:space="preserve">    5. 관계 기업 투자 손상 차 손</t>
    <phoneticPr fontId="9" type="noConversion"/>
  </si>
  <si>
    <t xml:space="preserve">    6. 당-공정가치금융자산평가손실</t>
    <phoneticPr fontId="9" type="noConversion"/>
  </si>
  <si>
    <t xml:space="preserve">    7. 매도 가능 증권 처분 손 실</t>
    <phoneticPr fontId="9" type="noConversion"/>
  </si>
  <si>
    <t xml:space="preserve">    8. 당-공정가치금융자산처분손실</t>
    <phoneticPr fontId="9" type="noConversion"/>
  </si>
  <si>
    <t xml:space="preserve">    9. 기         부          금</t>
    <phoneticPr fontId="9" type="noConversion"/>
  </si>
  <si>
    <t xml:space="preserve">   10. 파생 상품 자산 평가 손실</t>
    <phoneticPr fontId="9" type="noConversion"/>
  </si>
  <si>
    <t xml:space="preserve">   11. 유 형 자 산  처 분  손 실</t>
    <phoneticPr fontId="9" type="noConversion"/>
  </si>
  <si>
    <t xml:space="preserve">   12. 무 형 자 산  손 상  차 손</t>
    <phoneticPr fontId="9" type="noConversion"/>
  </si>
  <si>
    <t xml:space="preserve"> Ⅷ. 경      상       이      익</t>
    <phoneticPr fontId="9" type="noConversion"/>
  </si>
  <si>
    <t xml:space="preserve"> Ⅸ. 법인세 비용 차감전 순이익</t>
    <phoneticPr fontId="9" type="noConversion"/>
  </si>
  <si>
    <t xml:space="preserve"> Ⅹ. 법    인    세    비    용</t>
    <phoneticPr fontId="9" type="noConversion"/>
  </si>
  <si>
    <t>ⅩⅠ. 당    기    순    이    익</t>
    <phoneticPr fontId="9" type="noConversion"/>
  </si>
  <si>
    <t>매출액</t>
    <phoneticPr fontId="9" type="noConversion"/>
  </si>
  <si>
    <t>영업이익</t>
    <phoneticPr fontId="9" type="noConversion"/>
  </si>
  <si>
    <t>경상이익</t>
    <phoneticPr fontId="9" type="noConversion"/>
  </si>
  <si>
    <t>순이익</t>
    <phoneticPr fontId="9" type="noConversion"/>
  </si>
  <si>
    <t>영업이익율</t>
    <phoneticPr fontId="9" type="noConversion"/>
  </si>
  <si>
    <t>2022년 4분기</t>
    <phoneticPr fontId="4" type="noConversion"/>
  </si>
  <si>
    <t>III. 자본금과 적립금(을)</t>
  </si>
  <si>
    <t>구 분</t>
  </si>
  <si>
    <t>기초</t>
  </si>
  <si>
    <t>증가</t>
  </si>
  <si>
    <t>감소</t>
  </si>
  <si>
    <t>기말</t>
  </si>
  <si>
    <t>12개월 이내</t>
    <phoneticPr fontId="30" type="noConversion"/>
  </si>
  <si>
    <t>12개월 이후</t>
    <phoneticPr fontId="4" type="noConversion"/>
  </si>
  <si>
    <t>(차감할 일시적차이)</t>
  </si>
  <si>
    <t>퇴직급여충당금</t>
  </si>
  <si>
    <t>재고자산평가손실</t>
  </si>
  <si>
    <t>대손충당금</t>
  </si>
  <si>
    <t>매도가능증권평가손실</t>
  </si>
  <si>
    <t>지분법적용투자주식</t>
    <phoneticPr fontId="30" type="noConversion"/>
  </si>
  <si>
    <t>국고보조금</t>
  </si>
  <si>
    <t>파생상품자산평가손실</t>
    <phoneticPr fontId="4" type="noConversion"/>
  </si>
  <si>
    <t>무형자산감액손실</t>
  </si>
  <si>
    <t>IFRS conversion효과</t>
    <phoneticPr fontId="4" type="noConversion"/>
  </si>
  <si>
    <t>지분법자본변동</t>
  </si>
  <si>
    <t>지분법자본변동</t>
    <phoneticPr fontId="4" type="noConversion"/>
  </si>
  <si>
    <t>미지급비용_연월차</t>
    <phoneticPr fontId="4" type="noConversion"/>
  </si>
  <si>
    <t>충당부채</t>
    <phoneticPr fontId="4" type="noConversion"/>
  </si>
  <si>
    <t>합계</t>
    <phoneticPr fontId="30" type="noConversion"/>
  </si>
  <si>
    <t>이연법인세자산 인식 제외금액</t>
    <phoneticPr fontId="30" type="noConversion"/>
  </si>
  <si>
    <t>이연법인세자산 인식 대상금액</t>
    <phoneticPr fontId="30" type="noConversion"/>
  </si>
  <si>
    <t>세율</t>
    <phoneticPr fontId="30" type="noConversion"/>
  </si>
  <si>
    <t>21%(23.1%)</t>
    <phoneticPr fontId="30" type="noConversion"/>
  </si>
  <si>
    <t>이연법인세자산</t>
    <phoneticPr fontId="30" type="noConversion"/>
  </si>
  <si>
    <t>(가산할 일시적차이)</t>
    <phoneticPr fontId="30" type="noConversion"/>
  </si>
  <si>
    <t>미수수익</t>
  </si>
  <si>
    <t>파생상품자산평가이익</t>
    <phoneticPr fontId="4" type="noConversion"/>
  </si>
  <si>
    <t>전환권조정</t>
    <phoneticPr fontId="4" type="noConversion"/>
  </si>
  <si>
    <t>연구인력개발준비금</t>
  </si>
  <si>
    <t>퇴직연금</t>
  </si>
  <si>
    <t>매도가능증권평가이익</t>
  </si>
  <si>
    <t>지분법적용투자주식</t>
    <phoneticPr fontId="4" type="noConversion"/>
  </si>
  <si>
    <t>감가상각계액</t>
    <phoneticPr fontId="4" type="noConversion"/>
  </si>
  <si>
    <t>이연법인세부채 인식 제외금액</t>
    <phoneticPr fontId="30" type="noConversion"/>
  </si>
  <si>
    <t>이연법인세부채 인식 대상금액</t>
    <phoneticPr fontId="30" type="noConversion"/>
  </si>
  <si>
    <t>이연법인세부채</t>
    <phoneticPr fontId="30" type="noConversion"/>
  </si>
  <si>
    <t>순액</t>
    <phoneticPr fontId="4" type="noConversion"/>
  </si>
  <si>
    <t>전년도 미인식 세무조정 내용</t>
    <phoneticPr fontId="4" type="noConversion"/>
  </si>
  <si>
    <t>구분</t>
  </si>
  <si>
    <t>비유동</t>
    <phoneticPr fontId="30" type="noConversion"/>
  </si>
  <si>
    <t>기초이연법인세</t>
  </si>
  <si>
    <t>기말이연법인세</t>
  </si>
  <si>
    <t>&gt;&gt;법인세비용 증가</t>
    <phoneticPr fontId="30" type="noConversion"/>
  </si>
  <si>
    <t>유보조정 입력 검증</t>
    <phoneticPr fontId="4" type="noConversion"/>
  </si>
  <si>
    <t>과거 5개년 매출구분</t>
    <phoneticPr fontId="4" type="noConversion"/>
  </si>
  <si>
    <t>2018년</t>
    <phoneticPr fontId="4" type="noConversion"/>
  </si>
  <si>
    <t>제품</t>
    <phoneticPr fontId="4" type="noConversion"/>
  </si>
  <si>
    <t>매출액</t>
    <phoneticPr fontId="4" type="noConversion"/>
  </si>
  <si>
    <t>영업 유관 여부</t>
    <phoneticPr fontId="4" type="noConversion"/>
  </si>
  <si>
    <t>O</t>
    <phoneticPr fontId="4" type="noConversion"/>
  </si>
  <si>
    <t>이연법인세 인식 대상에서 제외됨</t>
    <phoneticPr fontId="4" type="noConversion"/>
  </si>
  <si>
    <t>영업 관련 금액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</si>
</sst>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mm&quot;월&quot;\ dd&quot;일&quot;"/>
    <numFmt numFmtId="177" formatCode="_ * #,##0_ ;_ * \-#,##0_ ;_ * &quot;-&quot;_ ;_ @_ "/>
    <numFmt numFmtId="178" formatCode="&quot;(당기순이익 : \&quot;#,##0&quot;)&quot;"/>
    <numFmt numFmtId="179" formatCode="#,##0.000"/>
    <numFmt numFmtId="180" formatCode="_ * #,##0_ ;_ * &quot;₩&quot;\-#,##0_ ;_ * &quot;-&quot;_ ;_ @_ "/>
    <numFmt numFmtId="181" formatCode="0.000%"/>
    <numFmt numFmtId="182" formatCode="#,##0_);[Red]\(#,##0\)"/>
  </numFmts>
  <fonts count="3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20"/>
      <name val="굴림체"/>
      <family val="3"/>
      <charset val="129"/>
    </font>
    <font>
      <sz val="8"/>
      <name val="바탕"/>
      <family val="1"/>
      <charset val="129"/>
    </font>
    <font>
      <sz val="12"/>
      <name val="굴림체"/>
      <family val="3"/>
      <charset val="129"/>
    </font>
    <font>
      <sz val="20"/>
      <name val="굴림체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9"/>
      <color indexed="81"/>
      <name val="굴림"/>
      <family val="3"/>
      <charset val="129"/>
    </font>
    <font>
      <sz val="9"/>
      <name val="굴림체"/>
      <family val="3"/>
      <charset val="129"/>
    </font>
    <font>
      <b/>
      <sz val="10"/>
      <name val="굴림체"/>
      <family val="3"/>
      <charset val="129"/>
    </font>
    <font>
      <sz val="9.5"/>
      <name val="굴림체"/>
      <family val="3"/>
      <charset val="129"/>
    </font>
    <font>
      <sz val="22"/>
      <name val="굴림체"/>
      <family val="3"/>
      <charset val="129"/>
    </font>
    <font>
      <sz val="10"/>
      <color indexed="9"/>
      <name val="굴림체"/>
      <family val="3"/>
      <charset val="129"/>
    </font>
    <font>
      <sz val="9"/>
      <name val="돋움체"/>
      <family val="3"/>
      <charset val="129"/>
    </font>
    <font>
      <sz val="11"/>
      <name val="바탕체"/>
      <family val="1"/>
      <charset val="129"/>
    </font>
    <font>
      <sz val="10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name val="맑은 고딕"/>
      <family val="3"/>
      <charset val="129"/>
      <scheme val="major"/>
    </font>
    <font>
      <sz val="10"/>
      <name val="Times New Roman"/>
      <family val="1"/>
    </font>
    <font>
      <sz val="8"/>
      <name val="Times New Roman"/>
      <family val="1"/>
    </font>
    <font>
      <sz val="1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0" fontId="14" fillId="0" borderId="0"/>
    <xf numFmtId="177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22" fillId="0" borderId="0"/>
    <xf numFmtId="0" fontId="27" fillId="0" borderId="0"/>
    <xf numFmtId="177" fontId="29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201">
    <xf numFmtId="0" fontId="0" fillId="0" borderId="0" xfId="0">
      <alignment vertical="center"/>
    </xf>
    <xf numFmtId="176" fontId="3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6" fillId="0" borderId="1" xfId="3" applyFont="1" applyBorder="1" applyAlignment="1">
      <alignment horizontal="center" vertical="center"/>
    </xf>
    <xf numFmtId="176" fontId="7" fillId="0" borderId="1" xfId="3" applyFont="1" applyBorder="1" applyAlignment="1">
      <alignment horizontal="center" vertical="center" wrapText="1"/>
    </xf>
    <xf numFmtId="176" fontId="7" fillId="0" borderId="1" xfId="3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6" fillId="0" borderId="1" xfId="3" applyFont="1" applyBorder="1" applyAlignment="1">
      <alignment horizontal="center" vertical="center" wrapText="1"/>
    </xf>
    <xf numFmtId="0" fontId="8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0" fillId="0" borderId="0" xfId="0" applyFont="1" applyAlignment="1"/>
    <xf numFmtId="0" fontId="10" fillId="0" borderId="0" xfId="0" quotePrefix="1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6" xfId="0" applyFont="1" applyBorder="1" applyAlignment="1"/>
    <xf numFmtId="0" fontId="10" fillId="0" borderId="11" xfId="0" quotePrefix="1" applyFont="1" applyBorder="1" applyAlignment="1">
      <alignment horizontal="center"/>
    </xf>
    <xf numFmtId="0" fontId="10" fillId="0" borderId="16" xfId="0" applyFont="1" applyBorder="1" applyAlignment="1"/>
    <xf numFmtId="0" fontId="13" fillId="0" borderId="17" xfId="0" applyFont="1" applyBorder="1" applyAlignment="1">
      <alignment horizontal="centerContinuous"/>
    </xf>
    <xf numFmtId="0" fontId="13" fillId="0" borderId="18" xfId="0" applyFont="1" applyBorder="1" applyAlignment="1">
      <alignment horizontal="centerContinuous"/>
    </xf>
    <xf numFmtId="0" fontId="10" fillId="0" borderId="19" xfId="0" applyFont="1" applyBorder="1" applyAlignment="1">
      <alignment horizontal="centerContinuous"/>
    </xf>
    <xf numFmtId="0" fontId="12" fillId="0" borderId="11" xfId="0" quotePrefix="1" applyFont="1" applyBorder="1" applyAlignment="1">
      <alignment horizontal="left"/>
    </xf>
    <xf numFmtId="3" fontId="12" fillId="0" borderId="20" xfId="1" applyNumberFormat="1" applyFont="1" applyBorder="1" applyAlignment="1"/>
    <xf numFmtId="3" fontId="12" fillId="0" borderId="21" xfId="1" applyNumberFormat="1" applyFont="1" applyBorder="1" applyAlignment="1"/>
    <xf numFmtId="3" fontId="12" fillId="0" borderId="22" xfId="1" applyNumberFormat="1" applyFont="1" applyBorder="1" applyAlignment="1"/>
    <xf numFmtId="3" fontId="12" fillId="0" borderId="23" xfId="1" applyNumberFormat="1" applyFont="1" applyBorder="1" applyAlignment="1"/>
    <xf numFmtId="3" fontId="12" fillId="0" borderId="24" xfId="1" applyNumberFormat="1" applyFont="1" applyBorder="1" applyAlignment="1"/>
    <xf numFmtId="3" fontId="12" fillId="0" borderId="25" xfId="1" applyNumberFormat="1" applyFont="1" applyBorder="1" applyAlignment="1"/>
    <xf numFmtId="3" fontId="12" fillId="0" borderId="26" xfId="1" applyNumberFormat="1" applyFont="1" applyBorder="1" applyAlignment="1"/>
    <xf numFmtId="3" fontId="12" fillId="0" borderId="27" xfId="1" applyNumberFormat="1" applyFont="1" applyBorder="1" applyAlignment="1"/>
    <xf numFmtId="3" fontId="12" fillId="0" borderId="28" xfId="1" applyNumberFormat="1" applyFont="1" applyBorder="1" applyAlignment="1"/>
    <xf numFmtId="0" fontId="12" fillId="0" borderId="11" xfId="0" applyFont="1" applyBorder="1" applyAlignment="1">
      <alignment horizontal="center"/>
    </xf>
    <xf numFmtId="3" fontId="12" fillId="0" borderId="29" xfId="1" applyNumberFormat="1" applyFont="1" applyBorder="1" applyAlignment="1"/>
    <xf numFmtId="3" fontId="12" fillId="0" borderId="0" xfId="1" applyNumberFormat="1" applyFont="1" applyBorder="1" applyAlignment="1"/>
    <xf numFmtId="0" fontId="12" fillId="0" borderId="11" xfId="0" applyFont="1" applyBorder="1" applyAlignment="1">
      <alignment horizontal="left"/>
    </xf>
    <xf numFmtId="3" fontId="12" fillId="0" borderId="30" xfId="1" applyNumberFormat="1" applyFont="1" applyBorder="1" applyAlignment="1"/>
    <xf numFmtId="3" fontId="12" fillId="0" borderId="31" xfId="1" applyNumberFormat="1" applyFont="1" applyBorder="1" applyAlignment="1"/>
    <xf numFmtId="3" fontId="12" fillId="0" borderId="15" xfId="1" applyNumberFormat="1" applyFont="1" applyBorder="1" applyAlignment="1"/>
    <xf numFmtId="3" fontId="12" fillId="0" borderId="32" xfId="1" applyNumberFormat="1" applyFont="1" applyBorder="1" applyAlignment="1"/>
    <xf numFmtId="3" fontId="12" fillId="0" borderId="33" xfId="1" applyNumberFormat="1" applyFont="1" applyBorder="1" applyAlignment="1"/>
    <xf numFmtId="0" fontId="12" fillId="0" borderId="34" xfId="0" quotePrefix="1" applyFont="1" applyBorder="1" applyAlignment="1">
      <alignment horizontal="left"/>
    </xf>
    <xf numFmtId="3" fontId="12" fillId="0" borderId="35" xfId="1" applyNumberFormat="1" applyFont="1" applyBorder="1" applyAlignment="1"/>
    <xf numFmtId="3" fontId="12" fillId="0" borderId="36" xfId="1" applyNumberFormat="1" applyFont="1" applyBorder="1" applyAlignment="1"/>
    <xf numFmtId="3" fontId="12" fillId="0" borderId="37" xfId="1" applyNumberFormat="1" applyFont="1" applyBorder="1" applyAlignment="1"/>
    <xf numFmtId="3" fontId="12" fillId="0" borderId="38" xfId="1" applyNumberFormat="1" applyFont="1" applyBorder="1" applyAlignment="1"/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0" borderId="0" xfId="4" applyFont="1" applyAlignment="1">
      <alignment horizontal="centerContinuous"/>
    </xf>
    <xf numFmtId="0" fontId="10" fillId="0" borderId="0" xfId="4" applyFont="1" applyAlignment="1">
      <alignment horizontal="centerContinuous"/>
    </xf>
    <xf numFmtId="0" fontId="10" fillId="0" borderId="0" xfId="4" applyFont="1"/>
    <xf numFmtId="0" fontId="11" fillId="0" borderId="0" xfId="4" applyFont="1" applyAlignment="1">
      <alignment horizontal="centerContinuous"/>
    </xf>
    <xf numFmtId="0" fontId="10" fillId="0" borderId="0" xfId="4" quotePrefix="1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16" xfId="4" applyFont="1" applyBorder="1"/>
    <xf numFmtId="0" fontId="13" fillId="0" borderId="17" xfId="4" applyFont="1" applyBorder="1" applyAlignment="1">
      <alignment horizontal="center"/>
    </xf>
    <xf numFmtId="0" fontId="13" fillId="0" borderId="18" xfId="4" applyFont="1" applyBorder="1" applyAlignment="1">
      <alignment horizontal="center"/>
    </xf>
    <xf numFmtId="0" fontId="13" fillId="0" borderId="19" xfId="4" applyFont="1" applyBorder="1" applyAlignment="1">
      <alignment horizontal="center"/>
    </xf>
    <xf numFmtId="0" fontId="12" fillId="0" borderId="11" xfId="4" quotePrefix="1" applyFont="1" applyBorder="1" applyAlignment="1">
      <alignment horizontal="left"/>
    </xf>
    <xf numFmtId="177" fontId="12" fillId="0" borderId="26" xfId="5" applyFont="1" applyBorder="1"/>
    <xf numFmtId="177" fontId="12" fillId="0" borderId="21" xfId="5" applyFont="1" applyBorder="1"/>
    <xf numFmtId="177" fontId="12" fillId="0" borderId="23" xfId="5" applyFont="1" applyBorder="1"/>
    <xf numFmtId="177" fontId="12" fillId="0" borderId="24" xfId="5" applyFont="1" applyBorder="1"/>
    <xf numFmtId="177" fontId="12" fillId="0" borderId="25" xfId="5" applyFont="1" applyBorder="1"/>
    <xf numFmtId="177" fontId="12" fillId="0" borderId="30" xfId="5" applyFont="1" applyBorder="1"/>
    <xf numFmtId="177" fontId="12" fillId="0" borderId="27" xfId="5" applyFont="1" applyBorder="1"/>
    <xf numFmtId="177" fontId="12" fillId="0" borderId="28" xfId="5" applyFont="1" applyBorder="1"/>
    <xf numFmtId="0" fontId="12" fillId="2" borderId="11" xfId="4" quotePrefix="1" applyFont="1" applyFill="1" applyBorder="1" applyAlignment="1">
      <alignment horizontal="left"/>
    </xf>
    <xf numFmtId="177" fontId="12" fillId="2" borderId="26" xfId="5" applyFont="1" applyFill="1" applyBorder="1"/>
    <xf numFmtId="177" fontId="12" fillId="2" borderId="21" xfId="5" applyFont="1" applyFill="1" applyBorder="1"/>
    <xf numFmtId="177" fontId="12" fillId="2" borderId="23" xfId="5" applyFont="1" applyFill="1" applyBorder="1"/>
    <xf numFmtId="177" fontId="10" fillId="0" borderId="0" xfId="4" applyNumberFormat="1" applyFont="1"/>
    <xf numFmtId="0" fontId="12" fillId="0" borderId="11" xfId="4" applyFont="1" applyBorder="1" applyAlignment="1">
      <alignment horizontal="left"/>
    </xf>
    <xf numFmtId="0" fontId="16" fillId="0" borderId="11" xfId="4" quotePrefix="1" applyFont="1" applyBorder="1" applyAlignment="1">
      <alignment horizontal="left"/>
    </xf>
    <xf numFmtId="0" fontId="12" fillId="0" borderId="34" xfId="4" quotePrefix="1" applyFont="1" applyBorder="1" applyAlignment="1">
      <alignment horizontal="left"/>
    </xf>
    <xf numFmtId="177" fontId="12" fillId="0" borderId="37" xfId="5" applyFont="1" applyBorder="1"/>
    <xf numFmtId="177" fontId="12" fillId="0" borderId="36" xfId="5" applyFont="1" applyBorder="1"/>
    <xf numFmtId="177" fontId="12" fillId="0" borderId="38" xfId="5" applyFont="1" applyBorder="1"/>
    <xf numFmtId="177" fontId="12" fillId="0" borderId="20" xfId="5" applyFont="1" applyBorder="1"/>
    <xf numFmtId="0" fontId="17" fillId="0" borderId="11" xfId="4" applyFont="1" applyBorder="1" applyAlignment="1">
      <alignment horizontal="center"/>
    </xf>
    <xf numFmtId="177" fontId="16" fillId="0" borderId="4" xfId="5" applyFont="1" applyBorder="1"/>
    <xf numFmtId="177" fontId="16" fillId="0" borderId="40" xfId="5" applyFont="1" applyBorder="1"/>
    <xf numFmtId="177" fontId="16" fillId="0" borderId="21" xfId="5" applyFont="1" applyBorder="1"/>
    <xf numFmtId="177" fontId="16" fillId="0" borderId="23" xfId="5" applyFont="1" applyBorder="1"/>
    <xf numFmtId="177" fontId="12" fillId="0" borderId="23" xfId="5" applyFont="1" applyFill="1" applyBorder="1"/>
    <xf numFmtId="0" fontId="17" fillId="0" borderId="34" xfId="4" applyFont="1" applyBorder="1" applyAlignment="1">
      <alignment horizontal="center"/>
    </xf>
    <xf numFmtId="177" fontId="12" fillId="0" borderId="41" xfId="5" applyFont="1" applyBorder="1"/>
    <xf numFmtId="177" fontId="12" fillId="0" borderId="42" xfId="5" applyFont="1" applyBorder="1"/>
    <xf numFmtId="0" fontId="12" fillId="0" borderId="11" xfId="4" applyFont="1" applyBorder="1"/>
    <xf numFmtId="177" fontId="12" fillId="0" borderId="21" xfId="5" applyFont="1" applyFill="1" applyBorder="1"/>
    <xf numFmtId="178" fontId="12" fillId="0" borderId="11" xfId="4" quotePrefix="1" applyNumberFormat="1" applyFont="1" applyBorder="1" applyAlignment="1">
      <alignment horizontal="right"/>
    </xf>
    <xf numFmtId="0" fontId="18" fillId="0" borderId="11" xfId="4" applyFont="1" applyBorder="1" applyAlignment="1">
      <alignment horizontal="left"/>
    </xf>
    <xf numFmtId="177" fontId="16" fillId="0" borderId="31" xfId="5" applyFont="1" applyBorder="1"/>
    <xf numFmtId="177" fontId="16" fillId="0" borderId="15" xfId="5" applyFont="1" applyBorder="1"/>
    <xf numFmtId="0" fontId="10" fillId="0" borderId="34" xfId="4" applyFont="1" applyBorder="1"/>
    <xf numFmtId="177" fontId="10" fillId="0" borderId="37" xfId="5" applyFont="1" applyBorder="1"/>
    <xf numFmtId="177" fontId="10" fillId="0" borderId="36" xfId="5" applyFont="1" applyBorder="1"/>
    <xf numFmtId="177" fontId="10" fillId="0" borderId="38" xfId="5" applyFont="1" applyBorder="1"/>
    <xf numFmtId="177" fontId="12" fillId="0" borderId="0" xfId="5" applyFont="1"/>
    <xf numFmtId="177" fontId="12" fillId="0" borderId="0" xfId="4" applyNumberFormat="1" applyFont="1"/>
    <xf numFmtId="0" fontId="19" fillId="0" borderId="0" xfId="4" applyFont="1" applyAlignment="1">
      <alignment horizontal="centerContinuous"/>
    </xf>
    <xf numFmtId="177" fontId="10" fillId="0" borderId="0" xfId="5" applyFont="1" applyFill="1"/>
    <xf numFmtId="3" fontId="12" fillId="0" borderId="24" xfId="5" applyNumberFormat="1" applyFont="1" applyFill="1" applyBorder="1"/>
    <xf numFmtId="3" fontId="12" fillId="0" borderId="0" xfId="5" applyNumberFormat="1" applyFont="1" applyFill="1" applyBorder="1"/>
    <xf numFmtId="3" fontId="12" fillId="0" borderId="21" xfId="5" applyNumberFormat="1" applyFont="1" applyFill="1" applyBorder="1"/>
    <xf numFmtId="0" fontId="10" fillId="0" borderId="6" xfId="4" applyFont="1" applyBorder="1"/>
    <xf numFmtId="0" fontId="10" fillId="0" borderId="11" xfId="4" quotePrefix="1" applyFont="1" applyBorder="1" applyAlignment="1">
      <alignment horizontal="center"/>
    </xf>
    <xf numFmtId="10" fontId="10" fillId="0" borderId="0" xfId="6" applyNumberFormat="1" applyFont="1" applyFill="1"/>
    <xf numFmtId="0" fontId="10" fillId="0" borderId="16" xfId="4" applyFont="1" applyBorder="1"/>
    <xf numFmtId="0" fontId="13" fillId="0" borderId="17" xfId="4" applyFont="1" applyBorder="1" applyAlignment="1">
      <alignment horizontal="centerContinuous"/>
    </xf>
    <xf numFmtId="0" fontId="13" fillId="0" borderId="43" xfId="4" applyFont="1" applyBorder="1" applyAlignment="1">
      <alignment horizontal="centerContinuous"/>
    </xf>
    <xf numFmtId="0" fontId="13" fillId="0" borderId="18" xfId="4" applyFont="1" applyBorder="1" applyAlignment="1">
      <alignment horizontal="centerContinuous"/>
    </xf>
    <xf numFmtId="0" fontId="10" fillId="0" borderId="19" xfId="4" applyFont="1" applyBorder="1" applyAlignment="1">
      <alignment horizontal="centerContinuous"/>
    </xf>
    <xf numFmtId="3" fontId="12" fillId="0" borderId="26" xfId="5" applyNumberFormat="1" applyFont="1" applyFill="1" applyBorder="1"/>
    <xf numFmtId="3" fontId="12" fillId="0" borderId="23" xfId="5" applyNumberFormat="1" applyFont="1" applyFill="1" applyBorder="1"/>
    <xf numFmtId="3" fontId="10" fillId="0" borderId="0" xfId="4" applyNumberFormat="1" applyFont="1"/>
    <xf numFmtId="3" fontId="12" fillId="0" borderId="25" xfId="5" applyNumberFormat="1" applyFont="1" applyFill="1" applyBorder="1"/>
    <xf numFmtId="10" fontId="20" fillId="0" borderId="21" xfId="6" applyNumberFormat="1" applyFont="1" applyFill="1" applyBorder="1"/>
    <xf numFmtId="10" fontId="20" fillId="0" borderId="25" xfId="6" applyNumberFormat="1" applyFont="1" applyFill="1" applyBorder="1"/>
    <xf numFmtId="177" fontId="12" fillId="0" borderId="0" xfId="5" applyFont="1" applyFill="1"/>
    <xf numFmtId="3" fontId="12" fillId="0" borderId="28" xfId="5" applyNumberFormat="1" applyFont="1" applyFill="1" applyBorder="1"/>
    <xf numFmtId="0" fontId="12" fillId="0" borderId="11" xfId="4" applyFont="1" applyBorder="1" applyAlignment="1">
      <alignment horizontal="center"/>
    </xf>
    <xf numFmtId="3" fontId="12" fillId="0" borderId="37" xfId="5" applyNumberFormat="1" applyFont="1" applyFill="1" applyBorder="1"/>
    <xf numFmtId="3" fontId="12" fillId="0" borderId="36" xfId="5" applyNumberFormat="1" applyFont="1" applyFill="1" applyBorder="1"/>
    <xf numFmtId="3" fontId="12" fillId="0" borderId="44" xfId="5" applyNumberFormat="1" applyFont="1" applyFill="1" applyBorder="1"/>
    <xf numFmtId="3" fontId="12" fillId="0" borderId="45" xfId="5" applyNumberFormat="1" applyFont="1" applyFill="1" applyBorder="1"/>
    <xf numFmtId="3" fontId="12" fillId="0" borderId="30" xfId="5" applyNumberFormat="1" applyFont="1" applyFill="1" applyBorder="1"/>
    <xf numFmtId="3" fontId="12" fillId="0" borderId="27" xfId="5" applyNumberFormat="1" applyFont="1" applyFill="1" applyBorder="1"/>
    <xf numFmtId="179" fontId="12" fillId="0" borderId="21" xfId="5" applyNumberFormat="1" applyFont="1" applyFill="1" applyBorder="1"/>
    <xf numFmtId="179" fontId="12" fillId="0" borderId="25" xfId="5" applyNumberFormat="1" applyFont="1" applyFill="1" applyBorder="1"/>
    <xf numFmtId="3" fontId="12" fillId="0" borderId="31" xfId="5" applyNumberFormat="1" applyFont="1" applyFill="1" applyBorder="1"/>
    <xf numFmtId="3" fontId="12" fillId="0" borderId="33" xfId="5" applyNumberFormat="1" applyFont="1" applyFill="1" applyBorder="1"/>
    <xf numFmtId="0" fontId="12" fillId="0" borderId="0" xfId="4" applyFont="1" applyAlignment="1">
      <alignment horizontal="center"/>
    </xf>
    <xf numFmtId="0" fontId="12" fillId="0" borderId="0" xfId="6" applyNumberFormat="1" applyFont="1" applyFill="1" applyAlignment="1">
      <alignment horizontal="center"/>
    </xf>
    <xf numFmtId="10" fontId="12" fillId="0" borderId="0" xfId="6" applyNumberFormat="1" applyFont="1" applyFill="1"/>
    <xf numFmtId="180" fontId="21" fillId="0" borderId="0" xfId="7" applyFont="1" applyFill="1"/>
    <xf numFmtId="0" fontId="23" fillId="0" borderId="0" xfId="8" applyFont="1"/>
    <xf numFmtId="41" fontId="23" fillId="0" borderId="0" xfId="8" applyNumberFormat="1" applyFont="1"/>
    <xf numFmtId="181" fontId="23" fillId="0" borderId="0" xfId="6" applyNumberFormat="1" applyFont="1" applyFill="1"/>
    <xf numFmtId="0" fontId="24" fillId="0" borderId="0" xfId="0" applyFont="1">
      <alignment vertical="center"/>
    </xf>
    <xf numFmtId="182" fontId="25" fillId="0" borderId="0" xfId="0" applyNumberFormat="1" applyFont="1">
      <alignment vertical="center"/>
    </xf>
    <xf numFmtId="182" fontId="26" fillId="0" borderId="0" xfId="0" applyNumberFormat="1" applyFont="1" applyAlignment="1"/>
    <xf numFmtId="182" fontId="28" fillId="0" borderId="1" xfId="9" applyNumberFormat="1" applyFont="1" applyBorder="1" applyAlignment="1">
      <alignment horizontal="center" vertical="center"/>
    </xf>
    <xf numFmtId="182" fontId="28" fillId="0" borderId="1" xfId="10" applyNumberFormat="1" applyFont="1" applyFill="1" applyBorder="1" applyAlignment="1">
      <alignment horizontal="center" vertical="center"/>
    </xf>
    <xf numFmtId="182" fontId="28" fillId="0" borderId="1" xfId="9" applyNumberFormat="1" applyFont="1" applyBorder="1" applyAlignment="1">
      <alignment horizontal="left" vertical="center"/>
    </xf>
    <xf numFmtId="182" fontId="31" fillId="0" borderId="1" xfId="10" applyNumberFormat="1" applyFont="1" applyFill="1" applyBorder="1" applyAlignment="1">
      <alignment horizontal="right" vertical="center"/>
    </xf>
    <xf numFmtId="182" fontId="31" fillId="0" borderId="1" xfId="9" applyNumberFormat="1" applyFont="1" applyBorder="1" applyAlignment="1">
      <alignment horizontal="right" vertical="center"/>
    </xf>
    <xf numFmtId="182" fontId="31" fillId="0" borderId="1" xfId="9" applyNumberFormat="1" applyFont="1" applyBorder="1" applyAlignment="1">
      <alignment horizontal="left" vertical="center"/>
    </xf>
    <xf numFmtId="182" fontId="31" fillId="4" borderId="1" xfId="10" applyNumberFormat="1" applyFont="1" applyFill="1" applyBorder="1" applyAlignment="1">
      <alignment horizontal="right" vertical="center"/>
    </xf>
    <xf numFmtId="182" fontId="24" fillId="0" borderId="0" xfId="0" applyNumberFormat="1" applyFont="1">
      <alignment vertical="center"/>
    </xf>
    <xf numFmtId="182" fontId="31" fillId="3" borderId="1" xfId="10" applyNumberFormat="1" applyFont="1" applyFill="1" applyBorder="1" applyAlignment="1">
      <alignment horizontal="right" vertical="center"/>
    </xf>
    <xf numFmtId="182" fontId="24" fillId="0" borderId="1" xfId="0" applyNumberFormat="1" applyFont="1" applyBorder="1">
      <alignment vertical="center"/>
    </xf>
    <xf numFmtId="182" fontId="26" fillId="0" borderId="1" xfId="0" applyNumberFormat="1" applyFont="1" applyBorder="1" applyAlignment="1"/>
    <xf numFmtId="182" fontId="26" fillId="4" borderId="1" xfId="0" applyNumberFormat="1" applyFont="1" applyFill="1" applyBorder="1" applyAlignment="1"/>
    <xf numFmtId="182" fontId="26" fillId="3" borderId="1" xfId="0" applyNumberFormat="1" applyFont="1" applyFill="1" applyBorder="1" applyAlignment="1"/>
    <xf numFmtId="182" fontId="25" fillId="0" borderId="1" xfId="0" applyNumberFormat="1" applyFont="1" applyBorder="1" applyAlignment="1"/>
    <xf numFmtId="182" fontId="25" fillId="0" borderId="1" xfId="0" applyNumberFormat="1" applyFont="1" applyBorder="1" applyAlignment="1">
      <alignment horizontal="center" vertical="center"/>
    </xf>
    <xf numFmtId="182" fontId="28" fillId="0" borderId="1" xfId="10" applyNumberFormat="1" applyFont="1" applyFill="1" applyBorder="1" applyAlignment="1">
      <alignment horizontal="right" vertical="center"/>
    </xf>
    <xf numFmtId="182" fontId="31" fillId="0" borderId="1" xfId="11" applyNumberFormat="1" applyFont="1" applyFill="1" applyBorder="1" applyAlignment="1">
      <alignment horizontal="right" vertical="center"/>
    </xf>
    <xf numFmtId="182" fontId="26" fillId="0" borderId="1" xfId="0" applyNumberFormat="1" applyFont="1" applyBorder="1">
      <alignment vertical="center"/>
    </xf>
    <xf numFmtId="10" fontId="31" fillId="0" borderId="1" xfId="2" applyNumberFormat="1" applyFont="1" applyFill="1" applyBorder="1" applyAlignment="1">
      <alignment horizontal="right" vertical="center"/>
    </xf>
    <xf numFmtId="182" fontId="25" fillId="0" borderId="1" xfId="0" applyNumberFormat="1" applyFont="1" applyBorder="1">
      <alignment vertical="center"/>
    </xf>
    <xf numFmtId="182" fontId="26" fillId="0" borderId="0" xfId="0" applyNumberFormat="1" applyFont="1">
      <alignment vertical="center"/>
    </xf>
    <xf numFmtId="182" fontId="26" fillId="3" borderId="0" xfId="0" applyNumberFormat="1" applyFont="1" applyFill="1">
      <alignment vertical="center"/>
    </xf>
    <xf numFmtId="182" fontId="26" fillId="0" borderId="1" xfId="0" applyNumberFormat="1" applyFont="1" applyBorder="1" applyAlignment="1">
      <alignment horizontal="center" vertical="center"/>
    </xf>
    <xf numFmtId="41" fontId="24" fillId="0" borderId="0" xfId="0" applyNumberFormat="1" applyFont="1">
      <alignment vertical="center"/>
    </xf>
    <xf numFmtId="41" fontId="0" fillId="0" borderId="0" xfId="0" applyNumberFormat="1">
      <alignment vertical="center"/>
    </xf>
    <xf numFmtId="176" fontId="3" fillId="0" borderId="1" xfId="3" applyFont="1" applyBorder="1" applyAlignment="1">
      <alignment horizontal="center" vertical="center"/>
    </xf>
    <xf numFmtId="176" fontId="6" fillId="0" borderId="1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3" fillId="0" borderId="39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6" xfId="4" quotePrefix="1" applyFont="1" applyBorder="1" applyAlignment="1">
      <alignment horizontal="center" vertical="center"/>
    </xf>
    <xf numFmtId="0" fontId="13" fillId="0" borderId="11" xfId="4" quotePrefix="1" applyFont="1" applyBorder="1" applyAlignment="1">
      <alignment horizontal="center" vertical="center"/>
    </xf>
    <xf numFmtId="0" fontId="13" fillId="0" borderId="7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12" xfId="4" applyFont="1" applyBorder="1" applyAlignment="1">
      <alignment horizontal="center" vertical="center"/>
    </xf>
    <xf numFmtId="0" fontId="13" fillId="0" borderId="31" xfId="4" applyFont="1" applyBorder="1" applyAlignment="1">
      <alignment horizontal="center" vertical="center"/>
    </xf>
    <xf numFmtId="0" fontId="13" fillId="0" borderId="9" xfId="4" applyFont="1" applyBorder="1" applyAlignment="1">
      <alignment horizontal="center" vertical="center"/>
    </xf>
    <xf numFmtId="0" fontId="13" fillId="0" borderId="10" xfId="4" applyFont="1" applyBorder="1" applyAlignment="1">
      <alignment horizontal="center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8" xfId="4" applyFont="1" applyBorder="1" applyAlignment="1">
      <alignment horizontal="center" vertical="center"/>
    </xf>
    <xf numFmtId="0" fontId="13" fillId="0" borderId="13" xfId="4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82" fontId="28" fillId="0" borderId="46" xfId="9" applyNumberFormat="1" applyFont="1" applyFill="1" applyBorder="1" applyAlignment="1">
      <alignment horizontal="center" vertical="center"/>
    </xf>
    <xf numFmtId="0" fontId="24" fillId="0" borderId="0" xfId="0" applyFont="1" applyFill="1" applyBorder="1">
      <alignment vertical="center"/>
    </xf>
    <xf numFmtId="0" fontId="24" fillId="0" borderId="47" xfId="0" applyFont="1" applyBorder="1">
      <alignment vertical="center"/>
    </xf>
    <xf numFmtId="41" fontId="24" fillId="0" borderId="0" xfId="1" applyFont="1">
      <alignment vertical="center"/>
    </xf>
    <xf numFmtId="41" fontId="28" fillId="0" borderId="46" xfId="1" applyFont="1" applyFill="1" applyBorder="1" applyAlignment="1">
      <alignment horizontal="center" vertical="center"/>
    </xf>
    <xf numFmtId="41" fontId="24" fillId="0" borderId="47" xfId="1" applyFont="1" applyBorder="1">
      <alignment vertical="center"/>
    </xf>
    <xf numFmtId="10" fontId="24" fillId="0" borderId="0" xfId="1" applyNumberFormat="1" applyFont="1">
      <alignment vertical="center"/>
    </xf>
  </cellXfs>
  <cellStyles count="12">
    <cellStyle name="백분율" xfId="2" builtinId="5"/>
    <cellStyle name="백분율 2" xfId="6"/>
    <cellStyle name="백분율 5" xfId="11"/>
    <cellStyle name="쉼표 [0]" xfId="1" builtinId="6"/>
    <cellStyle name="쉼표 [0] 2" xfId="5"/>
    <cellStyle name="쉼표 [0] 5" xfId="10"/>
    <cellStyle name="콤마 [0]_법인세-반기" xfId="7"/>
    <cellStyle name="표준" xfId="0" builtinId="0"/>
    <cellStyle name="표준 17" xfId="3"/>
    <cellStyle name="표준 2" xfId="4"/>
    <cellStyle name="표준 5" xfId="9"/>
    <cellStyle name="표준_Tax와 중요성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ATA\COMMON\CTRFORM\CT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&#48512;&#47928;&#44221;&#4870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SANGPU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REMWONG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HON-JE~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08;&#49328;&#50629;&#47924;\2022&#45380;&#44208;&#49328;\23&#44592;(2022&#45380;12&#50900;)&#44032;&#44208;&#49328;&#51116;&#47924;&#51228;&#54364;(&#54924;&#44228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08;&#49328;&#50629;&#47924;\2022&#45380;&#44208;&#49328;\&#49464;&#47924;&#51312;&#51221;\4&#52264;&#49688;&#51221;\2022&#45380;%20&#48277;&#51064;&#49464;&#48708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법인세Provision"/>
      <sheetName val="이연법인세"/>
      <sheetName val="21"/>
      <sheetName val="23(갑)"/>
      <sheetName val="23(을)"/>
      <sheetName val="32"/>
      <sheetName val="33"/>
      <sheetName val="퇴직급여충당금"/>
      <sheetName val="대손충당금"/>
      <sheetName val="program"/>
      <sheetName val="총괄표"/>
      <sheetName val="inform"/>
      <sheetName val="BS"/>
      <sheetName val="PL"/>
      <sheetName val="RE"/>
      <sheetName val="COGM"/>
      <sheetName val="T1"/>
      <sheetName val="T1-2"/>
      <sheetName val="T2"/>
      <sheetName val="T2A"/>
      <sheetName val="T3-1(7)"/>
      <sheetName val="T3-3A"/>
      <sheetName val="T3-3B"/>
      <sheetName val="T5"/>
      <sheetName val="T5-2A"/>
      <sheetName val="T5-2B"/>
      <sheetName val="T6"/>
      <sheetName val="T6A"/>
      <sheetName val="T6B"/>
      <sheetName val="T6-1"/>
      <sheetName val="T6-2(1)"/>
      <sheetName val="T6-2(7)"/>
      <sheetName val="T6-2(11)A"/>
      <sheetName val="T6-3(2)"/>
      <sheetName val="T6-3(3)"/>
      <sheetName val="T6-3(4)"/>
      <sheetName val="T6-5A"/>
      <sheetName val="T6-5B"/>
      <sheetName val="T6-6(2)"/>
      <sheetName val="T6-6(3)"/>
      <sheetName val="T6-6(4)"/>
      <sheetName val="T6-6(5)"/>
      <sheetName val="T6-6(6)"/>
      <sheetName val="T6-6(7)"/>
      <sheetName val="T6-6A"/>
      <sheetName val="T6-6B"/>
      <sheetName val="T6-7A"/>
      <sheetName val="T6-7B"/>
      <sheetName val="T6-10"/>
      <sheetName val="T6-11"/>
      <sheetName val="T6-12"/>
      <sheetName val="T6-13"/>
      <sheetName val="T6-14A"/>
      <sheetName val="T6-14B"/>
      <sheetName val="T6-14C"/>
      <sheetName val="T8"/>
      <sheetName val="T9A"/>
      <sheetName val="T9B"/>
      <sheetName val="T10(2)"/>
      <sheetName val="T10(3)"/>
      <sheetName val="T10(3)A"/>
      <sheetName val="T10(4)"/>
      <sheetName val="T11"/>
      <sheetName val="T12"/>
      <sheetName val="T14-1A"/>
      <sheetName val="T14-1B"/>
      <sheetName val="T15A"/>
      <sheetName val="T15B"/>
      <sheetName val="T16"/>
      <sheetName val="T17A"/>
      <sheetName val="제조소득"/>
      <sheetName val="공장면제신청"/>
      <sheetName val="공장감면"/>
      <sheetName val="T27"/>
      <sheetName val="T36"/>
      <sheetName val="T43"/>
      <sheetName val="T56"/>
      <sheetName val="T59"/>
      <sheetName val="T60A"/>
      <sheetName val="T60B"/>
      <sheetName val="CTR"/>
      <sheetName val="#REF"/>
      <sheetName val="확인서"/>
      <sheetName val="활용Tip"/>
      <sheetName val="기본사항"/>
      <sheetName val="1"/>
      <sheetName val="2"/>
      <sheetName val="3"/>
      <sheetName val="4"/>
      <sheetName val="5"/>
      <sheetName val="8(갑)"/>
      <sheetName val="8(을)"/>
      <sheetName val="8(병)"/>
      <sheetName val="8부표1"/>
      <sheetName val="8부표2"/>
      <sheetName val="8부표3"/>
      <sheetName val="8부표4"/>
      <sheetName val="8부표5"/>
      <sheetName val="8부표7"/>
      <sheetName val="10(갑)"/>
      <sheetName val="11"/>
      <sheetName val="12"/>
      <sheetName val="13(갑)"/>
      <sheetName val="13(을)"/>
      <sheetName val="15"/>
      <sheetName val="15부표1"/>
      <sheetName val="15부표2"/>
      <sheetName val="16"/>
      <sheetName val="17"/>
      <sheetName val="19(갑)"/>
      <sheetName val="19(을)"/>
      <sheetName val="20(1)"/>
      <sheetName val="20(2)"/>
      <sheetName val="20(3)"/>
      <sheetName val="22"/>
      <sheetName val="23(병)"/>
      <sheetName val="25"/>
      <sheetName val="26(갑)"/>
      <sheetName val="26(을)"/>
      <sheetName val="31(1)"/>
      <sheetName val="31(2)"/>
      <sheetName val="31(3)"/>
      <sheetName val="34"/>
      <sheetName val="39"/>
      <sheetName val="40(갑)"/>
      <sheetName val="40(을)"/>
      <sheetName val="41"/>
      <sheetName val="47"/>
      <sheetName val="47부표"/>
      <sheetName val="48"/>
      <sheetName val="50(갑)"/>
      <sheetName val="50(을)"/>
      <sheetName val="51"/>
      <sheetName val="54(갑)"/>
      <sheetName val="54(을)"/>
      <sheetName val="55"/>
      <sheetName val="COST"/>
    </sheetNames>
    <definedNames>
      <definedName name="conb121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Start"/>
      <sheetName val="하역"/>
      <sheetName val="도매"/>
      <sheetName val="축산"/>
      <sheetName val="광업"/>
      <sheetName val="임대"/>
      <sheetName val="건물관리"/>
      <sheetName val="혼화제"/>
      <sheetName val="무역관리"/>
      <sheetName val="일반관리"/>
      <sheetName val="서산제조"/>
      <sheetName val="서산도매"/>
      <sheetName val="서산임대"/>
      <sheetName val="금산제조"/>
      <sheetName val="진천제조"/>
      <sheetName val="용인제조"/>
      <sheetName val="조치원제조"/>
      <sheetName val="조치원임대"/>
      <sheetName val="천안제조"/>
      <sheetName val="아산제조"/>
      <sheetName val="경비집계"/>
      <sheetName val="영업외손"/>
      <sheetName val="특별손익"/>
      <sheetName val="감가상각(원본)"/>
    </sheetNames>
    <sheetDataSet>
      <sheetData sheetId="0"/>
      <sheetData sheetId="1">
        <row r="4">
          <cell r="D4">
            <v>37256</v>
          </cell>
          <cell r="H4" t="str">
            <v>2001년 1월 1일부터 ∼ 2001년 12월 31일까지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CODE"/>
      <sheetName val="상품입력"/>
      <sheetName val="상품수불(타총평)"/>
      <sheetName val="상품수불(합산)"/>
      <sheetName val="저장품입력"/>
      <sheetName val="저장품수불(월)"/>
      <sheetName val="저장품수불(누계)"/>
      <sheetName val="000000"/>
      <sheetName val="업종별제조원가"/>
      <sheetName val="조치원제조"/>
    </sheetNames>
    <sheetDataSet>
      <sheetData sheetId="0"/>
      <sheetData sheetId="1"/>
      <sheetData sheetId="2"/>
      <sheetData sheetId="3"/>
      <sheetData sheetId="4">
        <row r="42">
          <cell r="F42">
            <v>338131781</v>
          </cell>
          <cell r="N42">
            <v>0</v>
          </cell>
          <cell r="Q42">
            <v>0</v>
          </cell>
        </row>
        <row r="43">
          <cell r="N43">
            <v>0</v>
          </cell>
        </row>
        <row r="44">
          <cell r="L44">
            <v>5407360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서산제조"/>
      <sheetName val="금산제조"/>
      <sheetName val="진천제조"/>
      <sheetName val="용인제조"/>
      <sheetName val="조치원제조"/>
      <sheetName val="아산제조"/>
      <sheetName val="업종별제조원가"/>
    </sheetNames>
    <sheetDataSet>
      <sheetData sheetId="0"/>
      <sheetData sheetId="1"/>
      <sheetData sheetId="2"/>
      <sheetData sheetId="3"/>
      <sheetData sheetId="4"/>
      <sheetData sheetId="5">
        <row r="17">
          <cell r="C17">
            <v>0</v>
          </cell>
        </row>
        <row r="23">
          <cell r="E23">
            <v>59044252</v>
          </cell>
        </row>
        <row r="25">
          <cell r="E25">
            <v>17470402.185262121</v>
          </cell>
        </row>
      </sheetData>
      <sheetData sheetId="6"/>
      <sheetData sheetId="7">
        <row r="18">
          <cell r="C18">
            <v>0</v>
          </cell>
          <cell r="G18">
            <v>627895673</v>
          </cell>
        </row>
        <row r="21">
          <cell r="C21">
            <v>44855397</v>
          </cell>
          <cell r="K21">
            <v>0</v>
          </cell>
        </row>
        <row r="22">
          <cell r="C22">
            <v>15092099</v>
          </cell>
          <cell r="K2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CODE"/>
      <sheetName val="원재료입력"/>
      <sheetName val="제품입력"/>
      <sheetName val="원재료수불(월)"/>
      <sheetName val="원재료수불"/>
      <sheetName val="원재료(합산)"/>
      <sheetName val="원재료(사료합산)"/>
      <sheetName val="보조재료(합산)"/>
      <sheetName val="보조재료(저장품합산)"/>
      <sheetName val="제조원가 "/>
      <sheetName val="매출원가"/>
      <sheetName val="제품수불(월)"/>
      <sheetName val="제품수불(대체)"/>
      <sheetName val="총제품수불"/>
      <sheetName val="000000"/>
      <sheetName val="상품수불(합산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5">
          <cell r="AC105">
            <v>0</v>
          </cell>
        </row>
      </sheetData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기합잔"/>
      <sheetName val="23기BS"/>
      <sheetName val="23기PL"/>
      <sheetName val="23기제조"/>
      <sheetName val="23기IFRSBS"/>
      <sheetName val="23기IFRSPL"/>
    </sheetNames>
    <sheetDataSet>
      <sheetData sheetId="0">
        <row r="27">
          <cell r="A27">
            <v>806910087</v>
          </cell>
          <cell r="B27">
            <v>5377088997</v>
          </cell>
        </row>
        <row r="29">
          <cell r="A29">
            <v>1259568175</v>
          </cell>
        </row>
        <row r="105">
          <cell r="A105">
            <v>1136233609</v>
          </cell>
        </row>
        <row r="106">
          <cell r="A106">
            <v>171535583</v>
          </cell>
        </row>
        <row r="107">
          <cell r="A107">
            <v>112840065</v>
          </cell>
        </row>
        <row r="108">
          <cell r="A108">
            <v>15916363</v>
          </cell>
        </row>
        <row r="109">
          <cell r="A109">
            <v>414660</v>
          </cell>
        </row>
        <row r="112">
          <cell r="A112">
            <v>38550754</v>
          </cell>
        </row>
        <row r="113">
          <cell r="A113">
            <v>2157456</v>
          </cell>
        </row>
        <row r="114">
          <cell r="A114">
            <v>35451303</v>
          </cell>
        </row>
        <row r="116">
          <cell r="A116">
            <v>0</v>
          </cell>
        </row>
        <row r="117">
          <cell r="A117">
            <v>22179950</v>
          </cell>
        </row>
        <row r="118">
          <cell r="A118">
            <v>560960</v>
          </cell>
        </row>
        <row r="120">
          <cell r="A120">
            <v>0</v>
          </cell>
        </row>
        <row r="121">
          <cell r="A121">
            <v>2024043</v>
          </cell>
        </row>
        <row r="122">
          <cell r="A122">
            <v>151391991</v>
          </cell>
        </row>
        <row r="123">
          <cell r="A123">
            <v>453302521</v>
          </cell>
        </row>
        <row r="124">
          <cell r="A124">
            <v>0</v>
          </cell>
        </row>
        <row r="125">
          <cell r="A125">
            <v>2500000</v>
          </cell>
        </row>
        <row r="126">
          <cell r="A126">
            <v>4384072</v>
          </cell>
        </row>
        <row r="127">
          <cell r="A127">
            <v>726511862</v>
          </cell>
        </row>
        <row r="128">
          <cell r="A128">
            <v>44093525</v>
          </cell>
        </row>
        <row r="129">
          <cell r="E129">
            <v>616578115</v>
          </cell>
        </row>
        <row r="130">
          <cell r="E130">
            <v>8926376084</v>
          </cell>
        </row>
        <row r="131">
          <cell r="E131">
            <v>1650894356</v>
          </cell>
        </row>
        <row r="132">
          <cell r="E132">
            <v>211653628</v>
          </cell>
        </row>
        <row r="133">
          <cell r="E133">
            <v>0</v>
          </cell>
        </row>
        <row r="134">
          <cell r="E134">
            <v>297786565</v>
          </cell>
        </row>
        <row r="135">
          <cell r="E135">
            <v>130051688</v>
          </cell>
        </row>
        <row r="136">
          <cell r="E136">
            <v>18000000</v>
          </cell>
        </row>
        <row r="137">
          <cell r="E137">
            <v>130392120</v>
          </cell>
        </row>
        <row r="138">
          <cell r="E138">
            <v>2009988365</v>
          </cell>
        </row>
        <row r="139">
          <cell r="E139">
            <v>0</v>
          </cell>
        </row>
        <row r="141">
          <cell r="E141">
            <v>0</v>
          </cell>
        </row>
        <row r="142">
          <cell r="A142">
            <v>304258605</v>
          </cell>
        </row>
        <row r="143">
          <cell r="A143">
            <v>332992861</v>
          </cell>
        </row>
        <row r="144">
          <cell r="A144">
            <v>717608035</v>
          </cell>
        </row>
        <row r="145">
          <cell r="A145">
            <v>1566492</v>
          </cell>
        </row>
        <row r="146">
          <cell r="A146">
            <v>2385111883</v>
          </cell>
        </row>
        <row r="147">
          <cell r="A147">
            <v>3000000</v>
          </cell>
        </row>
        <row r="148">
          <cell r="A148">
            <v>2127161796</v>
          </cell>
        </row>
        <row r="149">
          <cell r="A149">
            <v>0</v>
          </cell>
        </row>
        <row r="150">
          <cell r="A150">
            <v>240562478</v>
          </cell>
        </row>
        <row r="151">
          <cell r="A151">
            <v>414375058</v>
          </cell>
        </row>
        <row r="152">
          <cell r="A152">
            <v>10000</v>
          </cell>
        </row>
        <row r="190">
          <cell r="B190">
            <v>-41565151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 답변"/>
      <sheetName val="법인세주석"/>
      <sheetName val="검토"/>
      <sheetName val="회계처리"/>
      <sheetName val="법인세"/>
      <sheetName val="공시내용 검토"/>
      <sheetName val="소득금액조정합계표"/>
      <sheetName val="자본금과적립금"/>
      <sheetName val="외화환산손익"/>
      <sheetName val="미수수익"/>
      <sheetName val="접대비"/>
      <sheetName val="매도가능증권"/>
      <sheetName val="확정급여채무"/>
      <sheetName val="무형자산"/>
      <sheetName val="대손충당금"/>
      <sheetName val="연구및인력개발준비금"/>
      <sheetName val="연월차수당"/>
      <sheetName val="배당금수익"/>
      <sheetName val="감가상각"/>
      <sheetName val="국고보조금"/>
      <sheetName val="원재료"/>
      <sheetName val="상품"/>
      <sheetName val="재공품"/>
      <sheetName val="제품"/>
      <sheetName val="세금과공과"/>
      <sheetName val="법인세등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>
            <v>0</v>
          </cell>
        </row>
        <row r="6">
          <cell r="C6">
            <v>672334577</v>
          </cell>
        </row>
        <row r="8">
          <cell r="C8">
            <v>78863934</v>
          </cell>
          <cell r="F8">
            <v>225820949</v>
          </cell>
        </row>
        <row r="12">
          <cell r="F12">
            <v>0</v>
          </cell>
        </row>
        <row r="13">
          <cell r="F13">
            <v>-476042627</v>
          </cell>
        </row>
        <row r="15">
          <cell r="F15">
            <v>0</v>
          </cell>
        </row>
        <row r="16">
          <cell r="C16">
            <v>0</v>
          </cell>
        </row>
        <row r="18">
          <cell r="C18">
            <v>-1142157084</v>
          </cell>
        </row>
        <row r="19">
          <cell r="C19">
            <v>1198004532</v>
          </cell>
        </row>
        <row r="23">
          <cell r="F23">
            <v>1329824224</v>
          </cell>
        </row>
        <row r="24">
          <cell r="C24">
            <v>0</v>
          </cell>
        </row>
        <row r="25">
          <cell r="C25">
            <v>662777339</v>
          </cell>
          <cell r="F25">
            <v>662777339</v>
          </cell>
        </row>
        <row r="26">
          <cell r="F26">
            <v>98059017</v>
          </cell>
        </row>
        <row r="28">
          <cell r="F28">
            <v>0</v>
          </cell>
        </row>
        <row r="30">
          <cell r="F30">
            <v>447803860</v>
          </cell>
        </row>
        <row r="31">
          <cell r="C31">
            <v>1182652192</v>
          </cell>
        </row>
        <row r="33">
          <cell r="C33">
            <v>0</v>
          </cell>
        </row>
        <row r="35">
          <cell r="C35">
            <v>493979843</v>
          </cell>
          <cell r="F35">
            <v>280395294</v>
          </cell>
        </row>
        <row r="40">
          <cell r="C40">
            <v>0</v>
          </cell>
        </row>
        <row r="42">
          <cell r="C42">
            <v>513000000</v>
          </cell>
          <cell r="F42">
            <v>545239955</v>
          </cell>
        </row>
        <row r="44">
          <cell r="C44">
            <v>21858717</v>
          </cell>
        </row>
        <row r="46">
          <cell r="C46">
            <v>2972680</v>
          </cell>
        </row>
        <row r="48">
          <cell r="C48">
            <v>191447644</v>
          </cell>
        </row>
        <row r="50">
          <cell r="C50">
            <v>298443374</v>
          </cell>
        </row>
        <row r="56">
          <cell r="C56">
            <v>165802000</v>
          </cell>
        </row>
        <row r="57">
          <cell r="C57">
            <v>157906500</v>
          </cell>
        </row>
        <row r="59">
          <cell r="C59">
            <v>2385111883</v>
          </cell>
        </row>
        <row r="62">
          <cell r="C62">
            <v>298694148</v>
          </cell>
        </row>
        <row r="65">
          <cell r="F65">
            <v>0</v>
          </cell>
        </row>
        <row r="71">
          <cell r="C71">
            <v>7181692279</v>
          </cell>
          <cell r="F71">
            <v>3113878011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workbookViewId="0">
      <selection activeCell="D30" sqref="D30"/>
    </sheetView>
  </sheetViews>
  <sheetFormatPr defaultRowHeight="16.5" x14ac:dyDescent="0.3"/>
  <cols>
    <col min="2" max="2" width="7.5" bestFit="1" customWidth="1"/>
    <col min="3" max="3" width="9.625" bestFit="1" customWidth="1"/>
    <col min="4" max="4" width="19.375" bestFit="1" customWidth="1"/>
    <col min="5" max="9" width="10.625" customWidth="1"/>
  </cols>
  <sheetData>
    <row r="2" spans="2:9" x14ac:dyDescent="0.3">
      <c r="B2" t="s">
        <v>294</v>
      </c>
    </row>
    <row r="3" spans="2:9" x14ac:dyDescent="0.3">
      <c r="B3" s="1" t="s">
        <v>0</v>
      </c>
      <c r="C3" s="165" t="s">
        <v>1</v>
      </c>
      <c r="D3" s="165"/>
      <c r="E3" s="2" t="s">
        <v>295</v>
      </c>
      <c r="F3" s="2" t="s">
        <v>2</v>
      </c>
      <c r="G3" s="2" t="s">
        <v>3</v>
      </c>
      <c r="H3" s="2" t="s">
        <v>4</v>
      </c>
      <c r="I3" s="2" t="s">
        <v>5</v>
      </c>
    </row>
    <row r="4" spans="2:9" x14ac:dyDescent="0.3">
      <c r="B4" s="166" t="s">
        <v>6</v>
      </c>
      <c r="C4" s="4" t="s">
        <v>7</v>
      </c>
      <c r="D4" s="5" t="s">
        <v>8</v>
      </c>
      <c r="E4" s="6">
        <v>16759</v>
      </c>
      <c r="F4" s="6">
        <v>17028</v>
      </c>
      <c r="G4" s="6">
        <v>15178</v>
      </c>
      <c r="H4" s="6">
        <v>20535</v>
      </c>
      <c r="I4" s="6">
        <v>13514</v>
      </c>
    </row>
    <row r="5" spans="2:9" x14ac:dyDescent="0.3">
      <c r="B5" s="166"/>
      <c r="C5" s="166" t="s">
        <v>9</v>
      </c>
      <c r="D5" s="3" t="s">
        <v>10</v>
      </c>
      <c r="E5" s="6">
        <v>10513</v>
      </c>
      <c r="F5" s="6">
        <v>9333</v>
      </c>
      <c r="G5" s="6">
        <v>10281</v>
      </c>
      <c r="H5" s="6">
        <v>14733</v>
      </c>
      <c r="I5" s="6">
        <v>14896</v>
      </c>
    </row>
    <row r="6" spans="2:9" x14ac:dyDescent="0.3">
      <c r="B6" s="166"/>
      <c r="C6" s="166"/>
      <c r="D6" s="7" t="s">
        <v>11</v>
      </c>
      <c r="E6" s="6">
        <v>12904</v>
      </c>
      <c r="F6" s="6">
        <v>10551</v>
      </c>
      <c r="G6" s="6">
        <v>10546</v>
      </c>
      <c r="H6" s="6">
        <v>10082</v>
      </c>
      <c r="I6" s="6">
        <v>10722</v>
      </c>
    </row>
    <row r="7" spans="2:9" x14ac:dyDescent="0.3">
      <c r="B7" s="3" t="s">
        <v>12</v>
      </c>
      <c r="C7" s="166"/>
      <c r="D7" s="3" t="s">
        <v>13</v>
      </c>
      <c r="E7" s="6">
        <v>1291</v>
      </c>
      <c r="F7" s="6">
        <v>820</v>
      </c>
      <c r="G7" s="6">
        <v>1081</v>
      </c>
      <c r="H7" s="6">
        <v>1547</v>
      </c>
      <c r="I7" s="6">
        <v>1258</v>
      </c>
    </row>
    <row r="8" spans="2:9" x14ac:dyDescent="0.3">
      <c r="B8" s="167" t="s">
        <v>14</v>
      </c>
      <c r="C8" s="168"/>
      <c r="D8" s="169"/>
      <c r="E8" s="6">
        <f>SUM(E4:E7)</f>
        <v>41467</v>
      </c>
      <c r="F8" s="6">
        <f>SUM(F4:F7)</f>
        <v>37732</v>
      </c>
      <c r="G8" s="6">
        <f>SUM(G4:G7)</f>
        <v>37086</v>
      </c>
      <c r="H8" s="6">
        <f>SUM(H4:H7)</f>
        <v>46897</v>
      </c>
      <c r="I8" s="6">
        <f>SUM(I4:I7)</f>
        <v>40390</v>
      </c>
    </row>
    <row r="10" spans="2:9" x14ac:dyDescent="0.3">
      <c r="D10" t="s">
        <v>296</v>
      </c>
      <c r="E10" s="164">
        <f>SUM(E4:E6)</f>
        <v>40176</v>
      </c>
      <c r="F10" s="164">
        <f t="shared" ref="F10:I10" si="0">SUM(F4:F6)</f>
        <v>36912</v>
      </c>
      <c r="G10" s="164">
        <f t="shared" si="0"/>
        <v>36005</v>
      </c>
      <c r="H10" s="164">
        <f t="shared" si="0"/>
        <v>45350</v>
      </c>
      <c r="I10" s="164">
        <f t="shared" si="0"/>
        <v>39132</v>
      </c>
    </row>
  </sheetData>
  <mergeCells count="4">
    <mergeCell ref="C3:D3"/>
    <mergeCell ref="B4:B6"/>
    <mergeCell ref="C5:C7"/>
    <mergeCell ref="B8:D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opLeftCell="A4" workbookViewId="0">
      <selection activeCell="C25" sqref="C25"/>
    </sheetView>
  </sheetViews>
  <sheetFormatPr defaultRowHeight="16.5" x14ac:dyDescent="0.3"/>
  <cols>
    <col min="1" max="1" width="31.625" bestFit="1" customWidth="1"/>
    <col min="2" max="11" width="15.625" customWidth="1"/>
  </cols>
  <sheetData>
    <row r="1" spans="1:11" ht="25.5" x14ac:dyDescent="0.3">
      <c r="A1" s="8" t="s">
        <v>15</v>
      </c>
      <c r="B1" s="8"/>
      <c r="C1" s="8"/>
      <c r="D1" s="8"/>
      <c r="E1" s="8"/>
      <c r="F1" s="8"/>
      <c r="G1" s="8"/>
      <c r="H1" s="9"/>
      <c r="I1" s="9"/>
      <c r="J1" s="9"/>
      <c r="K1" s="9"/>
    </row>
    <row r="2" spans="1:11" ht="25.5" x14ac:dyDescent="0.3">
      <c r="A2" s="10"/>
      <c r="B2" s="10"/>
      <c r="C2" s="10"/>
      <c r="D2" s="10"/>
      <c r="E2" s="10"/>
      <c r="F2" s="10"/>
      <c r="G2" s="10"/>
      <c r="H2" s="9"/>
      <c r="I2" s="9"/>
      <c r="J2" s="9"/>
      <c r="K2" s="9"/>
    </row>
    <row r="3" spans="1:1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7.25" thickBot="1" x14ac:dyDescent="0.2">
      <c r="A4" s="12"/>
      <c r="B4" s="12"/>
      <c r="C4" s="12"/>
      <c r="D4" s="12"/>
      <c r="E4" s="12"/>
      <c r="F4" s="12"/>
      <c r="G4" s="12"/>
      <c r="H4" s="174"/>
      <c r="I4" s="174"/>
      <c r="J4" s="11"/>
      <c r="K4" s="13"/>
    </row>
    <row r="5" spans="1:11" x14ac:dyDescent="0.15">
      <c r="A5" s="14"/>
      <c r="B5" s="170" t="s">
        <v>63</v>
      </c>
      <c r="C5" s="171"/>
      <c r="D5" s="170" t="s">
        <v>61</v>
      </c>
      <c r="E5" s="171"/>
      <c r="F5" s="177" t="s">
        <v>60</v>
      </c>
      <c r="G5" s="178"/>
      <c r="H5" s="170" t="s">
        <v>58</v>
      </c>
      <c r="I5" s="175"/>
      <c r="J5" s="177" t="s">
        <v>57</v>
      </c>
      <c r="K5" s="178"/>
    </row>
    <row r="6" spans="1:11" x14ac:dyDescent="0.15">
      <c r="A6" s="15" t="s">
        <v>17</v>
      </c>
      <c r="B6" s="172"/>
      <c r="C6" s="173"/>
      <c r="D6" s="172"/>
      <c r="E6" s="173"/>
      <c r="F6" s="179"/>
      <c r="G6" s="180"/>
      <c r="H6" s="172"/>
      <c r="I6" s="176"/>
      <c r="J6" s="179"/>
      <c r="K6" s="180"/>
    </row>
    <row r="7" spans="1:11" ht="17.25" thickBot="1" x14ac:dyDescent="0.2">
      <c r="A7" s="16"/>
      <c r="B7" s="17" t="s">
        <v>18</v>
      </c>
      <c r="C7" s="18"/>
      <c r="D7" s="17" t="s">
        <v>18</v>
      </c>
      <c r="E7" s="18"/>
      <c r="F7" s="17" t="s">
        <v>19</v>
      </c>
      <c r="G7" s="19"/>
      <c r="H7" s="44" t="s">
        <v>18</v>
      </c>
      <c r="I7" s="45"/>
      <c r="J7" s="17" t="s">
        <v>19</v>
      </c>
      <c r="K7" s="19"/>
    </row>
    <row r="8" spans="1:11" ht="17.25" thickTop="1" x14ac:dyDescent="0.15">
      <c r="A8" s="20" t="s">
        <v>20</v>
      </c>
      <c r="B8" s="21"/>
      <c r="C8" s="22"/>
      <c r="D8" s="21"/>
      <c r="E8" s="22"/>
      <c r="F8" s="23"/>
      <c r="G8" s="24"/>
      <c r="H8" s="21"/>
      <c r="I8" s="22"/>
      <c r="J8" s="23"/>
      <c r="K8" s="24"/>
    </row>
    <row r="9" spans="1:11" x14ac:dyDescent="0.15">
      <c r="A9" s="20" t="s">
        <v>21</v>
      </c>
      <c r="B9" s="21">
        <v>5542414294</v>
      </c>
      <c r="C9" s="25"/>
      <c r="D9" s="21">
        <v>3988940890</v>
      </c>
      <c r="E9" s="25"/>
      <c r="F9" s="21">
        <v>3709725870</v>
      </c>
      <c r="G9" s="26"/>
      <c r="H9" s="21">
        <v>3646941459</v>
      </c>
      <c r="I9" s="25"/>
      <c r="J9" s="21">
        <v>2962233192</v>
      </c>
      <c r="K9" s="26"/>
    </row>
    <row r="10" spans="1:11" x14ac:dyDescent="0.15">
      <c r="A10" s="20" t="s">
        <v>22</v>
      </c>
      <c r="B10" s="21">
        <v>16512599791</v>
      </c>
      <c r="C10" s="22"/>
      <c r="D10" s="21">
        <v>19090495058</v>
      </c>
      <c r="E10" s="22"/>
      <c r="F10" s="27">
        <v>12763581625</v>
      </c>
      <c r="G10" s="24"/>
      <c r="H10" s="21">
        <v>11907801483</v>
      </c>
      <c r="I10" s="22"/>
      <c r="J10" s="27">
        <v>14928322226</v>
      </c>
      <c r="K10" s="24"/>
    </row>
    <row r="11" spans="1:11" x14ac:dyDescent="0.15">
      <c r="A11" s="20" t="s">
        <v>23</v>
      </c>
      <c r="B11" s="28"/>
      <c r="C11" s="22"/>
      <c r="D11" s="28">
        <v>0</v>
      </c>
      <c r="E11" s="22"/>
      <c r="F11" s="29">
        <v>0</v>
      </c>
      <c r="G11" s="24"/>
      <c r="H11" s="28">
        <v>0</v>
      </c>
      <c r="I11" s="22"/>
      <c r="J11" s="29">
        <v>0</v>
      </c>
      <c r="K11" s="24"/>
    </row>
    <row r="12" spans="1:11" x14ac:dyDescent="0.15">
      <c r="A12" s="30" t="s">
        <v>24</v>
      </c>
      <c r="B12" s="21">
        <v>22055014085</v>
      </c>
      <c r="C12" s="22"/>
      <c r="D12" s="21">
        <v>23079435948</v>
      </c>
      <c r="E12" s="22"/>
      <c r="F12" s="21">
        <v>16473307495</v>
      </c>
      <c r="G12" s="24"/>
      <c r="H12" s="21">
        <v>15554742942</v>
      </c>
      <c r="I12" s="22"/>
      <c r="J12" s="21">
        <v>17890555418</v>
      </c>
      <c r="K12" s="24"/>
    </row>
    <row r="13" spans="1:11" x14ac:dyDescent="0.15">
      <c r="A13" s="20" t="s">
        <v>25</v>
      </c>
      <c r="B13" s="31">
        <v>6508006349</v>
      </c>
      <c r="C13" s="32"/>
      <c r="D13" s="31">
        <v>5542414294</v>
      </c>
      <c r="E13" s="32"/>
      <c r="F13" s="21">
        <v>3988940890</v>
      </c>
      <c r="G13" s="24"/>
      <c r="H13" s="31">
        <v>3709725870</v>
      </c>
      <c r="I13" s="32"/>
      <c r="J13" s="21">
        <v>3646941459</v>
      </c>
      <c r="K13" s="24"/>
    </row>
    <row r="14" spans="1:11" x14ac:dyDescent="0.15">
      <c r="A14" s="33" t="s">
        <v>26</v>
      </c>
      <c r="B14" s="34"/>
      <c r="C14" s="35">
        <v>15547007736</v>
      </c>
      <c r="D14" s="34"/>
      <c r="E14" s="35">
        <v>17537021654</v>
      </c>
      <c r="F14" s="28"/>
      <c r="G14" s="36">
        <v>12484366605</v>
      </c>
      <c r="H14" s="34"/>
      <c r="I14" s="35">
        <v>11845017072</v>
      </c>
      <c r="J14" s="28"/>
      <c r="K14" s="36">
        <v>14243613959</v>
      </c>
    </row>
    <row r="15" spans="1:11" x14ac:dyDescent="0.15">
      <c r="A15" s="20"/>
      <c r="B15" s="21"/>
      <c r="C15" s="22"/>
      <c r="D15" s="21"/>
      <c r="E15" s="22"/>
      <c r="F15" s="27"/>
      <c r="G15" s="24"/>
      <c r="H15" s="21"/>
      <c r="I15" s="22"/>
      <c r="J15" s="27"/>
      <c r="K15" s="24"/>
    </row>
    <row r="16" spans="1:11" x14ac:dyDescent="0.15">
      <c r="A16" s="20" t="s">
        <v>27</v>
      </c>
      <c r="B16" s="21"/>
      <c r="C16" s="22"/>
      <c r="D16" s="21"/>
      <c r="E16" s="22"/>
      <c r="F16" s="27"/>
      <c r="G16" s="24"/>
      <c r="H16" s="21"/>
      <c r="I16" s="22"/>
      <c r="J16" s="27"/>
      <c r="K16" s="24"/>
    </row>
    <row r="17" spans="1:11" x14ac:dyDescent="0.15">
      <c r="A17" s="20" t="s">
        <v>28</v>
      </c>
      <c r="B17" s="21">
        <v>8324056214</v>
      </c>
      <c r="C17" s="22"/>
      <c r="D17" s="21">
        <v>8245155644</v>
      </c>
      <c r="E17" s="22"/>
      <c r="F17" s="27">
        <v>6770919847</v>
      </c>
      <c r="G17" s="24"/>
      <c r="H17" s="21">
        <v>6996267963</v>
      </c>
      <c r="I17" s="22"/>
      <c r="J17" s="27">
        <v>6510497920</v>
      </c>
      <c r="K17" s="24"/>
    </row>
    <row r="18" spans="1:11" x14ac:dyDescent="0.15">
      <c r="A18" s="20" t="s">
        <v>29</v>
      </c>
      <c r="B18" s="28">
        <v>824430643</v>
      </c>
      <c r="C18" s="35">
        <v>9148486857</v>
      </c>
      <c r="D18" s="28">
        <v>780509683</v>
      </c>
      <c r="E18" s="35">
        <v>9025665327</v>
      </c>
      <c r="F18" s="29">
        <v>852282431</v>
      </c>
      <c r="G18" s="36">
        <v>7623202278</v>
      </c>
      <c r="H18" s="28">
        <v>774458519</v>
      </c>
      <c r="I18" s="35">
        <v>7770726482</v>
      </c>
      <c r="J18" s="29">
        <v>665612313</v>
      </c>
      <c r="K18" s="36">
        <v>7176110233</v>
      </c>
    </row>
    <row r="19" spans="1:11" x14ac:dyDescent="0.15">
      <c r="A19" s="20"/>
      <c r="B19" s="21"/>
      <c r="C19" s="22"/>
      <c r="D19" s="21"/>
      <c r="E19" s="22"/>
      <c r="F19" s="27"/>
      <c r="G19" s="24"/>
      <c r="H19" s="21"/>
      <c r="I19" s="22"/>
      <c r="J19" s="27"/>
      <c r="K19" s="24"/>
    </row>
    <row r="20" spans="1:11" x14ac:dyDescent="0.15">
      <c r="A20" s="20" t="s">
        <v>30</v>
      </c>
      <c r="B20" s="21"/>
      <c r="C20" s="22"/>
      <c r="D20" s="21"/>
      <c r="E20" s="22"/>
      <c r="F20" s="27"/>
      <c r="G20" s="24"/>
      <c r="H20" s="21"/>
      <c r="I20" s="22"/>
      <c r="J20" s="27"/>
      <c r="K20" s="24"/>
    </row>
    <row r="21" spans="1:11" x14ac:dyDescent="0.15">
      <c r="A21" s="20" t="s">
        <v>31</v>
      </c>
      <c r="B21" s="21">
        <v>240167865</v>
      </c>
      <c r="C21" s="22"/>
      <c r="D21" s="21">
        <v>278667978</v>
      </c>
      <c r="E21" s="22"/>
      <c r="F21" s="27">
        <v>191356256</v>
      </c>
      <c r="G21" s="24"/>
      <c r="H21" s="21">
        <v>281534980</v>
      </c>
      <c r="I21" s="22"/>
      <c r="J21" s="27">
        <v>262852565</v>
      </c>
      <c r="K21" s="24"/>
    </row>
    <row r="22" spans="1:11" x14ac:dyDescent="0.15">
      <c r="A22" s="20" t="s">
        <v>32</v>
      </c>
      <c r="B22" s="21">
        <v>1363947100</v>
      </c>
      <c r="C22" s="22"/>
      <c r="D22" s="21">
        <v>1249872508</v>
      </c>
      <c r="E22" s="22"/>
      <c r="F22" s="27">
        <v>997736398</v>
      </c>
      <c r="G22" s="24"/>
      <c r="H22" s="21">
        <v>1262061647</v>
      </c>
      <c r="I22" s="22"/>
      <c r="J22" s="27">
        <v>1303233790</v>
      </c>
      <c r="K22" s="24"/>
    </row>
    <row r="23" spans="1:11" x14ac:dyDescent="0.15">
      <c r="A23" s="20" t="s">
        <v>33</v>
      </c>
      <c r="B23" s="21">
        <v>1458642159</v>
      </c>
      <c r="C23" s="22"/>
      <c r="D23" s="21">
        <v>1549785572</v>
      </c>
      <c r="E23" s="22"/>
      <c r="F23" s="27">
        <v>1638740617</v>
      </c>
      <c r="G23" s="24"/>
      <c r="H23" s="21">
        <v>1679591769</v>
      </c>
      <c r="I23" s="22"/>
      <c r="J23" s="27">
        <v>1473399615</v>
      </c>
      <c r="K23" s="24"/>
    </row>
    <row r="24" spans="1:11" x14ac:dyDescent="0.15">
      <c r="A24" s="20" t="s">
        <v>34</v>
      </c>
      <c r="B24" s="21">
        <v>0</v>
      </c>
      <c r="C24" s="22"/>
      <c r="D24" s="21">
        <v>0</v>
      </c>
      <c r="E24" s="22"/>
      <c r="F24" s="27">
        <v>0</v>
      </c>
      <c r="G24" s="24"/>
      <c r="H24" s="21">
        <v>0</v>
      </c>
      <c r="I24" s="22"/>
      <c r="J24" s="27"/>
      <c r="K24" s="24"/>
    </row>
    <row r="25" spans="1:11" x14ac:dyDescent="0.15">
      <c r="A25" s="20" t="s">
        <v>35</v>
      </c>
      <c r="B25" s="21">
        <v>1641825344</v>
      </c>
      <c r="C25" s="22"/>
      <c r="D25" s="21">
        <v>2024632736</v>
      </c>
      <c r="E25" s="22"/>
      <c r="F25" s="27">
        <v>1428650035</v>
      </c>
      <c r="G25" s="24"/>
      <c r="H25" s="21">
        <v>1311746694</v>
      </c>
      <c r="I25" s="22"/>
      <c r="J25" s="27">
        <v>1782781600</v>
      </c>
      <c r="K25" s="24"/>
    </row>
    <row r="26" spans="1:11" x14ac:dyDescent="0.15">
      <c r="A26" s="20" t="s">
        <v>36</v>
      </c>
      <c r="B26" s="21">
        <v>484048770</v>
      </c>
      <c r="C26" s="22"/>
      <c r="D26" s="21">
        <v>513409407</v>
      </c>
      <c r="E26" s="22"/>
      <c r="F26" s="27">
        <v>465198235</v>
      </c>
      <c r="G26" s="24"/>
      <c r="H26" s="21">
        <v>439835814</v>
      </c>
      <c r="I26" s="22"/>
      <c r="J26" s="27">
        <v>408482619</v>
      </c>
      <c r="K26" s="24"/>
    </row>
    <row r="27" spans="1:11" x14ac:dyDescent="0.15">
      <c r="A27" s="20" t="s">
        <v>37</v>
      </c>
      <c r="B27" s="21">
        <v>15225816</v>
      </c>
      <c r="C27" s="22"/>
      <c r="D27" s="21">
        <v>8080838</v>
      </c>
      <c r="E27" s="22"/>
      <c r="F27" s="27">
        <v>1013542</v>
      </c>
      <c r="G27" s="24"/>
      <c r="H27" s="21">
        <v>1446908</v>
      </c>
      <c r="I27" s="22"/>
      <c r="J27" s="27">
        <v>64243276</v>
      </c>
      <c r="K27" s="24"/>
    </row>
    <row r="28" spans="1:11" x14ac:dyDescent="0.15">
      <c r="A28" s="20" t="s">
        <v>38</v>
      </c>
      <c r="B28" s="21">
        <v>38351407</v>
      </c>
      <c r="C28" s="22"/>
      <c r="D28" s="21">
        <v>25083010</v>
      </c>
      <c r="E28" s="22"/>
      <c r="F28" s="27">
        <v>27925868</v>
      </c>
      <c r="G28" s="24"/>
      <c r="H28" s="21">
        <v>38896700</v>
      </c>
      <c r="I28" s="22"/>
      <c r="J28" s="27">
        <v>40408419</v>
      </c>
      <c r="K28" s="24"/>
    </row>
    <row r="29" spans="1:11" x14ac:dyDescent="0.15">
      <c r="A29" s="20" t="s">
        <v>39</v>
      </c>
      <c r="B29" s="21">
        <v>1477926783</v>
      </c>
      <c r="C29" s="22"/>
      <c r="D29" s="21">
        <v>1309778326</v>
      </c>
      <c r="E29" s="22"/>
      <c r="F29" s="27">
        <v>1119981542</v>
      </c>
      <c r="G29" s="24"/>
      <c r="H29" s="21">
        <v>1245855930</v>
      </c>
      <c r="I29" s="22"/>
      <c r="J29" s="27">
        <v>1206018779</v>
      </c>
      <c r="K29" s="24"/>
    </row>
    <row r="30" spans="1:11" x14ac:dyDescent="0.15">
      <c r="A30" s="20" t="s">
        <v>40</v>
      </c>
      <c r="B30" s="21">
        <v>55847114</v>
      </c>
      <c r="C30" s="22"/>
      <c r="D30" s="21">
        <v>26847108</v>
      </c>
      <c r="E30" s="22"/>
      <c r="F30" s="27">
        <v>41533370</v>
      </c>
      <c r="G30" s="24"/>
      <c r="H30" s="21">
        <v>140084146</v>
      </c>
      <c r="I30" s="22"/>
      <c r="J30" s="27">
        <v>129979650</v>
      </c>
      <c r="K30" s="24"/>
    </row>
    <row r="31" spans="1:11" x14ac:dyDescent="0.15">
      <c r="A31" s="20" t="s">
        <v>41</v>
      </c>
      <c r="B31" s="21">
        <v>45416293</v>
      </c>
      <c r="C31" s="22"/>
      <c r="D31" s="21">
        <v>34823579</v>
      </c>
      <c r="E31" s="22"/>
      <c r="F31" s="27">
        <v>24975585</v>
      </c>
      <c r="G31" s="24"/>
      <c r="H31" s="21">
        <v>23515241</v>
      </c>
      <c r="I31" s="22"/>
      <c r="J31" s="27">
        <v>36619687</v>
      </c>
      <c r="K31" s="24"/>
    </row>
    <row r="32" spans="1:11" x14ac:dyDescent="0.15">
      <c r="A32" s="20" t="s">
        <v>42</v>
      </c>
      <c r="B32" s="21">
        <v>33284499</v>
      </c>
      <c r="C32" s="22"/>
      <c r="D32" s="21">
        <v>34832974</v>
      </c>
      <c r="E32" s="22"/>
      <c r="F32" s="27">
        <v>19090133</v>
      </c>
      <c r="G32" s="24"/>
      <c r="H32" s="21">
        <v>21691741</v>
      </c>
      <c r="I32" s="22"/>
      <c r="J32" s="27">
        <v>25025988</v>
      </c>
      <c r="K32" s="24"/>
    </row>
    <row r="33" spans="1:11" x14ac:dyDescent="0.15">
      <c r="A33" s="20" t="s">
        <v>43</v>
      </c>
      <c r="B33" s="21">
        <v>34755040</v>
      </c>
      <c r="C33" s="22"/>
      <c r="D33" s="21">
        <v>57754000</v>
      </c>
      <c r="E33" s="22"/>
      <c r="F33" s="27">
        <v>25021000</v>
      </c>
      <c r="G33" s="24"/>
      <c r="H33" s="21">
        <v>4522700</v>
      </c>
      <c r="I33" s="22"/>
      <c r="J33" s="27">
        <v>13593872</v>
      </c>
      <c r="K33" s="24"/>
    </row>
    <row r="34" spans="1:11" x14ac:dyDescent="0.15">
      <c r="A34" s="20" t="s">
        <v>44</v>
      </c>
      <c r="B34" s="21">
        <v>5756193</v>
      </c>
      <c r="C34" s="22"/>
      <c r="D34" s="21">
        <v>5918220</v>
      </c>
      <c r="E34" s="22"/>
      <c r="F34" s="27">
        <v>3099660</v>
      </c>
      <c r="G34" s="24"/>
      <c r="H34" s="21">
        <v>7442200</v>
      </c>
      <c r="I34" s="22"/>
      <c r="J34" s="27">
        <v>6210481</v>
      </c>
      <c r="K34" s="24"/>
    </row>
    <row r="35" spans="1:11" x14ac:dyDescent="0.15">
      <c r="A35" s="20" t="s">
        <v>45</v>
      </c>
      <c r="B35" s="21">
        <v>2698560641</v>
      </c>
      <c r="C35" s="22"/>
      <c r="D35" s="21">
        <v>2512058228</v>
      </c>
      <c r="E35" s="22"/>
      <c r="F35" s="27">
        <v>2733627384</v>
      </c>
      <c r="G35" s="24"/>
      <c r="H35" s="21">
        <v>2663277822</v>
      </c>
      <c r="I35" s="22"/>
      <c r="J35" s="27">
        <v>2758120684</v>
      </c>
      <c r="K35" s="24"/>
    </row>
    <row r="36" spans="1:11" x14ac:dyDescent="0.15">
      <c r="A36" s="20" t="s">
        <v>46</v>
      </c>
      <c r="B36" s="21">
        <v>0</v>
      </c>
      <c r="C36" s="22"/>
      <c r="D36" s="21">
        <v>0</v>
      </c>
      <c r="E36" s="22"/>
      <c r="F36" s="27">
        <v>0</v>
      </c>
      <c r="G36" s="24"/>
      <c r="H36" s="21">
        <v>0</v>
      </c>
      <c r="I36" s="22"/>
      <c r="J36" s="27"/>
      <c r="K36" s="24"/>
    </row>
    <row r="37" spans="1:11" x14ac:dyDescent="0.15">
      <c r="A37" s="20" t="s">
        <v>47</v>
      </c>
      <c r="B37" s="21">
        <v>676378774</v>
      </c>
      <c r="C37" s="22"/>
      <c r="D37" s="21">
        <v>955373976</v>
      </c>
      <c r="E37" s="22"/>
      <c r="F37" s="27">
        <v>721044035</v>
      </c>
      <c r="G37" s="24"/>
      <c r="H37" s="21">
        <v>814903754</v>
      </c>
      <c r="I37" s="22"/>
      <c r="J37" s="27">
        <v>1083304471</v>
      </c>
      <c r="K37" s="24"/>
    </row>
    <row r="38" spans="1:11" x14ac:dyDescent="0.15">
      <c r="A38" s="20" t="s">
        <v>48</v>
      </c>
      <c r="B38" s="21">
        <v>46952000</v>
      </c>
      <c r="C38" s="22"/>
      <c r="D38" s="21">
        <v>29730000</v>
      </c>
      <c r="E38" s="22"/>
      <c r="F38" s="27">
        <v>21680000</v>
      </c>
      <c r="G38" s="24"/>
      <c r="H38" s="21">
        <v>36014000</v>
      </c>
      <c r="I38" s="22"/>
      <c r="J38" s="27">
        <v>20065000</v>
      </c>
      <c r="K38" s="24"/>
    </row>
    <row r="39" spans="1:11" x14ac:dyDescent="0.15">
      <c r="A39" s="20" t="s">
        <v>49</v>
      </c>
      <c r="B39" s="21">
        <v>287153872</v>
      </c>
      <c r="C39" s="22"/>
      <c r="D39" s="21">
        <v>260852731</v>
      </c>
      <c r="E39" s="22"/>
      <c r="F39" s="27">
        <v>283425690</v>
      </c>
      <c r="G39" s="24"/>
      <c r="H39" s="21">
        <v>946239110</v>
      </c>
      <c r="I39" s="22"/>
      <c r="J39" s="27">
        <v>2020006776</v>
      </c>
      <c r="K39" s="24"/>
    </row>
    <row r="40" spans="1:11" x14ac:dyDescent="0.15">
      <c r="A40" s="20" t="s">
        <v>50</v>
      </c>
      <c r="B40" s="21">
        <v>6940227</v>
      </c>
      <c r="C40" s="22"/>
      <c r="D40" s="21">
        <v>6951497</v>
      </c>
      <c r="E40" s="22"/>
      <c r="F40" s="27">
        <v>6884035</v>
      </c>
      <c r="G40" s="24"/>
      <c r="H40" s="21">
        <v>7674439</v>
      </c>
      <c r="I40" s="22"/>
      <c r="J40" s="27">
        <v>9337747</v>
      </c>
      <c r="K40" s="24"/>
    </row>
    <row r="41" spans="1:11" x14ac:dyDescent="0.15">
      <c r="A41" s="20" t="s">
        <v>51</v>
      </c>
      <c r="B41" s="34">
        <v>400000</v>
      </c>
      <c r="C41" s="35">
        <v>10611579897</v>
      </c>
      <c r="D41" s="34">
        <v>1000000</v>
      </c>
      <c r="E41" s="35">
        <v>10885452688</v>
      </c>
      <c r="F41" s="29">
        <v>0</v>
      </c>
      <c r="G41" s="36">
        <v>9750983385</v>
      </c>
      <c r="H41" s="34">
        <v>0</v>
      </c>
      <c r="I41" s="35">
        <v>10926335595</v>
      </c>
      <c r="J41" s="29"/>
      <c r="K41" s="36">
        <v>12643685019</v>
      </c>
    </row>
    <row r="42" spans="1:11" x14ac:dyDescent="0.15">
      <c r="A42" s="20"/>
      <c r="B42" s="21"/>
      <c r="C42" s="22"/>
      <c r="D42" s="21"/>
      <c r="E42" s="22"/>
      <c r="F42" s="27"/>
      <c r="G42" s="24"/>
      <c r="H42" s="21"/>
      <c r="I42" s="22"/>
      <c r="J42" s="27"/>
      <c r="K42" s="24"/>
    </row>
    <row r="43" spans="1:11" x14ac:dyDescent="0.15">
      <c r="A43" s="20" t="s">
        <v>52</v>
      </c>
      <c r="B43" s="21"/>
      <c r="C43" s="22">
        <v>35307074490</v>
      </c>
      <c r="D43" s="21"/>
      <c r="E43" s="22">
        <v>37448139669</v>
      </c>
      <c r="F43" s="27"/>
      <c r="G43" s="24">
        <v>29858552268</v>
      </c>
      <c r="H43" s="21"/>
      <c r="I43" s="22">
        <v>30542079149</v>
      </c>
      <c r="J43" s="27"/>
      <c r="K43" s="24">
        <v>34063409211</v>
      </c>
    </row>
    <row r="44" spans="1:11" x14ac:dyDescent="0.15">
      <c r="A44" s="20" t="s">
        <v>53</v>
      </c>
      <c r="B44" s="21"/>
      <c r="C44" s="37">
        <v>2835357794</v>
      </c>
      <c r="D44" s="21"/>
      <c r="E44" s="37">
        <v>1508470457</v>
      </c>
      <c r="F44" s="27"/>
      <c r="G44" s="38">
        <v>1625611890</v>
      </c>
      <c r="H44" s="21"/>
      <c r="I44" s="37">
        <v>1565589433</v>
      </c>
      <c r="J44" s="27"/>
      <c r="K44" s="38">
        <v>1256876948</v>
      </c>
    </row>
    <row r="45" spans="1:11" x14ac:dyDescent="0.15">
      <c r="A45" s="20"/>
      <c r="B45" s="21"/>
      <c r="C45" s="22"/>
      <c r="D45" s="21"/>
      <c r="E45" s="22"/>
      <c r="F45" s="27"/>
      <c r="G45" s="24"/>
      <c r="H45" s="21"/>
      <c r="I45" s="22"/>
      <c r="J45" s="27"/>
      <c r="K45" s="24"/>
    </row>
    <row r="46" spans="1:11" x14ac:dyDescent="0.15">
      <c r="A46" s="20" t="s">
        <v>54</v>
      </c>
      <c r="B46" s="21"/>
      <c r="C46" s="22">
        <v>38142432284</v>
      </c>
      <c r="D46" s="21"/>
      <c r="E46" s="22">
        <v>38956610126</v>
      </c>
      <c r="F46" s="27"/>
      <c r="G46" s="24">
        <v>31484164158</v>
      </c>
      <c r="H46" s="21"/>
      <c r="I46" s="22">
        <v>32107668582</v>
      </c>
      <c r="J46" s="27"/>
      <c r="K46" s="24">
        <v>35320286159</v>
      </c>
    </row>
    <row r="47" spans="1:11" x14ac:dyDescent="0.15">
      <c r="A47" s="20" t="s">
        <v>55</v>
      </c>
      <c r="B47" s="21"/>
      <c r="C47" s="37">
        <v>2559921919</v>
      </c>
      <c r="D47" s="21"/>
      <c r="E47" s="37">
        <v>2835357794</v>
      </c>
      <c r="F47" s="27"/>
      <c r="G47" s="38">
        <v>1508470457</v>
      </c>
      <c r="H47" s="21"/>
      <c r="I47" s="37">
        <v>1625611890</v>
      </c>
      <c r="J47" s="27"/>
      <c r="K47" s="38">
        <v>1565589433</v>
      </c>
    </row>
    <row r="48" spans="1:11" x14ac:dyDescent="0.15">
      <c r="A48" s="20"/>
      <c r="B48" s="21"/>
      <c r="C48" s="22"/>
      <c r="D48" s="21"/>
      <c r="E48" s="22"/>
      <c r="F48" s="27"/>
      <c r="G48" s="24"/>
      <c r="H48" s="21"/>
      <c r="I48" s="22"/>
      <c r="J48" s="27"/>
      <c r="K48" s="24"/>
    </row>
    <row r="49" spans="1:11" x14ac:dyDescent="0.15">
      <c r="A49" s="20" t="s">
        <v>56</v>
      </c>
      <c r="B49" s="21"/>
      <c r="C49" s="35">
        <v>35582510365</v>
      </c>
      <c r="D49" s="21"/>
      <c r="E49" s="35">
        <v>36121252332</v>
      </c>
      <c r="F49" s="27"/>
      <c r="G49" s="36">
        <v>29975693701</v>
      </c>
      <c r="H49" s="21"/>
      <c r="I49" s="35">
        <v>30482056692</v>
      </c>
      <c r="J49" s="27"/>
      <c r="K49" s="36">
        <v>33754696726</v>
      </c>
    </row>
    <row r="50" spans="1:11" ht="17.25" thickBot="1" x14ac:dyDescent="0.2">
      <c r="A50" s="39"/>
      <c r="B50" s="40"/>
      <c r="C50" s="41"/>
      <c r="D50" s="40"/>
      <c r="E50" s="41"/>
      <c r="F50" s="42"/>
      <c r="G50" s="43"/>
      <c r="H50" s="40"/>
      <c r="I50" s="41"/>
      <c r="J50" s="42"/>
      <c r="K50" s="43"/>
    </row>
  </sheetData>
  <mergeCells count="6">
    <mergeCell ref="B5:C6"/>
    <mergeCell ref="H4:I4"/>
    <mergeCell ref="H5:I6"/>
    <mergeCell ref="J5:K6"/>
    <mergeCell ref="F5:G6"/>
    <mergeCell ref="D5:E6"/>
  </mergeCells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zoomScaleNormal="100" workbookViewId="0">
      <pane xSplit="1" ySplit="9" topLeftCell="B61" activePane="bottomRight" state="frozen"/>
      <selection activeCell="C30" sqref="C30"/>
      <selection pane="topRight" activeCell="C30" sqref="C30"/>
      <selection pane="bottomLeft" activeCell="C30" sqref="C30"/>
      <selection pane="bottomRight" activeCell="K82" sqref="K82"/>
    </sheetView>
  </sheetViews>
  <sheetFormatPr defaultRowHeight="14.25" x14ac:dyDescent="0.15"/>
  <cols>
    <col min="1" max="1" width="28.375" style="48" customWidth="1"/>
    <col min="2" max="2" width="14.625" style="48" customWidth="1"/>
    <col min="3" max="3" width="17.125" style="48" bestFit="1" customWidth="1"/>
    <col min="4" max="4" width="14.625" style="48" customWidth="1"/>
    <col min="5" max="5" width="17.125" style="48" bestFit="1" customWidth="1"/>
    <col min="6" max="251" width="9" style="48"/>
    <col min="252" max="252" width="28.375" style="48" customWidth="1"/>
    <col min="253" max="253" width="14.625" style="48" customWidth="1"/>
    <col min="254" max="254" width="17.125" style="48" bestFit="1" customWidth="1"/>
    <col min="255" max="255" width="14.625" style="48" customWidth="1"/>
    <col min="256" max="256" width="17.125" style="48" bestFit="1" customWidth="1"/>
    <col min="257" max="258" width="9" style="48"/>
    <col min="259" max="259" width="15" style="48" bestFit="1" customWidth="1"/>
    <col min="260" max="262" width="18.375" style="48" bestFit="1" customWidth="1"/>
    <col min="263" max="507" width="9" style="48"/>
    <col min="508" max="508" width="28.375" style="48" customWidth="1"/>
    <col min="509" max="509" width="14.625" style="48" customWidth="1"/>
    <col min="510" max="510" width="17.125" style="48" bestFit="1" customWidth="1"/>
    <col min="511" max="511" width="14.625" style="48" customWidth="1"/>
    <col min="512" max="512" width="17.125" style="48" bestFit="1" customWidth="1"/>
    <col min="513" max="514" width="9" style="48"/>
    <col min="515" max="515" width="15" style="48" bestFit="1" customWidth="1"/>
    <col min="516" max="518" width="18.375" style="48" bestFit="1" customWidth="1"/>
    <col min="519" max="763" width="9" style="48"/>
    <col min="764" max="764" width="28.375" style="48" customWidth="1"/>
    <col min="765" max="765" width="14.625" style="48" customWidth="1"/>
    <col min="766" max="766" width="17.125" style="48" bestFit="1" customWidth="1"/>
    <col min="767" max="767" width="14.625" style="48" customWidth="1"/>
    <col min="768" max="768" width="17.125" style="48" bestFit="1" customWidth="1"/>
    <col min="769" max="770" width="9" style="48"/>
    <col min="771" max="771" width="15" style="48" bestFit="1" customWidth="1"/>
    <col min="772" max="774" width="18.375" style="48" bestFit="1" customWidth="1"/>
    <col min="775" max="1019" width="9" style="48"/>
    <col min="1020" max="1020" width="28.375" style="48" customWidth="1"/>
    <col min="1021" max="1021" width="14.625" style="48" customWidth="1"/>
    <col min="1022" max="1022" width="17.125" style="48" bestFit="1" customWidth="1"/>
    <col min="1023" max="1023" width="14.625" style="48" customWidth="1"/>
    <col min="1024" max="1024" width="17.125" style="48" bestFit="1" customWidth="1"/>
    <col min="1025" max="1026" width="9" style="48"/>
    <col min="1027" max="1027" width="15" style="48" bestFit="1" customWidth="1"/>
    <col min="1028" max="1030" width="18.375" style="48" bestFit="1" customWidth="1"/>
    <col min="1031" max="1275" width="9" style="48"/>
    <col min="1276" max="1276" width="28.375" style="48" customWidth="1"/>
    <col min="1277" max="1277" width="14.625" style="48" customWidth="1"/>
    <col min="1278" max="1278" width="17.125" style="48" bestFit="1" customWidth="1"/>
    <col min="1279" max="1279" width="14.625" style="48" customWidth="1"/>
    <col min="1280" max="1280" width="17.125" style="48" bestFit="1" customWidth="1"/>
    <col min="1281" max="1282" width="9" style="48"/>
    <col min="1283" max="1283" width="15" style="48" bestFit="1" customWidth="1"/>
    <col min="1284" max="1286" width="18.375" style="48" bestFit="1" customWidth="1"/>
    <col min="1287" max="1531" width="9" style="48"/>
    <col min="1532" max="1532" width="28.375" style="48" customWidth="1"/>
    <col min="1533" max="1533" width="14.625" style="48" customWidth="1"/>
    <col min="1534" max="1534" width="17.125" style="48" bestFit="1" customWidth="1"/>
    <col min="1535" max="1535" width="14.625" style="48" customWidth="1"/>
    <col min="1536" max="1536" width="17.125" style="48" bestFit="1" customWidth="1"/>
    <col min="1537" max="1538" width="9" style="48"/>
    <col min="1539" max="1539" width="15" style="48" bestFit="1" customWidth="1"/>
    <col min="1540" max="1542" width="18.375" style="48" bestFit="1" customWidth="1"/>
    <col min="1543" max="1787" width="9" style="48"/>
    <col min="1788" max="1788" width="28.375" style="48" customWidth="1"/>
    <col min="1789" max="1789" width="14.625" style="48" customWidth="1"/>
    <col min="1790" max="1790" width="17.125" style="48" bestFit="1" customWidth="1"/>
    <col min="1791" max="1791" width="14.625" style="48" customWidth="1"/>
    <col min="1792" max="1792" width="17.125" style="48" bestFit="1" customWidth="1"/>
    <col min="1793" max="1794" width="9" style="48"/>
    <col min="1795" max="1795" width="15" style="48" bestFit="1" customWidth="1"/>
    <col min="1796" max="1798" width="18.375" style="48" bestFit="1" customWidth="1"/>
    <col min="1799" max="2043" width="9" style="48"/>
    <col min="2044" max="2044" width="28.375" style="48" customWidth="1"/>
    <col min="2045" max="2045" width="14.625" style="48" customWidth="1"/>
    <col min="2046" max="2046" width="17.125" style="48" bestFit="1" customWidth="1"/>
    <col min="2047" max="2047" width="14.625" style="48" customWidth="1"/>
    <col min="2048" max="2048" width="17.125" style="48" bestFit="1" customWidth="1"/>
    <col min="2049" max="2050" width="9" style="48"/>
    <col min="2051" max="2051" width="15" style="48" bestFit="1" customWidth="1"/>
    <col min="2052" max="2054" width="18.375" style="48" bestFit="1" customWidth="1"/>
    <col min="2055" max="2299" width="9" style="48"/>
    <col min="2300" max="2300" width="28.375" style="48" customWidth="1"/>
    <col min="2301" max="2301" width="14.625" style="48" customWidth="1"/>
    <col min="2302" max="2302" width="17.125" style="48" bestFit="1" customWidth="1"/>
    <col min="2303" max="2303" width="14.625" style="48" customWidth="1"/>
    <col min="2304" max="2304" width="17.125" style="48" bestFit="1" customWidth="1"/>
    <col min="2305" max="2306" width="9" style="48"/>
    <col min="2307" max="2307" width="15" style="48" bestFit="1" customWidth="1"/>
    <col min="2308" max="2310" width="18.375" style="48" bestFit="1" customWidth="1"/>
    <col min="2311" max="2555" width="9" style="48"/>
    <col min="2556" max="2556" width="28.375" style="48" customWidth="1"/>
    <col min="2557" max="2557" width="14.625" style="48" customWidth="1"/>
    <col min="2558" max="2558" width="17.125" style="48" bestFit="1" customWidth="1"/>
    <col min="2559" max="2559" width="14.625" style="48" customWidth="1"/>
    <col min="2560" max="2560" width="17.125" style="48" bestFit="1" customWidth="1"/>
    <col min="2561" max="2562" width="9" style="48"/>
    <col min="2563" max="2563" width="15" style="48" bestFit="1" customWidth="1"/>
    <col min="2564" max="2566" width="18.375" style="48" bestFit="1" customWidth="1"/>
    <col min="2567" max="2811" width="9" style="48"/>
    <col min="2812" max="2812" width="28.375" style="48" customWidth="1"/>
    <col min="2813" max="2813" width="14.625" style="48" customWidth="1"/>
    <col min="2814" max="2814" width="17.125" style="48" bestFit="1" customWidth="1"/>
    <col min="2815" max="2815" width="14.625" style="48" customWidth="1"/>
    <col min="2816" max="2816" width="17.125" style="48" bestFit="1" customWidth="1"/>
    <col min="2817" max="2818" width="9" style="48"/>
    <col min="2819" max="2819" width="15" style="48" bestFit="1" customWidth="1"/>
    <col min="2820" max="2822" width="18.375" style="48" bestFit="1" customWidth="1"/>
    <col min="2823" max="3067" width="9" style="48"/>
    <col min="3068" max="3068" width="28.375" style="48" customWidth="1"/>
    <col min="3069" max="3069" width="14.625" style="48" customWidth="1"/>
    <col min="3070" max="3070" width="17.125" style="48" bestFit="1" customWidth="1"/>
    <col min="3071" max="3071" width="14.625" style="48" customWidth="1"/>
    <col min="3072" max="3072" width="17.125" style="48" bestFit="1" customWidth="1"/>
    <col min="3073" max="3074" width="9" style="48"/>
    <col min="3075" max="3075" width="15" style="48" bestFit="1" customWidth="1"/>
    <col min="3076" max="3078" width="18.375" style="48" bestFit="1" customWidth="1"/>
    <col min="3079" max="3323" width="9" style="48"/>
    <col min="3324" max="3324" width="28.375" style="48" customWidth="1"/>
    <col min="3325" max="3325" width="14.625" style="48" customWidth="1"/>
    <col min="3326" max="3326" width="17.125" style="48" bestFit="1" customWidth="1"/>
    <col min="3327" max="3327" width="14.625" style="48" customWidth="1"/>
    <col min="3328" max="3328" width="17.125" style="48" bestFit="1" customWidth="1"/>
    <col min="3329" max="3330" width="9" style="48"/>
    <col min="3331" max="3331" width="15" style="48" bestFit="1" customWidth="1"/>
    <col min="3332" max="3334" width="18.375" style="48" bestFit="1" customWidth="1"/>
    <col min="3335" max="3579" width="9" style="48"/>
    <col min="3580" max="3580" width="28.375" style="48" customWidth="1"/>
    <col min="3581" max="3581" width="14.625" style="48" customWidth="1"/>
    <col min="3582" max="3582" width="17.125" style="48" bestFit="1" customWidth="1"/>
    <col min="3583" max="3583" width="14.625" style="48" customWidth="1"/>
    <col min="3584" max="3584" width="17.125" style="48" bestFit="1" customWidth="1"/>
    <col min="3585" max="3586" width="9" style="48"/>
    <col min="3587" max="3587" width="15" style="48" bestFit="1" customWidth="1"/>
    <col min="3588" max="3590" width="18.375" style="48" bestFit="1" customWidth="1"/>
    <col min="3591" max="3835" width="9" style="48"/>
    <col min="3836" max="3836" width="28.375" style="48" customWidth="1"/>
    <col min="3837" max="3837" width="14.625" style="48" customWidth="1"/>
    <col min="3838" max="3838" width="17.125" style="48" bestFit="1" customWidth="1"/>
    <col min="3839" max="3839" width="14.625" style="48" customWidth="1"/>
    <col min="3840" max="3840" width="17.125" style="48" bestFit="1" customWidth="1"/>
    <col min="3841" max="3842" width="9" style="48"/>
    <col min="3843" max="3843" width="15" style="48" bestFit="1" customWidth="1"/>
    <col min="3844" max="3846" width="18.375" style="48" bestFit="1" customWidth="1"/>
    <col min="3847" max="4091" width="9" style="48"/>
    <col min="4092" max="4092" width="28.375" style="48" customWidth="1"/>
    <col min="4093" max="4093" width="14.625" style="48" customWidth="1"/>
    <col min="4094" max="4094" width="17.125" style="48" bestFit="1" customWidth="1"/>
    <col min="4095" max="4095" width="14.625" style="48" customWidth="1"/>
    <col min="4096" max="4096" width="17.125" style="48" bestFit="1" customWidth="1"/>
    <col min="4097" max="4098" width="9" style="48"/>
    <col min="4099" max="4099" width="15" style="48" bestFit="1" customWidth="1"/>
    <col min="4100" max="4102" width="18.375" style="48" bestFit="1" customWidth="1"/>
    <col min="4103" max="4347" width="9" style="48"/>
    <col min="4348" max="4348" width="28.375" style="48" customWidth="1"/>
    <col min="4349" max="4349" width="14.625" style="48" customWidth="1"/>
    <col min="4350" max="4350" width="17.125" style="48" bestFit="1" customWidth="1"/>
    <col min="4351" max="4351" width="14.625" style="48" customWidth="1"/>
    <col min="4352" max="4352" width="17.125" style="48" bestFit="1" customWidth="1"/>
    <col min="4353" max="4354" width="9" style="48"/>
    <col min="4355" max="4355" width="15" style="48" bestFit="1" customWidth="1"/>
    <col min="4356" max="4358" width="18.375" style="48" bestFit="1" customWidth="1"/>
    <col min="4359" max="4603" width="9" style="48"/>
    <col min="4604" max="4604" width="28.375" style="48" customWidth="1"/>
    <col min="4605" max="4605" width="14.625" style="48" customWidth="1"/>
    <col min="4606" max="4606" width="17.125" style="48" bestFit="1" customWidth="1"/>
    <col min="4607" max="4607" width="14.625" style="48" customWidth="1"/>
    <col min="4608" max="4608" width="17.125" style="48" bestFit="1" customWidth="1"/>
    <col min="4609" max="4610" width="9" style="48"/>
    <col min="4611" max="4611" width="15" style="48" bestFit="1" customWidth="1"/>
    <col min="4612" max="4614" width="18.375" style="48" bestFit="1" customWidth="1"/>
    <col min="4615" max="4859" width="9" style="48"/>
    <col min="4860" max="4860" width="28.375" style="48" customWidth="1"/>
    <col min="4861" max="4861" width="14.625" style="48" customWidth="1"/>
    <col min="4862" max="4862" width="17.125" style="48" bestFit="1" customWidth="1"/>
    <col min="4863" max="4863" width="14.625" style="48" customWidth="1"/>
    <col min="4864" max="4864" width="17.125" style="48" bestFit="1" customWidth="1"/>
    <col min="4865" max="4866" width="9" style="48"/>
    <col min="4867" max="4867" width="15" style="48" bestFit="1" customWidth="1"/>
    <col min="4868" max="4870" width="18.375" style="48" bestFit="1" customWidth="1"/>
    <col min="4871" max="5115" width="9" style="48"/>
    <col min="5116" max="5116" width="28.375" style="48" customWidth="1"/>
    <col min="5117" max="5117" width="14.625" style="48" customWidth="1"/>
    <col min="5118" max="5118" width="17.125" style="48" bestFit="1" customWidth="1"/>
    <col min="5119" max="5119" width="14.625" style="48" customWidth="1"/>
    <col min="5120" max="5120" width="17.125" style="48" bestFit="1" customWidth="1"/>
    <col min="5121" max="5122" width="9" style="48"/>
    <col min="5123" max="5123" width="15" style="48" bestFit="1" customWidth="1"/>
    <col min="5124" max="5126" width="18.375" style="48" bestFit="1" customWidth="1"/>
    <col min="5127" max="5371" width="9" style="48"/>
    <col min="5372" max="5372" width="28.375" style="48" customWidth="1"/>
    <col min="5373" max="5373" width="14.625" style="48" customWidth="1"/>
    <col min="5374" max="5374" width="17.125" style="48" bestFit="1" customWidth="1"/>
    <col min="5375" max="5375" width="14.625" style="48" customWidth="1"/>
    <col min="5376" max="5376" width="17.125" style="48" bestFit="1" customWidth="1"/>
    <col min="5377" max="5378" width="9" style="48"/>
    <col min="5379" max="5379" width="15" style="48" bestFit="1" customWidth="1"/>
    <col min="5380" max="5382" width="18.375" style="48" bestFit="1" customWidth="1"/>
    <col min="5383" max="5627" width="9" style="48"/>
    <col min="5628" max="5628" width="28.375" style="48" customWidth="1"/>
    <col min="5629" max="5629" width="14.625" style="48" customWidth="1"/>
    <col min="5630" max="5630" width="17.125" style="48" bestFit="1" customWidth="1"/>
    <col min="5631" max="5631" width="14.625" style="48" customWidth="1"/>
    <col min="5632" max="5632" width="17.125" style="48" bestFit="1" customWidth="1"/>
    <col min="5633" max="5634" width="9" style="48"/>
    <col min="5635" max="5635" width="15" style="48" bestFit="1" customWidth="1"/>
    <col min="5636" max="5638" width="18.375" style="48" bestFit="1" customWidth="1"/>
    <col min="5639" max="5883" width="9" style="48"/>
    <col min="5884" max="5884" width="28.375" style="48" customWidth="1"/>
    <col min="5885" max="5885" width="14.625" style="48" customWidth="1"/>
    <col min="5886" max="5886" width="17.125" style="48" bestFit="1" customWidth="1"/>
    <col min="5887" max="5887" width="14.625" style="48" customWidth="1"/>
    <col min="5888" max="5888" width="17.125" style="48" bestFit="1" customWidth="1"/>
    <col min="5889" max="5890" width="9" style="48"/>
    <col min="5891" max="5891" width="15" style="48" bestFit="1" customWidth="1"/>
    <col min="5892" max="5894" width="18.375" style="48" bestFit="1" customWidth="1"/>
    <col min="5895" max="6139" width="9" style="48"/>
    <col min="6140" max="6140" width="28.375" style="48" customWidth="1"/>
    <col min="6141" max="6141" width="14.625" style="48" customWidth="1"/>
    <col min="6142" max="6142" width="17.125" style="48" bestFit="1" customWidth="1"/>
    <col min="6143" max="6143" width="14.625" style="48" customWidth="1"/>
    <col min="6144" max="6144" width="17.125" style="48" bestFit="1" customWidth="1"/>
    <col min="6145" max="6146" width="9" style="48"/>
    <col min="6147" max="6147" width="15" style="48" bestFit="1" customWidth="1"/>
    <col min="6148" max="6150" width="18.375" style="48" bestFit="1" customWidth="1"/>
    <col min="6151" max="6395" width="9" style="48"/>
    <col min="6396" max="6396" width="28.375" style="48" customWidth="1"/>
    <col min="6397" max="6397" width="14.625" style="48" customWidth="1"/>
    <col min="6398" max="6398" width="17.125" style="48" bestFit="1" customWidth="1"/>
    <col min="6399" max="6399" width="14.625" style="48" customWidth="1"/>
    <col min="6400" max="6400" width="17.125" style="48" bestFit="1" customWidth="1"/>
    <col min="6401" max="6402" width="9" style="48"/>
    <col min="6403" max="6403" width="15" style="48" bestFit="1" customWidth="1"/>
    <col min="6404" max="6406" width="18.375" style="48" bestFit="1" customWidth="1"/>
    <col min="6407" max="6651" width="9" style="48"/>
    <col min="6652" max="6652" width="28.375" style="48" customWidth="1"/>
    <col min="6653" max="6653" width="14.625" style="48" customWidth="1"/>
    <col min="6654" max="6654" width="17.125" style="48" bestFit="1" customWidth="1"/>
    <col min="6655" max="6655" width="14.625" style="48" customWidth="1"/>
    <col min="6656" max="6656" width="17.125" style="48" bestFit="1" customWidth="1"/>
    <col min="6657" max="6658" width="9" style="48"/>
    <col min="6659" max="6659" width="15" style="48" bestFit="1" customWidth="1"/>
    <col min="6660" max="6662" width="18.375" style="48" bestFit="1" customWidth="1"/>
    <col min="6663" max="6907" width="9" style="48"/>
    <col min="6908" max="6908" width="28.375" style="48" customWidth="1"/>
    <col min="6909" max="6909" width="14.625" style="48" customWidth="1"/>
    <col min="6910" max="6910" width="17.125" style="48" bestFit="1" customWidth="1"/>
    <col min="6911" max="6911" width="14.625" style="48" customWidth="1"/>
    <col min="6912" max="6912" width="17.125" style="48" bestFit="1" customWidth="1"/>
    <col min="6913" max="6914" width="9" style="48"/>
    <col min="6915" max="6915" width="15" style="48" bestFit="1" customWidth="1"/>
    <col min="6916" max="6918" width="18.375" style="48" bestFit="1" customWidth="1"/>
    <col min="6919" max="7163" width="9" style="48"/>
    <col min="7164" max="7164" width="28.375" style="48" customWidth="1"/>
    <col min="7165" max="7165" width="14.625" style="48" customWidth="1"/>
    <col min="7166" max="7166" width="17.125" style="48" bestFit="1" customWidth="1"/>
    <col min="7167" max="7167" width="14.625" style="48" customWidth="1"/>
    <col min="7168" max="7168" width="17.125" style="48" bestFit="1" customWidth="1"/>
    <col min="7169" max="7170" width="9" style="48"/>
    <col min="7171" max="7171" width="15" style="48" bestFit="1" customWidth="1"/>
    <col min="7172" max="7174" width="18.375" style="48" bestFit="1" customWidth="1"/>
    <col min="7175" max="7419" width="9" style="48"/>
    <col min="7420" max="7420" width="28.375" style="48" customWidth="1"/>
    <col min="7421" max="7421" width="14.625" style="48" customWidth="1"/>
    <col min="7422" max="7422" width="17.125" style="48" bestFit="1" customWidth="1"/>
    <col min="7423" max="7423" width="14.625" style="48" customWidth="1"/>
    <col min="7424" max="7424" width="17.125" style="48" bestFit="1" customWidth="1"/>
    <col min="7425" max="7426" width="9" style="48"/>
    <col min="7427" max="7427" width="15" style="48" bestFit="1" customWidth="1"/>
    <col min="7428" max="7430" width="18.375" style="48" bestFit="1" customWidth="1"/>
    <col min="7431" max="7675" width="9" style="48"/>
    <col min="7676" max="7676" width="28.375" style="48" customWidth="1"/>
    <col min="7677" max="7677" width="14.625" style="48" customWidth="1"/>
    <col min="7678" max="7678" width="17.125" style="48" bestFit="1" customWidth="1"/>
    <col min="7679" max="7679" width="14.625" style="48" customWidth="1"/>
    <col min="7680" max="7680" width="17.125" style="48" bestFit="1" customWidth="1"/>
    <col min="7681" max="7682" width="9" style="48"/>
    <col min="7683" max="7683" width="15" style="48" bestFit="1" customWidth="1"/>
    <col min="7684" max="7686" width="18.375" style="48" bestFit="1" customWidth="1"/>
    <col min="7687" max="7931" width="9" style="48"/>
    <col min="7932" max="7932" width="28.375" style="48" customWidth="1"/>
    <col min="7933" max="7933" width="14.625" style="48" customWidth="1"/>
    <col min="7934" max="7934" width="17.125" style="48" bestFit="1" customWidth="1"/>
    <col min="7935" max="7935" width="14.625" style="48" customWidth="1"/>
    <col min="7936" max="7936" width="17.125" style="48" bestFit="1" customWidth="1"/>
    <col min="7937" max="7938" width="9" style="48"/>
    <col min="7939" max="7939" width="15" style="48" bestFit="1" customWidth="1"/>
    <col min="7940" max="7942" width="18.375" style="48" bestFit="1" customWidth="1"/>
    <col min="7943" max="8187" width="9" style="48"/>
    <col min="8188" max="8188" width="28.375" style="48" customWidth="1"/>
    <col min="8189" max="8189" width="14.625" style="48" customWidth="1"/>
    <col min="8190" max="8190" width="17.125" style="48" bestFit="1" customWidth="1"/>
    <col min="8191" max="8191" width="14.625" style="48" customWidth="1"/>
    <col min="8192" max="8192" width="17.125" style="48" bestFit="1" customWidth="1"/>
    <col min="8193" max="8194" width="9" style="48"/>
    <col min="8195" max="8195" width="15" style="48" bestFit="1" customWidth="1"/>
    <col min="8196" max="8198" width="18.375" style="48" bestFit="1" customWidth="1"/>
    <col min="8199" max="8443" width="9" style="48"/>
    <col min="8444" max="8444" width="28.375" style="48" customWidth="1"/>
    <col min="8445" max="8445" width="14.625" style="48" customWidth="1"/>
    <col min="8446" max="8446" width="17.125" style="48" bestFit="1" customWidth="1"/>
    <col min="8447" max="8447" width="14.625" style="48" customWidth="1"/>
    <col min="8448" max="8448" width="17.125" style="48" bestFit="1" customWidth="1"/>
    <col min="8449" max="8450" width="9" style="48"/>
    <col min="8451" max="8451" width="15" style="48" bestFit="1" customWidth="1"/>
    <col min="8452" max="8454" width="18.375" style="48" bestFit="1" customWidth="1"/>
    <col min="8455" max="8699" width="9" style="48"/>
    <col min="8700" max="8700" width="28.375" style="48" customWidth="1"/>
    <col min="8701" max="8701" width="14.625" style="48" customWidth="1"/>
    <col min="8702" max="8702" width="17.125" style="48" bestFit="1" customWidth="1"/>
    <col min="8703" max="8703" width="14.625" style="48" customWidth="1"/>
    <col min="8704" max="8704" width="17.125" style="48" bestFit="1" customWidth="1"/>
    <col min="8705" max="8706" width="9" style="48"/>
    <col min="8707" max="8707" width="15" style="48" bestFit="1" customWidth="1"/>
    <col min="8708" max="8710" width="18.375" style="48" bestFit="1" customWidth="1"/>
    <col min="8711" max="8955" width="9" style="48"/>
    <col min="8956" max="8956" width="28.375" style="48" customWidth="1"/>
    <col min="8957" max="8957" width="14.625" style="48" customWidth="1"/>
    <col min="8958" max="8958" width="17.125" style="48" bestFit="1" customWidth="1"/>
    <col min="8959" max="8959" width="14.625" style="48" customWidth="1"/>
    <col min="8960" max="8960" width="17.125" style="48" bestFit="1" customWidth="1"/>
    <col min="8961" max="8962" width="9" style="48"/>
    <col min="8963" max="8963" width="15" style="48" bestFit="1" customWidth="1"/>
    <col min="8964" max="8966" width="18.375" style="48" bestFit="1" customWidth="1"/>
    <col min="8967" max="9211" width="9" style="48"/>
    <col min="9212" max="9212" width="28.375" style="48" customWidth="1"/>
    <col min="9213" max="9213" width="14.625" style="48" customWidth="1"/>
    <col min="9214" max="9214" width="17.125" style="48" bestFit="1" customWidth="1"/>
    <col min="9215" max="9215" width="14.625" style="48" customWidth="1"/>
    <col min="9216" max="9216" width="17.125" style="48" bestFit="1" customWidth="1"/>
    <col min="9217" max="9218" width="9" style="48"/>
    <col min="9219" max="9219" width="15" style="48" bestFit="1" customWidth="1"/>
    <col min="9220" max="9222" width="18.375" style="48" bestFit="1" customWidth="1"/>
    <col min="9223" max="9467" width="9" style="48"/>
    <col min="9468" max="9468" width="28.375" style="48" customWidth="1"/>
    <col min="9469" max="9469" width="14.625" style="48" customWidth="1"/>
    <col min="9470" max="9470" width="17.125" style="48" bestFit="1" customWidth="1"/>
    <col min="9471" max="9471" width="14.625" style="48" customWidth="1"/>
    <col min="9472" max="9472" width="17.125" style="48" bestFit="1" customWidth="1"/>
    <col min="9473" max="9474" width="9" style="48"/>
    <col min="9475" max="9475" width="15" style="48" bestFit="1" customWidth="1"/>
    <col min="9476" max="9478" width="18.375" style="48" bestFit="1" customWidth="1"/>
    <col min="9479" max="9723" width="9" style="48"/>
    <col min="9724" max="9724" width="28.375" style="48" customWidth="1"/>
    <col min="9725" max="9725" width="14.625" style="48" customWidth="1"/>
    <col min="9726" max="9726" width="17.125" style="48" bestFit="1" customWidth="1"/>
    <col min="9727" max="9727" width="14.625" style="48" customWidth="1"/>
    <col min="9728" max="9728" width="17.125" style="48" bestFit="1" customWidth="1"/>
    <col min="9729" max="9730" width="9" style="48"/>
    <col min="9731" max="9731" width="15" style="48" bestFit="1" customWidth="1"/>
    <col min="9732" max="9734" width="18.375" style="48" bestFit="1" customWidth="1"/>
    <col min="9735" max="9979" width="9" style="48"/>
    <col min="9980" max="9980" width="28.375" style="48" customWidth="1"/>
    <col min="9981" max="9981" width="14.625" style="48" customWidth="1"/>
    <col min="9982" max="9982" width="17.125" style="48" bestFit="1" customWidth="1"/>
    <col min="9983" max="9983" width="14.625" style="48" customWidth="1"/>
    <col min="9984" max="9984" width="17.125" style="48" bestFit="1" customWidth="1"/>
    <col min="9985" max="9986" width="9" style="48"/>
    <col min="9987" max="9987" width="15" style="48" bestFit="1" customWidth="1"/>
    <col min="9988" max="9990" width="18.375" style="48" bestFit="1" customWidth="1"/>
    <col min="9991" max="10235" width="9" style="48"/>
    <col min="10236" max="10236" width="28.375" style="48" customWidth="1"/>
    <col min="10237" max="10237" width="14.625" style="48" customWidth="1"/>
    <col min="10238" max="10238" width="17.125" style="48" bestFit="1" customWidth="1"/>
    <col min="10239" max="10239" width="14.625" style="48" customWidth="1"/>
    <col min="10240" max="10240" width="17.125" style="48" bestFit="1" customWidth="1"/>
    <col min="10241" max="10242" width="9" style="48"/>
    <col min="10243" max="10243" width="15" style="48" bestFit="1" customWidth="1"/>
    <col min="10244" max="10246" width="18.375" style="48" bestFit="1" customWidth="1"/>
    <col min="10247" max="10491" width="9" style="48"/>
    <col min="10492" max="10492" width="28.375" style="48" customWidth="1"/>
    <col min="10493" max="10493" width="14.625" style="48" customWidth="1"/>
    <col min="10494" max="10494" width="17.125" style="48" bestFit="1" customWidth="1"/>
    <col min="10495" max="10495" width="14.625" style="48" customWidth="1"/>
    <col min="10496" max="10496" width="17.125" style="48" bestFit="1" customWidth="1"/>
    <col min="10497" max="10498" width="9" style="48"/>
    <col min="10499" max="10499" width="15" style="48" bestFit="1" customWidth="1"/>
    <col min="10500" max="10502" width="18.375" style="48" bestFit="1" customWidth="1"/>
    <col min="10503" max="10747" width="9" style="48"/>
    <col min="10748" max="10748" width="28.375" style="48" customWidth="1"/>
    <col min="10749" max="10749" width="14.625" style="48" customWidth="1"/>
    <col min="10750" max="10750" width="17.125" style="48" bestFit="1" customWidth="1"/>
    <col min="10751" max="10751" width="14.625" style="48" customWidth="1"/>
    <col min="10752" max="10752" width="17.125" style="48" bestFit="1" customWidth="1"/>
    <col min="10753" max="10754" width="9" style="48"/>
    <col min="10755" max="10755" width="15" style="48" bestFit="1" customWidth="1"/>
    <col min="10756" max="10758" width="18.375" style="48" bestFit="1" customWidth="1"/>
    <col min="10759" max="11003" width="9" style="48"/>
    <col min="11004" max="11004" width="28.375" style="48" customWidth="1"/>
    <col min="11005" max="11005" width="14.625" style="48" customWidth="1"/>
    <col min="11006" max="11006" width="17.125" style="48" bestFit="1" customWidth="1"/>
    <col min="11007" max="11007" width="14.625" style="48" customWidth="1"/>
    <col min="11008" max="11008" width="17.125" style="48" bestFit="1" customWidth="1"/>
    <col min="11009" max="11010" width="9" style="48"/>
    <col min="11011" max="11011" width="15" style="48" bestFit="1" customWidth="1"/>
    <col min="11012" max="11014" width="18.375" style="48" bestFit="1" customWidth="1"/>
    <col min="11015" max="11259" width="9" style="48"/>
    <col min="11260" max="11260" width="28.375" style="48" customWidth="1"/>
    <col min="11261" max="11261" width="14.625" style="48" customWidth="1"/>
    <col min="11262" max="11262" width="17.125" style="48" bestFit="1" customWidth="1"/>
    <col min="11263" max="11263" width="14.625" style="48" customWidth="1"/>
    <col min="11264" max="11264" width="17.125" style="48" bestFit="1" customWidth="1"/>
    <col min="11265" max="11266" width="9" style="48"/>
    <col min="11267" max="11267" width="15" style="48" bestFit="1" customWidth="1"/>
    <col min="11268" max="11270" width="18.375" style="48" bestFit="1" customWidth="1"/>
    <col min="11271" max="11515" width="9" style="48"/>
    <col min="11516" max="11516" width="28.375" style="48" customWidth="1"/>
    <col min="11517" max="11517" width="14.625" style="48" customWidth="1"/>
    <col min="11518" max="11518" width="17.125" style="48" bestFit="1" customWidth="1"/>
    <col min="11519" max="11519" width="14.625" style="48" customWidth="1"/>
    <col min="11520" max="11520" width="17.125" style="48" bestFit="1" customWidth="1"/>
    <col min="11521" max="11522" width="9" style="48"/>
    <col min="11523" max="11523" width="15" style="48" bestFit="1" customWidth="1"/>
    <col min="11524" max="11526" width="18.375" style="48" bestFit="1" customWidth="1"/>
    <col min="11527" max="11771" width="9" style="48"/>
    <col min="11772" max="11772" width="28.375" style="48" customWidth="1"/>
    <col min="11773" max="11773" width="14.625" style="48" customWidth="1"/>
    <col min="11774" max="11774" width="17.125" style="48" bestFit="1" customWidth="1"/>
    <col min="11775" max="11775" width="14.625" style="48" customWidth="1"/>
    <col min="11776" max="11776" width="17.125" style="48" bestFit="1" customWidth="1"/>
    <col min="11777" max="11778" width="9" style="48"/>
    <col min="11779" max="11779" width="15" style="48" bestFit="1" customWidth="1"/>
    <col min="11780" max="11782" width="18.375" style="48" bestFit="1" customWidth="1"/>
    <col min="11783" max="12027" width="9" style="48"/>
    <col min="12028" max="12028" width="28.375" style="48" customWidth="1"/>
    <col min="12029" max="12029" width="14.625" style="48" customWidth="1"/>
    <col min="12030" max="12030" width="17.125" style="48" bestFit="1" customWidth="1"/>
    <col min="12031" max="12031" width="14.625" style="48" customWidth="1"/>
    <col min="12032" max="12032" width="17.125" style="48" bestFit="1" customWidth="1"/>
    <col min="12033" max="12034" width="9" style="48"/>
    <col min="12035" max="12035" width="15" style="48" bestFit="1" customWidth="1"/>
    <col min="12036" max="12038" width="18.375" style="48" bestFit="1" customWidth="1"/>
    <col min="12039" max="12283" width="9" style="48"/>
    <col min="12284" max="12284" width="28.375" style="48" customWidth="1"/>
    <col min="12285" max="12285" width="14.625" style="48" customWidth="1"/>
    <col min="12286" max="12286" width="17.125" style="48" bestFit="1" customWidth="1"/>
    <col min="12287" max="12287" width="14.625" style="48" customWidth="1"/>
    <col min="12288" max="12288" width="17.125" style="48" bestFit="1" customWidth="1"/>
    <col min="12289" max="12290" width="9" style="48"/>
    <col min="12291" max="12291" width="15" style="48" bestFit="1" customWidth="1"/>
    <col min="12292" max="12294" width="18.375" style="48" bestFit="1" customWidth="1"/>
    <col min="12295" max="12539" width="9" style="48"/>
    <col min="12540" max="12540" width="28.375" style="48" customWidth="1"/>
    <col min="12541" max="12541" width="14.625" style="48" customWidth="1"/>
    <col min="12542" max="12542" width="17.125" style="48" bestFit="1" customWidth="1"/>
    <col min="12543" max="12543" width="14.625" style="48" customWidth="1"/>
    <col min="12544" max="12544" width="17.125" style="48" bestFit="1" customWidth="1"/>
    <col min="12545" max="12546" width="9" style="48"/>
    <col min="12547" max="12547" width="15" style="48" bestFit="1" customWidth="1"/>
    <col min="12548" max="12550" width="18.375" style="48" bestFit="1" customWidth="1"/>
    <col min="12551" max="12795" width="9" style="48"/>
    <col min="12796" max="12796" width="28.375" style="48" customWidth="1"/>
    <col min="12797" max="12797" width="14.625" style="48" customWidth="1"/>
    <col min="12798" max="12798" width="17.125" style="48" bestFit="1" customWidth="1"/>
    <col min="12799" max="12799" width="14.625" style="48" customWidth="1"/>
    <col min="12800" max="12800" width="17.125" style="48" bestFit="1" customWidth="1"/>
    <col min="12801" max="12802" width="9" style="48"/>
    <col min="12803" max="12803" width="15" style="48" bestFit="1" customWidth="1"/>
    <col min="12804" max="12806" width="18.375" style="48" bestFit="1" customWidth="1"/>
    <col min="12807" max="13051" width="9" style="48"/>
    <col min="13052" max="13052" width="28.375" style="48" customWidth="1"/>
    <col min="13053" max="13053" width="14.625" style="48" customWidth="1"/>
    <col min="13054" max="13054" width="17.125" style="48" bestFit="1" customWidth="1"/>
    <col min="13055" max="13055" width="14.625" style="48" customWidth="1"/>
    <col min="13056" max="13056" width="17.125" style="48" bestFit="1" customWidth="1"/>
    <col min="13057" max="13058" width="9" style="48"/>
    <col min="13059" max="13059" width="15" style="48" bestFit="1" customWidth="1"/>
    <col min="13060" max="13062" width="18.375" style="48" bestFit="1" customWidth="1"/>
    <col min="13063" max="13307" width="9" style="48"/>
    <col min="13308" max="13308" width="28.375" style="48" customWidth="1"/>
    <col min="13309" max="13309" width="14.625" style="48" customWidth="1"/>
    <col min="13310" max="13310" width="17.125" style="48" bestFit="1" customWidth="1"/>
    <col min="13311" max="13311" width="14.625" style="48" customWidth="1"/>
    <col min="13312" max="13312" width="17.125" style="48" bestFit="1" customWidth="1"/>
    <col min="13313" max="13314" width="9" style="48"/>
    <col min="13315" max="13315" width="15" style="48" bestFit="1" customWidth="1"/>
    <col min="13316" max="13318" width="18.375" style="48" bestFit="1" customWidth="1"/>
    <col min="13319" max="13563" width="9" style="48"/>
    <col min="13564" max="13564" width="28.375" style="48" customWidth="1"/>
    <col min="13565" max="13565" width="14.625" style="48" customWidth="1"/>
    <col min="13566" max="13566" width="17.125" style="48" bestFit="1" customWidth="1"/>
    <col min="13567" max="13567" width="14.625" style="48" customWidth="1"/>
    <col min="13568" max="13568" width="17.125" style="48" bestFit="1" customWidth="1"/>
    <col min="13569" max="13570" width="9" style="48"/>
    <col min="13571" max="13571" width="15" style="48" bestFit="1" customWidth="1"/>
    <col min="13572" max="13574" width="18.375" style="48" bestFit="1" customWidth="1"/>
    <col min="13575" max="13819" width="9" style="48"/>
    <col min="13820" max="13820" width="28.375" style="48" customWidth="1"/>
    <col min="13821" max="13821" width="14.625" style="48" customWidth="1"/>
    <col min="13822" max="13822" width="17.125" style="48" bestFit="1" customWidth="1"/>
    <col min="13823" max="13823" width="14.625" style="48" customWidth="1"/>
    <col min="13824" max="13824" width="17.125" style="48" bestFit="1" customWidth="1"/>
    <col min="13825" max="13826" width="9" style="48"/>
    <col min="13827" max="13827" width="15" style="48" bestFit="1" customWidth="1"/>
    <col min="13828" max="13830" width="18.375" style="48" bestFit="1" customWidth="1"/>
    <col min="13831" max="14075" width="9" style="48"/>
    <col min="14076" max="14076" width="28.375" style="48" customWidth="1"/>
    <col min="14077" max="14077" width="14.625" style="48" customWidth="1"/>
    <col min="14078" max="14078" width="17.125" style="48" bestFit="1" customWidth="1"/>
    <col min="14079" max="14079" width="14.625" style="48" customWidth="1"/>
    <col min="14080" max="14080" width="17.125" style="48" bestFit="1" customWidth="1"/>
    <col min="14081" max="14082" width="9" style="48"/>
    <col min="14083" max="14083" width="15" style="48" bestFit="1" customWidth="1"/>
    <col min="14084" max="14086" width="18.375" style="48" bestFit="1" customWidth="1"/>
    <col min="14087" max="14331" width="9" style="48"/>
    <col min="14332" max="14332" width="28.375" style="48" customWidth="1"/>
    <col min="14333" max="14333" width="14.625" style="48" customWidth="1"/>
    <col min="14334" max="14334" width="17.125" style="48" bestFit="1" customWidth="1"/>
    <col min="14335" max="14335" width="14.625" style="48" customWidth="1"/>
    <col min="14336" max="14336" width="17.125" style="48" bestFit="1" customWidth="1"/>
    <col min="14337" max="14338" width="9" style="48"/>
    <col min="14339" max="14339" width="15" style="48" bestFit="1" customWidth="1"/>
    <col min="14340" max="14342" width="18.375" style="48" bestFit="1" customWidth="1"/>
    <col min="14343" max="14587" width="9" style="48"/>
    <col min="14588" max="14588" width="28.375" style="48" customWidth="1"/>
    <col min="14589" max="14589" width="14.625" style="48" customWidth="1"/>
    <col min="14590" max="14590" width="17.125" style="48" bestFit="1" customWidth="1"/>
    <col min="14591" max="14591" width="14.625" style="48" customWidth="1"/>
    <col min="14592" max="14592" width="17.125" style="48" bestFit="1" customWidth="1"/>
    <col min="14593" max="14594" width="9" style="48"/>
    <col min="14595" max="14595" width="15" style="48" bestFit="1" customWidth="1"/>
    <col min="14596" max="14598" width="18.375" style="48" bestFit="1" customWidth="1"/>
    <col min="14599" max="14843" width="9" style="48"/>
    <col min="14844" max="14844" width="28.375" style="48" customWidth="1"/>
    <col min="14845" max="14845" width="14.625" style="48" customWidth="1"/>
    <col min="14846" max="14846" width="17.125" style="48" bestFit="1" customWidth="1"/>
    <col min="14847" max="14847" width="14.625" style="48" customWidth="1"/>
    <col min="14848" max="14848" width="17.125" style="48" bestFit="1" customWidth="1"/>
    <col min="14849" max="14850" width="9" style="48"/>
    <col min="14851" max="14851" width="15" style="48" bestFit="1" customWidth="1"/>
    <col min="14852" max="14854" width="18.375" style="48" bestFit="1" customWidth="1"/>
    <col min="14855" max="15099" width="9" style="48"/>
    <col min="15100" max="15100" width="28.375" style="48" customWidth="1"/>
    <col min="15101" max="15101" width="14.625" style="48" customWidth="1"/>
    <col min="15102" max="15102" width="17.125" style="48" bestFit="1" customWidth="1"/>
    <col min="15103" max="15103" width="14.625" style="48" customWidth="1"/>
    <col min="15104" max="15104" width="17.125" style="48" bestFit="1" customWidth="1"/>
    <col min="15105" max="15106" width="9" style="48"/>
    <col min="15107" max="15107" width="15" style="48" bestFit="1" customWidth="1"/>
    <col min="15108" max="15110" width="18.375" style="48" bestFit="1" customWidth="1"/>
    <col min="15111" max="15355" width="9" style="48"/>
    <col min="15356" max="15356" width="28.375" style="48" customWidth="1"/>
    <col min="15357" max="15357" width="14.625" style="48" customWidth="1"/>
    <col min="15358" max="15358" width="17.125" style="48" bestFit="1" customWidth="1"/>
    <col min="15359" max="15359" width="14.625" style="48" customWidth="1"/>
    <col min="15360" max="15360" width="17.125" style="48" bestFit="1" customWidth="1"/>
    <col min="15361" max="15362" width="9" style="48"/>
    <col min="15363" max="15363" width="15" style="48" bestFit="1" customWidth="1"/>
    <col min="15364" max="15366" width="18.375" style="48" bestFit="1" customWidth="1"/>
    <col min="15367" max="15611" width="9" style="48"/>
    <col min="15612" max="15612" width="28.375" style="48" customWidth="1"/>
    <col min="15613" max="15613" width="14.625" style="48" customWidth="1"/>
    <col min="15614" max="15614" width="17.125" style="48" bestFit="1" customWidth="1"/>
    <col min="15615" max="15615" width="14.625" style="48" customWidth="1"/>
    <col min="15616" max="15616" width="17.125" style="48" bestFit="1" customWidth="1"/>
    <col min="15617" max="15618" width="9" style="48"/>
    <col min="15619" max="15619" width="15" style="48" bestFit="1" customWidth="1"/>
    <col min="15620" max="15622" width="18.375" style="48" bestFit="1" customWidth="1"/>
    <col min="15623" max="15867" width="9" style="48"/>
    <col min="15868" max="15868" width="28.375" style="48" customWidth="1"/>
    <col min="15869" max="15869" width="14.625" style="48" customWidth="1"/>
    <col min="15870" max="15870" width="17.125" style="48" bestFit="1" customWidth="1"/>
    <col min="15871" max="15871" width="14.625" style="48" customWidth="1"/>
    <col min="15872" max="15872" width="17.125" style="48" bestFit="1" customWidth="1"/>
    <col min="15873" max="15874" width="9" style="48"/>
    <col min="15875" max="15875" width="15" style="48" bestFit="1" customWidth="1"/>
    <col min="15876" max="15878" width="18.375" style="48" bestFit="1" customWidth="1"/>
    <col min="15879" max="16123" width="9" style="48"/>
    <col min="16124" max="16124" width="28.375" style="48" customWidth="1"/>
    <col min="16125" max="16125" width="14.625" style="48" customWidth="1"/>
    <col min="16126" max="16126" width="17.125" style="48" bestFit="1" customWidth="1"/>
    <col min="16127" max="16127" width="14.625" style="48" customWidth="1"/>
    <col min="16128" max="16128" width="17.125" style="48" bestFit="1" customWidth="1"/>
    <col min="16129" max="16130" width="9" style="48"/>
    <col min="16131" max="16131" width="15" style="48" bestFit="1" customWidth="1"/>
    <col min="16132" max="16134" width="18.375" style="48" bestFit="1" customWidth="1"/>
    <col min="16135" max="16384" width="9" style="48"/>
  </cols>
  <sheetData>
    <row r="1" spans="1:5" ht="25.5" x14ac:dyDescent="0.3">
      <c r="A1" s="46" t="s">
        <v>64</v>
      </c>
      <c r="B1" s="47"/>
      <c r="C1" s="47"/>
      <c r="D1" s="47"/>
      <c r="E1" s="47"/>
    </row>
    <row r="2" spans="1:5" ht="18" customHeight="1" x14ac:dyDescent="0.3">
      <c r="A2" s="49"/>
      <c r="B2" s="47"/>
      <c r="C2" s="47"/>
      <c r="D2" s="47"/>
      <c r="E2" s="47"/>
    </row>
    <row r="3" spans="1:5" x14ac:dyDescent="0.15">
      <c r="A3" s="47" t="s">
        <v>65</v>
      </c>
      <c r="B3" s="47"/>
      <c r="C3" s="47"/>
      <c r="D3" s="47"/>
      <c r="E3" s="47"/>
    </row>
    <row r="4" spans="1:5" x14ac:dyDescent="0.15">
      <c r="A4" s="47" t="s">
        <v>66</v>
      </c>
      <c r="B4" s="47"/>
      <c r="C4" s="47"/>
      <c r="D4" s="47"/>
      <c r="E4" s="47"/>
    </row>
    <row r="5" spans="1:5" x14ac:dyDescent="0.15">
      <c r="A5" s="47"/>
      <c r="B5" s="47"/>
      <c r="C5" s="47"/>
      <c r="D5" s="47"/>
      <c r="E5" s="47"/>
    </row>
    <row r="7" spans="1:5" ht="15" thickBot="1" x14ac:dyDescent="0.2">
      <c r="A7" s="50" t="s">
        <v>16</v>
      </c>
      <c r="E7" s="51"/>
    </row>
    <row r="8" spans="1:5" ht="13.15" customHeight="1" x14ac:dyDescent="0.15">
      <c r="A8" s="181" t="s">
        <v>17</v>
      </c>
      <c r="B8" s="183" t="s">
        <v>62</v>
      </c>
      <c r="C8" s="184"/>
      <c r="D8" s="187" t="s">
        <v>59</v>
      </c>
      <c r="E8" s="188"/>
    </row>
    <row r="9" spans="1:5" ht="13.15" customHeight="1" x14ac:dyDescent="0.15">
      <c r="A9" s="182"/>
      <c r="B9" s="185"/>
      <c r="C9" s="186"/>
      <c r="D9" s="189"/>
      <c r="E9" s="190"/>
    </row>
    <row r="10" spans="1:5" ht="13.15" customHeight="1" thickBot="1" x14ac:dyDescent="0.2">
      <c r="A10" s="52"/>
      <c r="B10" s="53" t="s">
        <v>18</v>
      </c>
      <c r="C10" s="54"/>
      <c r="D10" s="53" t="s">
        <v>19</v>
      </c>
      <c r="E10" s="55"/>
    </row>
    <row r="11" spans="1:5" ht="13.15" customHeight="1" thickTop="1" x14ac:dyDescent="0.15">
      <c r="A11" s="56" t="s">
        <v>67</v>
      </c>
      <c r="B11" s="57"/>
      <c r="C11" s="58"/>
      <c r="D11" s="57"/>
      <c r="E11" s="59"/>
    </row>
    <row r="12" spans="1:5" ht="13.15" customHeight="1" x14ac:dyDescent="0.15">
      <c r="A12" s="56" t="s">
        <v>68</v>
      </c>
      <c r="B12" s="57"/>
      <c r="C12" s="58">
        <v>67816301588</v>
      </c>
      <c r="D12" s="57"/>
      <c r="E12" s="59">
        <v>54981951113</v>
      </c>
    </row>
    <row r="13" spans="1:5" ht="13.15" customHeight="1" x14ac:dyDescent="0.15">
      <c r="A13" s="56" t="s">
        <v>69</v>
      </c>
      <c r="B13" s="57"/>
      <c r="C13" s="58">
        <v>58515149967</v>
      </c>
      <c r="D13" s="57"/>
      <c r="E13" s="59">
        <v>45312388173</v>
      </c>
    </row>
    <row r="14" spans="1:5" ht="13.15" customHeight="1" x14ac:dyDescent="0.15">
      <c r="A14" s="56" t="s">
        <v>70</v>
      </c>
      <c r="B14" s="57">
        <v>17297885594</v>
      </c>
      <c r="C14" s="60"/>
      <c r="D14" s="57">
        <v>20930559589</v>
      </c>
      <c r="E14" s="61"/>
    </row>
    <row r="15" spans="1:5" ht="13.15" customHeight="1" x14ac:dyDescent="0.15">
      <c r="A15" s="56" t="s">
        <v>71</v>
      </c>
      <c r="B15" s="62">
        <v>0</v>
      </c>
      <c r="C15" s="60">
        <v>17297885594</v>
      </c>
      <c r="D15" s="63">
        <v>0</v>
      </c>
      <c r="E15" s="61">
        <v>20930559589</v>
      </c>
    </row>
    <row r="16" spans="1:5" ht="13.15" customHeight="1" x14ac:dyDescent="0.15">
      <c r="A16" s="56" t="s">
        <v>72</v>
      </c>
      <c r="B16" s="57"/>
      <c r="C16" s="60">
        <v>16116462896</v>
      </c>
      <c r="D16" s="57"/>
      <c r="E16" s="61">
        <v>10949054852</v>
      </c>
    </row>
    <row r="17" spans="1:5" ht="13.15" customHeight="1" x14ac:dyDescent="0.15">
      <c r="A17" s="56" t="s">
        <v>73</v>
      </c>
      <c r="B17" s="57">
        <v>10695526264</v>
      </c>
      <c r="C17" s="58"/>
      <c r="D17" s="57">
        <v>11306608090</v>
      </c>
      <c r="E17" s="59"/>
    </row>
    <row r="18" spans="1:5" ht="13.15" customHeight="1" x14ac:dyDescent="0.15">
      <c r="A18" s="56" t="s">
        <v>74</v>
      </c>
      <c r="B18" s="64">
        <v>1141107455</v>
      </c>
      <c r="C18" s="58">
        <v>9554418809</v>
      </c>
      <c r="D18" s="64">
        <v>414595593</v>
      </c>
      <c r="E18" s="59">
        <v>10892012497</v>
      </c>
    </row>
    <row r="19" spans="1:5" ht="13.15" customHeight="1" x14ac:dyDescent="0.15">
      <c r="A19" s="65" t="s">
        <v>75</v>
      </c>
      <c r="B19" s="66"/>
      <c r="C19" s="67">
        <v>225820949</v>
      </c>
      <c r="D19" s="66"/>
      <c r="E19" s="68">
        <v>78863934</v>
      </c>
    </row>
    <row r="20" spans="1:5" ht="13.15" customHeight="1" x14ac:dyDescent="0.15">
      <c r="A20" s="56" t="s">
        <v>76</v>
      </c>
      <c r="B20" s="57"/>
      <c r="C20" s="58">
        <v>277435431</v>
      </c>
      <c r="D20" s="57"/>
      <c r="E20" s="59">
        <v>96783035</v>
      </c>
    </row>
    <row r="21" spans="1:5" ht="13.15" customHeight="1" x14ac:dyDescent="0.15">
      <c r="A21" s="56" t="s">
        <v>77</v>
      </c>
      <c r="B21" s="57">
        <v>236476677</v>
      </c>
      <c r="C21" s="58"/>
      <c r="D21" s="57">
        <v>372565170</v>
      </c>
      <c r="E21" s="59"/>
    </row>
    <row r="22" spans="1:5" ht="13.15" customHeight="1" x14ac:dyDescent="0.15">
      <c r="A22" s="56" t="s">
        <v>74</v>
      </c>
      <c r="B22" s="57">
        <v>150000000</v>
      </c>
      <c r="C22" s="58"/>
      <c r="D22" s="57">
        <v>150000000</v>
      </c>
      <c r="E22" s="59"/>
    </row>
    <row r="23" spans="1:5" ht="13.15" customHeight="1" x14ac:dyDescent="0.15">
      <c r="A23" s="56" t="s">
        <v>71</v>
      </c>
      <c r="B23" s="64">
        <v>0</v>
      </c>
      <c r="C23" s="58">
        <v>86476677</v>
      </c>
      <c r="D23" s="64">
        <v>0</v>
      </c>
      <c r="E23" s="59">
        <v>222565170</v>
      </c>
    </row>
    <row r="24" spans="1:5" ht="13.15" customHeight="1" x14ac:dyDescent="0.15">
      <c r="A24" s="56" t="s">
        <v>78</v>
      </c>
      <c r="B24" s="57"/>
      <c r="C24" s="60">
        <v>13007284</v>
      </c>
      <c r="D24" s="57"/>
      <c r="E24" s="61">
        <v>17301491</v>
      </c>
    </row>
    <row r="25" spans="1:5" ht="13.15" customHeight="1" x14ac:dyDescent="0.15">
      <c r="A25" s="56" t="s">
        <v>79</v>
      </c>
      <c r="B25" s="57"/>
      <c r="C25" s="60">
        <v>0</v>
      </c>
      <c r="D25" s="57"/>
      <c r="E25" s="61">
        <v>0</v>
      </c>
    </row>
    <row r="26" spans="1:5" ht="13.15" customHeight="1" x14ac:dyDescent="0.15">
      <c r="A26" s="56" t="s">
        <v>80</v>
      </c>
      <c r="B26" s="57"/>
      <c r="C26" s="60">
        <v>1616000000</v>
      </c>
      <c r="D26" s="57"/>
      <c r="E26" s="61">
        <v>1616000000</v>
      </c>
    </row>
    <row r="27" spans="1:5" ht="13.15" customHeight="1" x14ac:dyDescent="0.15">
      <c r="A27" s="56" t="s">
        <v>81</v>
      </c>
      <c r="B27" s="57"/>
      <c r="C27" s="60">
        <v>372571534</v>
      </c>
      <c r="D27" s="57"/>
      <c r="E27" s="61">
        <v>509247605</v>
      </c>
    </row>
    <row r="28" spans="1:5" ht="13.15" customHeight="1" x14ac:dyDescent="0.15">
      <c r="A28" s="56" t="s">
        <v>82</v>
      </c>
      <c r="B28" s="57"/>
      <c r="C28" s="60">
        <v>295567643</v>
      </c>
      <c r="D28" s="57"/>
      <c r="E28" s="61">
        <v>0</v>
      </c>
    </row>
    <row r="29" spans="1:5" ht="13.15" customHeight="1" x14ac:dyDescent="0.15">
      <c r="A29" s="56" t="s">
        <v>83</v>
      </c>
      <c r="B29" s="57"/>
      <c r="C29" s="58">
        <v>672334577</v>
      </c>
      <c r="D29" s="57"/>
      <c r="E29" s="59"/>
    </row>
    <row r="30" spans="1:5" ht="13.15" customHeight="1" x14ac:dyDescent="0.15">
      <c r="A30" s="56" t="s">
        <v>84</v>
      </c>
      <c r="B30" s="57"/>
      <c r="C30" s="58">
        <v>11987168573</v>
      </c>
      <c r="D30" s="57"/>
      <c r="E30" s="59"/>
    </row>
    <row r="31" spans="1:5" ht="13.15" customHeight="1" x14ac:dyDescent="0.15">
      <c r="A31" s="56"/>
      <c r="B31" s="57"/>
      <c r="C31" s="58"/>
      <c r="D31" s="57"/>
      <c r="E31" s="59"/>
    </row>
    <row r="32" spans="1:5" ht="13.15" customHeight="1" x14ac:dyDescent="0.15">
      <c r="A32" s="56" t="s">
        <v>85</v>
      </c>
      <c r="B32" s="57"/>
      <c r="C32" s="58">
        <v>9301151621</v>
      </c>
      <c r="D32" s="57"/>
      <c r="E32" s="59">
        <v>9669562940</v>
      </c>
    </row>
    <row r="33" spans="1:5" ht="13.15" customHeight="1" x14ac:dyDescent="0.15">
      <c r="A33" s="56" t="s">
        <v>86</v>
      </c>
      <c r="B33" s="57">
        <v>1259568175</v>
      </c>
      <c r="C33" s="58"/>
      <c r="D33" s="57">
        <v>1456872380</v>
      </c>
      <c r="E33" s="59"/>
    </row>
    <row r="34" spans="1:5" ht="13.15" customHeight="1" x14ac:dyDescent="0.15">
      <c r="A34" s="70" t="s">
        <v>87</v>
      </c>
      <c r="B34" s="62">
        <v>382016222</v>
      </c>
      <c r="C34" s="58">
        <v>877551953</v>
      </c>
      <c r="D34" s="63">
        <v>83572848</v>
      </c>
      <c r="E34" s="59">
        <v>1373299532</v>
      </c>
    </row>
    <row r="35" spans="1:5" ht="13.15" customHeight="1" x14ac:dyDescent="0.15">
      <c r="A35" s="56" t="s">
        <v>88</v>
      </c>
      <c r="B35" s="57">
        <v>6508006349</v>
      </c>
      <c r="C35" s="58"/>
      <c r="D35" s="57">
        <v>5542414294</v>
      </c>
      <c r="E35" s="59"/>
    </row>
    <row r="36" spans="1:5" ht="13.15" customHeight="1" x14ac:dyDescent="0.15">
      <c r="A36" s="70" t="s">
        <v>87</v>
      </c>
      <c r="B36" s="62">
        <v>635832902</v>
      </c>
      <c r="C36" s="58">
        <v>5872173447</v>
      </c>
      <c r="D36" s="63">
        <v>613974185</v>
      </c>
      <c r="E36" s="59">
        <v>4928440109</v>
      </c>
    </row>
    <row r="37" spans="1:5" ht="13.15" customHeight="1" x14ac:dyDescent="0.15">
      <c r="A37" s="56" t="s">
        <v>89</v>
      </c>
      <c r="B37" s="57">
        <v>2559921919</v>
      </c>
      <c r="C37" s="58"/>
      <c r="D37" s="57">
        <v>2835357794</v>
      </c>
      <c r="E37" s="59"/>
    </row>
    <row r="38" spans="1:5" ht="13.15" customHeight="1" x14ac:dyDescent="0.15">
      <c r="A38" s="70" t="s">
        <v>87</v>
      </c>
      <c r="B38" s="62">
        <v>593191020</v>
      </c>
      <c r="C38" s="58">
        <v>1966730899</v>
      </c>
      <c r="D38" s="63">
        <v>401743376</v>
      </c>
      <c r="E38" s="59">
        <v>2433614418</v>
      </c>
    </row>
    <row r="39" spans="1:5" ht="13.15" customHeight="1" x14ac:dyDescent="0.15">
      <c r="A39" s="56" t="s">
        <v>90</v>
      </c>
      <c r="B39" s="57">
        <v>806910087</v>
      </c>
      <c r="C39" s="58"/>
      <c r="D39" s="57">
        <v>1000976105</v>
      </c>
      <c r="E39" s="59"/>
    </row>
    <row r="40" spans="1:5" ht="13.15" customHeight="1" x14ac:dyDescent="0.15">
      <c r="A40" s="70" t="s">
        <v>87</v>
      </c>
      <c r="B40" s="62">
        <v>222214765</v>
      </c>
      <c r="C40" s="58">
        <v>584695322</v>
      </c>
      <c r="D40" s="63">
        <v>219242085</v>
      </c>
      <c r="E40" s="59">
        <v>781734020</v>
      </c>
    </row>
    <row r="41" spans="1:5" ht="13.15" customHeight="1" x14ac:dyDescent="0.15">
      <c r="A41" s="56" t="s">
        <v>91</v>
      </c>
      <c r="B41" s="57"/>
      <c r="C41" s="58">
        <v>0</v>
      </c>
      <c r="D41" s="57"/>
      <c r="E41" s="59">
        <v>152474861</v>
      </c>
    </row>
    <row r="42" spans="1:5" ht="13.15" customHeight="1" x14ac:dyDescent="0.15">
      <c r="A42" s="56"/>
      <c r="B42" s="57"/>
      <c r="C42" s="58"/>
      <c r="D42" s="57"/>
      <c r="E42" s="59"/>
    </row>
    <row r="43" spans="1:5" ht="13.15" customHeight="1" x14ac:dyDescent="0.15">
      <c r="A43" s="56" t="s">
        <v>92</v>
      </c>
      <c r="B43" s="57"/>
      <c r="C43" s="58">
        <v>68787098856</v>
      </c>
      <c r="D43" s="57"/>
      <c r="E43" s="59">
        <v>81668257744</v>
      </c>
    </row>
    <row r="44" spans="1:5" ht="13.15" customHeight="1" x14ac:dyDescent="0.15">
      <c r="A44" s="56" t="s">
        <v>93</v>
      </c>
      <c r="B44" s="57"/>
      <c r="C44" s="58">
        <v>53608968784</v>
      </c>
      <c r="D44" s="57"/>
      <c r="E44" s="59">
        <v>69818163900</v>
      </c>
    </row>
    <row r="45" spans="1:5" ht="13.15" customHeight="1" x14ac:dyDescent="0.15">
      <c r="A45" s="56" t="s">
        <v>94</v>
      </c>
      <c r="B45" s="57"/>
      <c r="C45" s="58">
        <v>0</v>
      </c>
      <c r="D45" s="57"/>
      <c r="E45" s="61">
        <v>0</v>
      </c>
    </row>
    <row r="46" spans="1:5" ht="13.15" customHeight="1" x14ac:dyDescent="0.15">
      <c r="A46" s="56" t="s">
        <v>95</v>
      </c>
      <c r="B46" s="57"/>
      <c r="C46" s="58">
        <v>39770767560</v>
      </c>
      <c r="D46" s="57"/>
      <c r="E46" s="59">
        <v>45409757914</v>
      </c>
    </row>
    <row r="47" spans="1:5" ht="13.15" customHeight="1" x14ac:dyDescent="0.15">
      <c r="A47" s="71" t="s">
        <v>96</v>
      </c>
      <c r="B47" s="57"/>
      <c r="C47" s="58">
        <v>1445772899</v>
      </c>
      <c r="D47" s="57"/>
      <c r="E47" s="59">
        <v>1921815526</v>
      </c>
    </row>
    <row r="48" spans="1:5" ht="13.15" customHeight="1" x14ac:dyDescent="0.15">
      <c r="A48" s="56" t="s">
        <v>97</v>
      </c>
      <c r="B48" s="57"/>
      <c r="C48" s="58">
        <v>0</v>
      </c>
      <c r="D48" s="57"/>
      <c r="E48" s="59">
        <v>0</v>
      </c>
    </row>
    <row r="49" spans="1:5" ht="13.15" customHeight="1" x14ac:dyDescent="0.15">
      <c r="A49" s="56" t="s">
        <v>98</v>
      </c>
      <c r="B49" s="57"/>
      <c r="C49" s="58">
        <v>4278943321</v>
      </c>
      <c r="D49" s="57"/>
      <c r="E49" s="59">
        <v>825000</v>
      </c>
    </row>
    <row r="50" spans="1:5" ht="13.15" customHeight="1" x14ac:dyDescent="0.15">
      <c r="A50" s="56" t="s">
        <v>99</v>
      </c>
      <c r="B50" s="57"/>
      <c r="C50" s="58">
        <v>8113485004</v>
      </c>
      <c r="D50" s="57"/>
      <c r="E50" s="59">
        <v>22485765460</v>
      </c>
    </row>
    <row r="51" spans="1:5" ht="13.15" customHeight="1" x14ac:dyDescent="0.15">
      <c r="A51" s="56"/>
      <c r="B51" s="57"/>
      <c r="C51" s="58"/>
      <c r="D51" s="57"/>
      <c r="E51" s="59"/>
    </row>
    <row r="52" spans="1:5" ht="13.15" customHeight="1" x14ac:dyDescent="0.15">
      <c r="A52" s="56" t="s">
        <v>100</v>
      </c>
      <c r="B52" s="57"/>
      <c r="C52" s="58">
        <v>12202098242</v>
      </c>
      <c r="D52" s="57"/>
      <c r="E52" s="59">
        <v>9455340567</v>
      </c>
    </row>
    <row r="53" spans="1:5" ht="12.75" customHeight="1" x14ac:dyDescent="0.15">
      <c r="A53" s="56" t="s">
        <v>101</v>
      </c>
      <c r="B53" s="57"/>
      <c r="C53" s="58">
        <v>550502710</v>
      </c>
      <c r="D53" s="57"/>
      <c r="E53" s="59">
        <v>550502710</v>
      </c>
    </row>
    <row r="54" spans="1:5" ht="13.15" customHeight="1" x14ac:dyDescent="0.15">
      <c r="A54" s="56" t="s">
        <v>102</v>
      </c>
      <c r="B54" s="57">
        <v>7121823522</v>
      </c>
      <c r="C54" s="58"/>
      <c r="D54" s="57">
        <v>7121823522</v>
      </c>
      <c r="E54" s="59"/>
    </row>
    <row r="55" spans="1:5" ht="13.15" customHeight="1" x14ac:dyDescent="0.15">
      <c r="A55" s="56" t="s">
        <v>103</v>
      </c>
      <c r="B55" s="62">
        <v>2185250626</v>
      </c>
      <c r="C55" s="58">
        <v>4936572896</v>
      </c>
      <c r="D55" s="63">
        <v>2007205038</v>
      </c>
      <c r="E55" s="59">
        <v>5114618484</v>
      </c>
    </row>
    <row r="56" spans="1:5" ht="13.15" customHeight="1" x14ac:dyDescent="0.15">
      <c r="A56" s="56" t="s">
        <v>104</v>
      </c>
      <c r="B56" s="57">
        <v>165773572</v>
      </c>
      <c r="C56" s="58"/>
      <c r="D56" s="57">
        <v>165773572</v>
      </c>
      <c r="E56" s="59"/>
    </row>
    <row r="57" spans="1:5" ht="13.15" customHeight="1" thickBot="1" x14ac:dyDescent="0.2">
      <c r="A57" s="72" t="s">
        <v>103</v>
      </c>
      <c r="B57" s="73">
        <v>87872299</v>
      </c>
      <c r="C57" s="74">
        <v>77901273</v>
      </c>
      <c r="D57" s="73">
        <v>76661804</v>
      </c>
      <c r="E57" s="75">
        <v>89111768</v>
      </c>
    </row>
    <row r="58" spans="1:5" ht="13.15" customHeight="1" x14ac:dyDescent="0.15">
      <c r="A58" s="56" t="s">
        <v>105</v>
      </c>
      <c r="B58" s="57">
        <v>35396715095</v>
      </c>
      <c r="C58" s="58"/>
      <c r="D58" s="76">
        <v>31702491704</v>
      </c>
      <c r="E58" s="59"/>
    </row>
    <row r="59" spans="1:5" ht="13.15" customHeight="1" x14ac:dyDescent="0.15">
      <c r="A59" s="56" t="s">
        <v>71</v>
      </c>
      <c r="B59" s="57">
        <v>6048546</v>
      </c>
      <c r="C59" s="58"/>
      <c r="D59" s="76">
        <v>12594762</v>
      </c>
      <c r="E59" s="59"/>
    </row>
    <row r="60" spans="1:5" ht="13.15" customHeight="1" x14ac:dyDescent="0.15">
      <c r="A60" s="56" t="s">
        <v>103</v>
      </c>
      <c r="B60" s="64">
        <v>30598751128</v>
      </c>
      <c r="C60" s="58">
        <v>4791915421</v>
      </c>
      <c r="D60" s="63">
        <v>29542431717</v>
      </c>
      <c r="E60" s="59">
        <v>2147465225</v>
      </c>
    </row>
    <row r="61" spans="1:5" ht="13.15" customHeight="1" x14ac:dyDescent="0.15">
      <c r="A61" s="56" t="s">
        <v>106</v>
      </c>
      <c r="B61" s="57">
        <v>4427307980</v>
      </c>
      <c r="C61" s="58"/>
      <c r="D61" s="57">
        <v>4199951240</v>
      </c>
      <c r="E61" s="59"/>
    </row>
    <row r="62" spans="1:5" ht="13.15" customHeight="1" x14ac:dyDescent="0.15">
      <c r="A62" s="56" t="s">
        <v>71</v>
      </c>
      <c r="B62" s="57">
        <v>192737711</v>
      </c>
      <c r="C62" s="58"/>
      <c r="D62" s="57">
        <v>210641489</v>
      </c>
      <c r="E62" s="59"/>
    </row>
    <row r="63" spans="1:5" ht="13.15" customHeight="1" x14ac:dyDescent="0.15">
      <c r="A63" s="56" t="s">
        <v>103</v>
      </c>
      <c r="B63" s="64">
        <v>3934002405</v>
      </c>
      <c r="C63" s="58">
        <v>300567864</v>
      </c>
      <c r="D63" s="64">
        <v>3723786052</v>
      </c>
      <c r="E63" s="59">
        <v>265523699</v>
      </c>
    </row>
    <row r="64" spans="1:5" ht="13.15" customHeight="1" x14ac:dyDescent="0.15">
      <c r="A64" s="56" t="s">
        <v>107</v>
      </c>
      <c r="B64" s="57">
        <v>2550000</v>
      </c>
      <c r="C64" s="58"/>
      <c r="D64" s="57">
        <v>2550000</v>
      </c>
      <c r="E64" s="59"/>
    </row>
    <row r="65" spans="1:5" ht="13.15" customHeight="1" x14ac:dyDescent="0.15">
      <c r="A65" s="56" t="s">
        <v>103</v>
      </c>
      <c r="B65" s="64">
        <v>2549000</v>
      </c>
      <c r="C65" s="58">
        <v>1000</v>
      </c>
      <c r="D65" s="64">
        <v>2549000</v>
      </c>
      <c r="E65" s="59">
        <v>1000</v>
      </c>
    </row>
    <row r="66" spans="1:5" ht="13.15" customHeight="1" x14ac:dyDescent="0.15">
      <c r="A66" s="56" t="s">
        <v>108</v>
      </c>
      <c r="B66" s="57">
        <v>1184280775</v>
      </c>
      <c r="C66" s="58"/>
      <c r="D66" s="57">
        <v>1190940207</v>
      </c>
      <c r="E66" s="59"/>
    </row>
    <row r="67" spans="1:5" ht="13.15" customHeight="1" x14ac:dyDescent="0.15">
      <c r="A67" s="56" t="s">
        <v>71</v>
      </c>
      <c r="B67" s="57">
        <v>4902228</v>
      </c>
      <c r="C67" s="58"/>
      <c r="D67" s="57">
        <v>0</v>
      </c>
      <c r="E67" s="59"/>
    </row>
    <row r="68" spans="1:5" ht="13.15" customHeight="1" x14ac:dyDescent="0.15">
      <c r="A68" s="56" t="s">
        <v>103</v>
      </c>
      <c r="B68" s="64">
        <v>1139490663</v>
      </c>
      <c r="C68" s="58">
        <v>39887884</v>
      </c>
      <c r="D68" s="64">
        <v>1149997404</v>
      </c>
      <c r="E68" s="59">
        <v>40942803</v>
      </c>
    </row>
    <row r="69" spans="1:5" ht="13.15" customHeight="1" x14ac:dyDescent="0.15">
      <c r="A69" s="56" t="s">
        <v>109</v>
      </c>
      <c r="B69" s="57"/>
      <c r="C69" s="58">
        <v>1193250000</v>
      </c>
      <c r="D69" s="57"/>
      <c r="E69" s="59">
        <v>862220000</v>
      </c>
    </row>
    <row r="70" spans="1:5" ht="13.15" customHeight="1" x14ac:dyDescent="0.15">
      <c r="A70" s="56" t="s">
        <v>110</v>
      </c>
      <c r="B70" s="57"/>
      <c r="C70" s="58">
        <v>311499194</v>
      </c>
      <c r="D70" s="57"/>
      <c r="E70" s="59">
        <v>384954878</v>
      </c>
    </row>
    <row r="71" spans="1:5" ht="13.15" customHeight="1" x14ac:dyDescent="0.15">
      <c r="A71" s="56"/>
      <c r="B71" s="57"/>
      <c r="C71" s="58"/>
      <c r="D71" s="57"/>
      <c r="E71" s="59"/>
    </row>
    <row r="72" spans="1:5" ht="13.5" customHeight="1" x14ac:dyDescent="0.15">
      <c r="A72" s="56" t="s">
        <v>111</v>
      </c>
      <c r="B72" s="57"/>
      <c r="C72" s="58">
        <v>97552967</v>
      </c>
      <c r="D72" s="57"/>
      <c r="E72" s="59">
        <v>141646492</v>
      </c>
    </row>
    <row r="73" spans="1:5" ht="13.15" customHeight="1" x14ac:dyDescent="0.15">
      <c r="A73" s="70" t="s">
        <v>112</v>
      </c>
      <c r="B73" s="57"/>
      <c r="C73" s="58">
        <v>46666667</v>
      </c>
      <c r="D73" s="57"/>
      <c r="E73" s="59">
        <v>66666667</v>
      </c>
    </row>
    <row r="74" spans="1:5" ht="13.15" customHeight="1" x14ac:dyDescent="0.15">
      <c r="A74" s="70" t="s">
        <v>113</v>
      </c>
      <c r="B74" s="57">
        <v>95874600</v>
      </c>
      <c r="C74" s="58"/>
      <c r="D74" s="57"/>
      <c r="E74" s="59">
        <v>139962925</v>
      </c>
    </row>
    <row r="75" spans="1:5" ht="13.15" customHeight="1" x14ac:dyDescent="0.15">
      <c r="A75" s="70" t="s">
        <v>114</v>
      </c>
      <c r="B75" s="57">
        <v>44988300</v>
      </c>
      <c r="C75" s="58">
        <v>50886300</v>
      </c>
      <c r="D75" s="57"/>
      <c r="E75" s="59">
        <v>64983100</v>
      </c>
    </row>
    <row r="76" spans="1:5" ht="13.15" customHeight="1" x14ac:dyDescent="0.15">
      <c r="A76" s="70"/>
      <c r="B76" s="57"/>
      <c r="C76" s="58"/>
      <c r="D76" s="57"/>
      <c r="E76" s="59"/>
    </row>
    <row r="77" spans="1:5" ht="13.15" customHeight="1" x14ac:dyDescent="0.15">
      <c r="A77" s="56" t="s">
        <v>115</v>
      </c>
      <c r="B77" s="57"/>
      <c r="C77" s="58">
        <v>2878478863</v>
      </c>
      <c r="D77" s="57"/>
      <c r="E77" s="59">
        <v>2253106785</v>
      </c>
    </row>
    <row r="78" spans="1:5" ht="13.15" customHeight="1" x14ac:dyDescent="0.15">
      <c r="A78" s="56" t="s">
        <v>116</v>
      </c>
      <c r="B78" s="57"/>
      <c r="C78" s="58">
        <v>143101000</v>
      </c>
      <c r="D78" s="57"/>
      <c r="E78" s="59">
        <v>143101000</v>
      </c>
    </row>
    <row r="79" spans="1:5" ht="13.15" customHeight="1" x14ac:dyDescent="0.15">
      <c r="A79" s="56" t="s">
        <v>117</v>
      </c>
      <c r="B79" s="57"/>
      <c r="C79" s="58">
        <v>469888564</v>
      </c>
      <c r="D79" s="57"/>
      <c r="E79" s="59">
        <v>469888564</v>
      </c>
    </row>
    <row r="80" spans="1:5" ht="13.15" customHeight="1" x14ac:dyDescent="0.15">
      <c r="A80" s="56" t="s">
        <v>118</v>
      </c>
      <c r="B80" s="57"/>
      <c r="C80" s="60">
        <v>2265489299</v>
      </c>
      <c r="D80" s="57"/>
      <c r="E80" s="61">
        <v>1640117221</v>
      </c>
    </row>
    <row r="81" spans="1:5" ht="13.35" hidden="1" customHeight="1" x14ac:dyDescent="0.15">
      <c r="A81" s="56"/>
      <c r="B81" s="57"/>
      <c r="C81" s="58"/>
      <c r="D81" s="57"/>
      <c r="E81" s="59"/>
    </row>
    <row r="82" spans="1:5" ht="17.100000000000001" customHeight="1" x14ac:dyDescent="0.15">
      <c r="A82" s="77" t="s">
        <v>119</v>
      </c>
      <c r="B82" s="57"/>
      <c r="C82" s="78">
        <v>136603400444</v>
      </c>
      <c r="D82" s="57"/>
      <c r="E82" s="79">
        <v>136650208857</v>
      </c>
    </row>
    <row r="83" spans="1:5" ht="13.35" customHeight="1" x14ac:dyDescent="0.15">
      <c r="A83" s="77"/>
      <c r="B83" s="57"/>
      <c r="C83" s="80"/>
      <c r="D83" s="57"/>
      <c r="E83" s="81"/>
    </row>
    <row r="84" spans="1:5" ht="13.15" customHeight="1" x14ac:dyDescent="0.15">
      <c r="A84" s="56" t="s">
        <v>120</v>
      </c>
      <c r="B84" s="57"/>
      <c r="C84" s="58"/>
      <c r="D84" s="57"/>
      <c r="E84" s="59"/>
    </row>
    <row r="85" spans="1:5" ht="13.15" customHeight="1" x14ac:dyDescent="0.15">
      <c r="A85" s="56" t="s">
        <v>121</v>
      </c>
      <c r="B85" s="57"/>
      <c r="C85" s="58">
        <v>11727777859</v>
      </c>
      <c r="D85" s="57"/>
      <c r="E85" s="59">
        <v>7672694309</v>
      </c>
    </row>
    <row r="86" spans="1:5" ht="13.15" customHeight="1" x14ac:dyDescent="0.15">
      <c r="A86" s="56" t="s">
        <v>122</v>
      </c>
      <c r="B86" s="57"/>
      <c r="C86" s="58">
        <v>72429411</v>
      </c>
      <c r="D86" s="57"/>
      <c r="E86" s="82">
        <v>91545923</v>
      </c>
    </row>
    <row r="87" spans="1:5" ht="13.15" customHeight="1" x14ac:dyDescent="0.15">
      <c r="A87" s="56" t="s">
        <v>123</v>
      </c>
      <c r="B87" s="57"/>
      <c r="C87" s="58">
        <v>1145472531</v>
      </c>
      <c r="D87" s="57"/>
      <c r="E87" s="82">
        <v>2542298276</v>
      </c>
    </row>
    <row r="88" spans="1:5" ht="13.15" customHeight="1" x14ac:dyDescent="0.15">
      <c r="A88" s="56" t="s">
        <v>124</v>
      </c>
      <c r="B88" s="57"/>
      <c r="C88" s="58">
        <v>484528996</v>
      </c>
      <c r="D88" s="57"/>
      <c r="E88" s="82">
        <v>478883512</v>
      </c>
    </row>
    <row r="89" spans="1:5" ht="13.15" customHeight="1" x14ac:dyDescent="0.15">
      <c r="A89" s="56" t="s">
        <v>125</v>
      </c>
      <c r="B89" s="57"/>
      <c r="C89" s="58">
        <v>157074266</v>
      </c>
      <c r="D89" s="57"/>
      <c r="E89" s="82">
        <v>146469092</v>
      </c>
    </row>
    <row r="90" spans="1:5" ht="13.15" customHeight="1" x14ac:dyDescent="0.15">
      <c r="A90" s="56" t="s">
        <v>126</v>
      </c>
      <c r="B90" s="57"/>
      <c r="C90" s="58">
        <v>1594840218</v>
      </c>
      <c r="D90" s="57"/>
      <c r="E90" s="82">
        <v>1201806413</v>
      </c>
    </row>
    <row r="91" spans="1:5" ht="13.15" customHeight="1" x14ac:dyDescent="0.15">
      <c r="A91" s="70" t="s">
        <v>127</v>
      </c>
      <c r="B91" s="57"/>
      <c r="C91" s="58">
        <v>909503916</v>
      </c>
      <c r="D91" s="57"/>
      <c r="E91" s="82">
        <v>867656850</v>
      </c>
    </row>
    <row r="92" spans="1:5" ht="13.15" customHeight="1" x14ac:dyDescent="0.15">
      <c r="A92" s="56" t="s">
        <v>128</v>
      </c>
      <c r="B92" s="57"/>
      <c r="C92" s="58">
        <v>0</v>
      </c>
      <c r="D92" s="57"/>
      <c r="E92" s="82">
        <v>2268147212</v>
      </c>
    </row>
    <row r="93" spans="1:5" ht="13.15" customHeight="1" x14ac:dyDescent="0.15">
      <c r="A93" s="56" t="s">
        <v>129</v>
      </c>
      <c r="B93" s="57"/>
      <c r="C93" s="58">
        <v>668683831</v>
      </c>
      <c r="D93" s="57"/>
      <c r="E93" s="82">
        <v>70887031</v>
      </c>
    </row>
    <row r="94" spans="1:5" ht="13.15" customHeight="1" x14ac:dyDescent="0.15">
      <c r="A94" s="56" t="s">
        <v>130</v>
      </c>
      <c r="B94" s="57"/>
      <c r="C94" s="58">
        <v>0</v>
      </c>
      <c r="D94" s="57"/>
      <c r="E94" s="82">
        <v>0</v>
      </c>
    </row>
    <row r="95" spans="1:5" ht="13.15" customHeight="1" x14ac:dyDescent="0.15">
      <c r="A95" s="70" t="s">
        <v>131</v>
      </c>
      <c r="B95" s="57"/>
      <c r="C95" s="58">
        <v>0</v>
      </c>
      <c r="D95" s="57"/>
      <c r="E95" s="82">
        <v>0</v>
      </c>
    </row>
    <row r="96" spans="1:5" ht="13.15" customHeight="1" x14ac:dyDescent="0.15">
      <c r="A96" s="56" t="s">
        <v>132</v>
      </c>
      <c r="B96" s="57"/>
      <c r="C96" s="58">
        <v>5000000</v>
      </c>
      <c r="D96" s="57"/>
      <c r="E96" s="59">
        <v>5000000</v>
      </c>
    </row>
    <row r="97" spans="1:5" ht="12.75" customHeight="1" x14ac:dyDescent="0.15">
      <c r="A97" s="56" t="s">
        <v>133</v>
      </c>
      <c r="B97" s="57"/>
      <c r="C97" s="58">
        <v>0</v>
      </c>
      <c r="D97" s="57"/>
      <c r="E97" s="59">
        <v>0</v>
      </c>
    </row>
    <row r="98" spans="1:5" ht="12.75" customHeight="1" x14ac:dyDescent="0.15">
      <c r="A98" s="56" t="s">
        <v>134</v>
      </c>
      <c r="B98" s="57">
        <v>8000000000</v>
      </c>
      <c r="C98" s="58"/>
      <c r="D98" s="57"/>
      <c r="E98" s="59"/>
    </row>
    <row r="99" spans="1:5" ht="12.75" customHeight="1" x14ac:dyDescent="0.15">
      <c r="A99" s="56" t="s">
        <v>135</v>
      </c>
      <c r="B99" s="57">
        <v>1309755310</v>
      </c>
      <c r="C99" s="58">
        <v>6690244690</v>
      </c>
      <c r="D99" s="57"/>
      <c r="E99" s="59"/>
    </row>
    <row r="100" spans="1:5" ht="13.15" customHeight="1" x14ac:dyDescent="0.15">
      <c r="A100" s="70"/>
      <c r="B100" s="57"/>
      <c r="C100" s="58"/>
      <c r="D100" s="57"/>
      <c r="E100" s="59"/>
    </row>
    <row r="101" spans="1:5" ht="13.15" customHeight="1" x14ac:dyDescent="0.15">
      <c r="A101" s="56" t="s">
        <v>136</v>
      </c>
      <c r="B101" s="57"/>
      <c r="C101" s="58">
        <v>364567069</v>
      </c>
      <c r="D101" s="57"/>
      <c r="E101" s="59">
        <v>8238692611</v>
      </c>
    </row>
    <row r="102" spans="1:5" ht="13.15" customHeight="1" x14ac:dyDescent="0.15">
      <c r="A102" s="56" t="s">
        <v>137</v>
      </c>
      <c r="B102" s="57">
        <v>0</v>
      </c>
      <c r="C102" s="58"/>
      <c r="D102" s="57">
        <v>8000000000</v>
      </c>
      <c r="E102" s="59"/>
    </row>
    <row r="103" spans="1:5" ht="13.15" customHeight="1" x14ac:dyDescent="0.15">
      <c r="A103" s="56" t="s">
        <v>138</v>
      </c>
      <c r="B103" s="57">
        <v>0</v>
      </c>
      <c r="C103" s="58">
        <v>0</v>
      </c>
      <c r="D103" s="57">
        <v>1608449458</v>
      </c>
      <c r="E103" s="59">
        <v>6391550542</v>
      </c>
    </row>
    <row r="104" spans="1:5" ht="13.15" customHeight="1" x14ac:dyDescent="0.15">
      <c r="A104" s="56" t="s">
        <v>139</v>
      </c>
      <c r="B104" s="57"/>
      <c r="C104" s="58">
        <v>251696072</v>
      </c>
      <c r="D104" s="57"/>
      <c r="E104" s="59">
        <v>306387831</v>
      </c>
    </row>
    <row r="105" spans="1:5" ht="13.15" customHeight="1" x14ac:dyDescent="0.15">
      <c r="A105" s="56" t="s">
        <v>140</v>
      </c>
      <c r="B105" s="57">
        <v>6908384004</v>
      </c>
      <c r="C105" s="58"/>
      <c r="D105" s="57">
        <v>7669220360</v>
      </c>
      <c r="E105" s="59"/>
    </row>
    <row r="106" spans="1:5" ht="13.15" customHeight="1" x14ac:dyDescent="0.15">
      <c r="A106" s="70" t="s">
        <v>141</v>
      </c>
      <c r="B106" s="64">
        <v>6795513007</v>
      </c>
      <c r="C106" s="58">
        <v>112870997</v>
      </c>
      <c r="D106" s="64">
        <v>6128466122</v>
      </c>
      <c r="E106" s="59">
        <v>1540754238</v>
      </c>
    </row>
    <row r="107" spans="1:5" ht="13.15" customHeight="1" x14ac:dyDescent="0.15">
      <c r="A107" s="70" t="s">
        <v>142</v>
      </c>
      <c r="B107" s="57"/>
      <c r="C107" s="58">
        <v>0</v>
      </c>
      <c r="D107" s="57"/>
      <c r="E107" s="59">
        <v>0</v>
      </c>
    </row>
    <row r="108" spans="1:5" ht="13.15" customHeight="1" x14ac:dyDescent="0.15">
      <c r="A108" s="70" t="s">
        <v>143</v>
      </c>
      <c r="B108" s="57"/>
      <c r="C108" s="58">
        <v>0</v>
      </c>
      <c r="D108" s="57"/>
      <c r="E108" s="59">
        <v>0</v>
      </c>
    </row>
    <row r="109" spans="1:5" ht="17.100000000000001" customHeight="1" thickBot="1" x14ac:dyDescent="0.2">
      <c r="A109" s="83" t="s">
        <v>144</v>
      </c>
      <c r="B109" s="73"/>
      <c r="C109" s="84">
        <v>12092344928</v>
      </c>
      <c r="D109" s="73"/>
      <c r="E109" s="85">
        <v>15911386920</v>
      </c>
    </row>
    <row r="110" spans="1:5" ht="13.15" customHeight="1" x14ac:dyDescent="0.15">
      <c r="A110" s="77"/>
      <c r="B110" s="57"/>
      <c r="C110" s="58"/>
      <c r="D110" s="57"/>
      <c r="E110" s="59"/>
    </row>
    <row r="111" spans="1:5" ht="13.15" customHeight="1" x14ac:dyDescent="0.15">
      <c r="A111" s="56" t="s">
        <v>145</v>
      </c>
      <c r="B111" s="57"/>
      <c r="C111" s="58"/>
      <c r="D111" s="57"/>
      <c r="E111" s="59"/>
    </row>
    <row r="112" spans="1:5" ht="13.15" customHeight="1" x14ac:dyDescent="0.15">
      <c r="A112" s="56" t="s">
        <v>146</v>
      </c>
      <c r="B112" s="57"/>
      <c r="C112" s="58">
        <v>5873304500</v>
      </c>
      <c r="D112" s="57"/>
      <c r="E112" s="59">
        <v>5873304500</v>
      </c>
    </row>
    <row r="113" spans="1:5" ht="13.15" customHeight="1" x14ac:dyDescent="0.15">
      <c r="A113" s="56" t="s">
        <v>147</v>
      </c>
      <c r="B113" s="57"/>
      <c r="C113" s="58"/>
      <c r="D113" s="57"/>
      <c r="E113" s="82"/>
    </row>
    <row r="114" spans="1:5" ht="13.15" customHeight="1" x14ac:dyDescent="0.15">
      <c r="A114" s="56" t="s">
        <v>148</v>
      </c>
      <c r="B114" s="57"/>
      <c r="C114" s="58"/>
      <c r="D114" s="57"/>
      <c r="E114" s="82"/>
    </row>
    <row r="115" spans="1:5" ht="13.15" customHeight="1" x14ac:dyDescent="0.15">
      <c r="A115" s="56" t="s">
        <v>149</v>
      </c>
      <c r="B115" s="57"/>
      <c r="C115" s="58">
        <v>5873304500</v>
      </c>
      <c r="D115" s="57"/>
      <c r="E115" s="82">
        <v>5873304500</v>
      </c>
    </row>
    <row r="116" spans="1:5" ht="13.15" customHeight="1" x14ac:dyDescent="0.15">
      <c r="A116" s="56" t="s">
        <v>150</v>
      </c>
      <c r="B116" s="57"/>
      <c r="C116" s="58"/>
      <c r="D116" s="57"/>
      <c r="E116" s="82"/>
    </row>
    <row r="117" spans="1:5" ht="13.15" customHeight="1" x14ac:dyDescent="0.15">
      <c r="A117" s="56"/>
      <c r="B117" s="57"/>
      <c r="C117" s="58"/>
      <c r="D117" s="57"/>
      <c r="E117" s="82"/>
    </row>
    <row r="118" spans="1:5" ht="13.15" customHeight="1" x14ac:dyDescent="0.15">
      <c r="A118" s="56" t="s">
        <v>151</v>
      </c>
      <c r="B118" s="57"/>
      <c r="C118" s="58">
        <v>20660268013</v>
      </c>
      <c r="D118" s="57"/>
      <c r="E118" s="82">
        <v>20365661978</v>
      </c>
    </row>
    <row r="119" spans="1:5" ht="13.15" customHeight="1" x14ac:dyDescent="0.15">
      <c r="A119" s="56" t="s">
        <v>152</v>
      </c>
      <c r="B119" s="57"/>
      <c r="C119" s="58">
        <v>17634548293</v>
      </c>
      <c r="D119" s="57"/>
      <c r="E119" s="82">
        <v>17634548293</v>
      </c>
    </row>
    <row r="120" spans="1:5" ht="13.15" customHeight="1" x14ac:dyDescent="0.15">
      <c r="A120" s="56" t="s">
        <v>153</v>
      </c>
      <c r="B120" s="57"/>
      <c r="C120" s="58">
        <v>17634548293</v>
      </c>
      <c r="D120" s="57"/>
      <c r="E120" s="82">
        <v>17634548293</v>
      </c>
    </row>
    <row r="121" spans="1:5" ht="13.15" customHeight="1" x14ac:dyDescent="0.15">
      <c r="A121" s="56"/>
      <c r="B121" s="57"/>
      <c r="C121" s="58"/>
      <c r="D121" s="57"/>
      <c r="E121" s="82"/>
    </row>
    <row r="122" spans="1:5" ht="13.15" customHeight="1" x14ac:dyDescent="0.15">
      <c r="A122" s="56" t="s">
        <v>154</v>
      </c>
      <c r="B122" s="57"/>
      <c r="C122" s="58">
        <v>3025719720</v>
      </c>
      <c r="D122" s="57"/>
      <c r="E122" s="82">
        <v>2731113685</v>
      </c>
    </row>
    <row r="123" spans="1:5" ht="13.15" customHeight="1" x14ac:dyDescent="0.15">
      <c r="A123" s="56" t="s">
        <v>155</v>
      </c>
      <c r="B123" s="57"/>
      <c r="C123" s="58">
        <v>1109081685</v>
      </c>
      <c r="D123" s="57"/>
      <c r="E123" s="82">
        <v>1109081685</v>
      </c>
    </row>
    <row r="124" spans="1:5" ht="13.15" customHeight="1" x14ac:dyDescent="0.15">
      <c r="A124" s="56" t="s">
        <v>156</v>
      </c>
      <c r="B124" s="57"/>
      <c r="C124" s="58">
        <v>1916638035</v>
      </c>
      <c r="D124" s="57"/>
      <c r="E124" s="82">
        <v>1622032000</v>
      </c>
    </row>
    <row r="125" spans="1:5" ht="13.15" customHeight="1" x14ac:dyDescent="0.15">
      <c r="A125" s="86"/>
      <c r="B125" s="57"/>
      <c r="C125" s="58"/>
      <c r="D125" s="57"/>
      <c r="E125" s="82"/>
    </row>
    <row r="126" spans="1:5" ht="13.15" customHeight="1" x14ac:dyDescent="0.15">
      <c r="A126" s="56" t="s">
        <v>157</v>
      </c>
      <c r="B126" s="57"/>
      <c r="C126" s="58">
        <v>106681933942</v>
      </c>
      <c r="D126" s="57"/>
      <c r="E126" s="82">
        <v>102194934494</v>
      </c>
    </row>
    <row r="127" spans="1:5" ht="13.15" customHeight="1" x14ac:dyDescent="0.15">
      <c r="A127" s="56" t="s">
        <v>158</v>
      </c>
      <c r="B127" s="57"/>
      <c r="C127" s="58">
        <v>1364230526</v>
      </c>
      <c r="D127" s="57"/>
      <c r="E127" s="82">
        <v>1255268106</v>
      </c>
    </row>
    <row r="128" spans="1:5" ht="13.15" customHeight="1" x14ac:dyDescent="0.15">
      <c r="A128" s="56" t="s">
        <v>159</v>
      </c>
      <c r="B128" s="57"/>
      <c r="C128" s="58">
        <v>0</v>
      </c>
      <c r="D128" s="57"/>
      <c r="E128" s="82">
        <v>0</v>
      </c>
    </row>
    <row r="129" spans="1:5" ht="13.15" customHeight="1" x14ac:dyDescent="0.15">
      <c r="A129" s="56" t="s">
        <v>160</v>
      </c>
      <c r="B129" s="57"/>
      <c r="C129" s="58">
        <v>165000000</v>
      </c>
      <c r="D129" s="57"/>
      <c r="E129" s="82">
        <v>165000000</v>
      </c>
    </row>
    <row r="130" spans="1:5" ht="13.15" customHeight="1" x14ac:dyDescent="0.15">
      <c r="A130" s="56" t="s">
        <v>161</v>
      </c>
      <c r="B130" s="57"/>
      <c r="C130" s="58">
        <v>7981805661</v>
      </c>
      <c r="D130" s="57"/>
      <c r="E130" s="82">
        <v>7294226286</v>
      </c>
    </row>
    <row r="131" spans="1:5" ht="13.15" customHeight="1" x14ac:dyDescent="0.15">
      <c r="A131" s="56" t="s">
        <v>162</v>
      </c>
      <c r="B131" s="57"/>
      <c r="C131" s="58">
        <v>0</v>
      </c>
      <c r="D131" s="57"/>
      <c r="E131" s="82">
        <v>0</v>
      </c>
    </row>
    <row r="132" spans="1:5" ht="13.15" customHeight="1" x14ac:dyDescent="0.15">
      <c r="A132" s="56" t="s">
        <v>163</v>
      </c>
      <c r="B132" s="57"/>
      <c r="C132" s="87">
        <v>97170897755</v>
      </c>
      <c r="D132" s="57"/>
      <c r="E132" s="82">
        <v>93480440102</v>
      </c>
    </row>
    <row r="133" spans="1:5" ht="13.15" customHeight="1" x14ac:dyDescent="0.15">
      <c r="A133" s="88">
        <f>+'3-2. 2022년손익계산서'!E85</f>
        <v>4111164130</v>
      </c>
      <c r="B133" s="57"/>
      <c r="C133" s="58"/>
      <c r="D133" s="57"/>
      <c r="E133" s="82"/>
    </row>
    <row r="134" spans="1:5" ht="13.15" customHeight="1" x14ac:dyDescent="0.15">
      <c r="A134" s="56"/>
      <c r="B134" s="57"/>
      <c r="C134" s="58"/>
      <c r="D134" s="57"/>
      <c r="E134" s="82"/>
    </row>
    <row r="135" spans="1:5" ht="13.15" customHeight="1" x14ac:dyDescent="0.15">
      <c r="A135" s="56" t="s">
        <v>164</v>
      </c>
      <c r="B135" s="57"/>
      <c r="C135" s="58">
        <v>-8704450939</v>
      </c>
      <c r="D135" s="57"/>
      <c r="E135" s="59">
        <v>-7695079035</v>
      </c>
    </row>
    <row r="136" spans="1:5" ht="13.15" customHeight="1" x14ac:dyDescent="0.15">
      <c r="A136" s="89" t="s">
        <v>165</v>
      </c>
      <c r="B136" s="57"/>
      <c r="C136" s="58">
        <v>0</v>
      </c>
      <c r="D136" s="57"/>
      <c r="E136" s="59">
        <v>0</v>
      </c>
    </row>
    <row r="137" spans="1:5" ht="13.15" customHeight="1" x14ac:dyDescent="0.15">
      <c r="A137" s="89" t="s">
        <v>166</v>
      </c>
      <c r="B137" s="57"/>
      <c r="C137" s="58">
        <v>-1892401290</v>
      </c>
      <c r="D137" s="57"/>
      <c r="E137" s="59">
        <v>-1521088041</v>
      </c>
    </row>
    <row r="138" spans="1:5" ht="13.15" customHeight="1" x14ac:dyDescent="0.15">
      <c r="A138" s="70" t="s">
        <v>167</v>
      </c>
      <c r="B138" s="57"/>
      <c r="C138" s="58">
        <v>0</v>
      </c>
      <c r="D138" s="57"/>
      <c r="E138" s="59">
        <v>0</v>
      </c>
    </row>
    <row r="139" spans="1:5" ht="13.15" customHeight="1" x14ac:dyDescent="0.15">
      <c r="A139" s="70" t="s">
        <v>168</v>
      </c>
      <c r="B139" s="57"/>
      <c r="C139" s="58">
        <v>-6812049649</v>
      </c>
      <c r="D139" s="57"/>
      <c r="E139" s="59">
        <v>-6173990994</v>
      </c>
    </row>
    <row r="140" spans="1:5" ht="17.100000000000001" customHeight="1" x14ac:dyDescent="0.15">
      <c r="A140" s="77" t="s">
        <v>169</v>
      </c>
      <c r="B140" s="57"/>
      <c r="C140" s="78">
        <v>124511055516</v>
      </c>
      <c r="D140" s="57"/>
      <c r="E140" s="79">
        <v>120738821937</v>
      </c>
    </row>
    <row r="141" spans="1:5" ht="13.15" customHeight="1" x14ac:dyDescent="0.15">
      <c r="A141" s="86"/>
      <c r="B141" s="57"/>
      <c r="C141" s="58"/>
      <c r="D141" s="57"/>
      <c r="E141" s="59"/>
    </row>
    <row r="142" spans="1:5" ht="17.100000000000001" customHeight="1" x14ac:dyDescent="0.15">
      <c r="A142" s="77" t="s">
        <v>170</v>
      </c>
      <c r="B142" s="57"/>
      <c r="C142" s="90">
        <v>136603400444</v>
      </c>
      <c r="D142" s="57"/>
      <c r="E142" s="91">
        <v>136650208857</v>
      </c>
    </row>
    <row r="143" spans="1:5" ht="13.15" customHeight="1" thickBot="1" x14ac:dyDescent="0.2">
      <c r="A143" s="92"/>
      <c r="B143" s="93"/>
      <c r="C143" s="94"/>
      <c r="D143" s="93"/>
      <c r="E143" s="95"/>
    </row>
    <row r="144" spans="1:5" ht="14.1" customHeight="1" x14ac:dyDescent="0.15"/>
    <row r="145" spans="3:5" ht="14.1" customHeight="1" x14ac:dyDescent="0.15">
      <c r="C145" s="96"/>
      <c r="E145" s="96"/>
    </row>
    <row r="146" spans="3:5" ht="14.1" customHeight="1" x14ac:dyDescent="0.15">
      <c r="C146" s="69"/>
      <c r="E146" s="69"/>
    </row>
    <row r="147" spans="3:5" ht="14.1" customHeight="1" x14ac:dyDescent="0.15">
      <c r="C147" s="48" t="b">
        <f>C142=C140+C109</f>
        <v>1</v>
      </c>
    </row>
    <row r="148" spans="3:5" ht="14.1" customHeight="1" x14ac:dyDescent="0.15">
      <c r="C148" s="97">
        <f>C82-C142</f>
        <v>0</v>
      </c>
      <c r="E148" s="97"/>
    </row>
    <row r="149" spans="3:5" ht="14.1" customHeight="1" x14ac:dyDescent="0.15">
      <c r="C149" s="96"/>
      <c r="E149" s="96"/>
    </row>
    <row r="150" spans="3:5" ht="14.1" customHeight="1" x14ac:dyDescent="0.15"/>
    <row r="151" spans="3:5" ht="14.1" customHeight="1" x14ac:dyDescent="0.15"/>
    <row r="152" spans="3:5" ht="14.1" customHeight="1" x14ac:dyDescent="0.15"/>
  </sheetData>
  <mergeCells count="3">
    <mergeCell ref="A8:A9"/>
    <mergeCell ref="B8:C9"/>
    <mergeCell ref="D8:E9"/>
  </mergeCells>
  <phoneticPr fontId="4" type="noConversion"/>
  <printOptions gridLinesSet="0"/>
  <pageMargins left="0.47" right="0.48" top="0.97" bottom="0.68" header="0.5" footer="0.5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Normal="100" workbookViewId="0">
      <pane xSplit="1" ySplit="11" topLeftCell="B12" activePane="bottomRight" state="frozen"/>
      <selection activeCell="C30" sqref="C30"/>
      <selection pane="topRight" activeCell="C30" sqref="C30"/>
      <selection pane="bottomLeft" activeCell="C30" sqref="C30"/>
      <selection pane="bottomRight" activeCell="D19" sqref="D19"/>
    </sheetView>
  </sheetViews>
  <sheetFormatPr defaultRowHeight="14.25" x14ac:dyDescent="0.15"/>
  <cols>
    <col min="1" max="1" width="29.25" style="48" customWidth="1"/>
    <col min="2" max="2" width="16.125" style="48" hidden="1" customWidth="1"/>
    <col min="3" max="3" width="14.125" style="48" hidden="1" customWidth="1"/>
    <col min="4" max="4" width="15.125" style="48" bestFit="1" customWidth="1"/>
    <col min="5" max="5" width="14.125" style="48" bestFit="1" customWidth="1"/>
    <col min="6" max="6" width="15.125" style="48" hidden="1" customWidth="1"/>
    <col min="7" max="7" width="14.125" style="48" hidden="1" customWidth="1"/>
    <col min="8" max="8" width="14.375" style="48" bestFit="1" customWidth="1"/>
    <col min="9" max="9" width="14.125" style="48" bestFit="1" customWidth="1"/>
    <col min="10" max="10" width="14.125" style="48" customWidth="1"/>
    <col min="11" max="249" width="9" style="48"/>
    <col min="250" max="250" width="29.25" style="48" customWidth="1"/>
    <col min="251" max="252" width="0" style="48" hidden="1" customWidth="1"/>
    <col min="253" max="253" width="15.125" style="48" bestFit="1" customWidth="1"/>
    <col min="254" max="254" width="14.125" style="48" bestFit="1" customWidth="1"/>
    <col min="255" max="256" width="0" style="48" hidden="1" customWidth="1"/>
    <col min="257" max="257" width="14.375" style="48" bestFit="1" customWidth="1"/>
    <col min="258" max="258" width="14.125" style="48" bestFit="1" customWidth="1"/>
    <col min="259" max="259" width="14.125" style="48" customWidth="1"/>
    <col min="260" max="260" width="15.125" style="48" customWidth="1"/>
    <col min="261" max="261" width="15.5" style="48" customWidth="1"/>
    <col min="262" max="262" width="12.75" style="48" bestFit="1" customWidth="1"/>
    <col min="263" max="505" width="9" style="48"/>
    <col min="506" max="506" width="29.25" style="48" customWidth="1"/>
    <col min="507" max="508" width="0" style="48" hidden="1" customWidth="1"/>
    <col min="509" max="509" width="15.125" style="48" bestFit="1" customWidth="1"/>
    <col min="510" max="510" width="14.125" style="48" bestFit="1" customWidth="1"/>
    <col min="511" max="512" width="0" style="48" hidden="1" customWidth="1"/>
    <col min="513" max="513" width="14.375" style="48" bestFit="1" customWidth="1"/>
    <col min="514" max="514" width="14.125" style="48" bestFit="1" customWidth="1"/>
    <col min="515" max="515" width="14.125" style="48" customWidth="1"/>
    <col min="516" max="516" width="15.125" style="48" customWidth="1"/>
    <col min="517" max="517" width="15.5" style="48" customWidth="1"/>
    <col min="518" max="518" width="12.75" style="48" bestFit="1" customWidth="1"/>
    <col min="519" max="761" width="9" style="48"/>
    <col min="762" max="762" width="29.25" style="48" customWidth="1"/>
    <col min="763" max="764" width="0" style="48" hidden="1" customWidth="1"/>
    <col min="765" max="765" width="15.125" style="48" bestFit="1" customWidth="1"/>
    <col min="766" max="766" width="14.125" style="48" bestFit="1" customWidth="1"/>
    <col min="767" max="768" width="0" style="48" hidden="1" customWidth="1"/>
    <col min="769" max="769" width="14.375" style="48" bestFit="1" customWidth="1"/>
    <col min="770" max="770" width="14.125" style="48" bestFit="1" customWidth="1"/>
    <col min="771" max="771" width="14.125" style="48" customWidth="1"/>
    <col min="772" max="772" width="15.125" style="48" customWidth="1"/>
    <col min="773" max="773" width="15.5" style="48" customWidth="1"/>
    <col min="774" max="774" width="12.75" style="48" bestFit="1" customWidth="1"/>
    <col min="775" max="1017" width="9" style="48"/>
    <col min="1018" max="1018" width="29.25" style="48" customWidth="1"/>
    <col min="1019" max="1020" width="0" style="48" hidden="1" customWidth="1"/>
    <col min="1021" max="1021" width="15.125" style="48" bestFit="1" customWidth="1"/>
    <col min="1022" max="1022" width="14.125" style="48" bestFit="1" customWidth="1"/>
    <col min="1023" max="1024" width="0" style="48" hidden="1" customWidth="1"/>
    <col min="1025" max="1025" width="14.375" style="48" bestFit="1" customWidth="1"/>
    <col min="1026" max="1026" width="14.125" style="48" bestFit="1" customWidth="1"/>
    <col min="1027" max="1027" width="14.125" style="48" customWidth="1"/>
    <col min="1028" max="1028" width="15.125" style="48" customWidth="1"/>
    <col min="1029" max="1029" width="15.5" style="48" customWidth="1"/>
    <col min="1030" max="1030" width="12.75" style="48" bestFit="1" customWidth="1"/>
    <col min="1031" max="1273" width="9" style="48"/>
    <col min="1274" max="1274" width="29.25" style="48" customWidth="1"/>
    <col min="1275" max="1276" width="0" style="48" hidden="1" customWidth="1"/>
    <col min="1277" max="1277" width="15.125" style="48" bestFit="1" customWidth="1"/>
    <col min="1278" max="1278" width="14.125" style="48" bestFit="1" customWidth="1"/>
    <col min="1279" max="1280" width="0" style="48" hidden="1" customWidth="1"/>
    <col min="1281" max="1281" width="14.375" style="48" bestFit="1" customWidth="1"/>
    <col min="1282" max="1282" width="14.125" style="48" bestFit="1" customWidth="1"/>
    <col min="1283" max="1283" width="14.125" style="48" customWidth="1"/>
    <col min="1284" max="1284" width="15.125" style="48" customWidth="1"/>
    <col min="1285" max="1285" width="15.5" style="48" customWidth="1"/>
    <col min="1286" max="1286" width="12.75" style="48" bestFit="1" customWidth="1"/>
    <col min="1287" max="1529" width="9" style="48"/>
    <col min="1530" max="1530" width="29.25" style="48" customWidth="1"/>
    <col min="1531" max="1532" width="0" style="48" hidden="1" customWidth="1"/>
    <col min="1533" max="1533" width="15.125" style="48" bestFit="1" customWidth="1"/>
    <col min="1534" max="1534" width="14.125" style="48" bestFit="1" customWidth="1"/>
    <col min="1535" max="1536" width="0" style="48" hidden="1" customWidth="1"/>
    <col min="1537" max="1537" width="14.375" style="48" bestFit="1" customWidth="1"/>
    <col min="1538" max="1538" width="14.125" style="48" bestFit="1" customWidth="1"/>
    <col min="1539" max="1539" width="14.125" style="48" customWidth="1"/>
    <col min="1540" max="1540" width="15.125" style="48" customWidth="1"/>
    <col min="1541" max="1541" width="15.5" style="48" customWidth="1"/>
    <col min="1542" max="1542" width="12.75" style="48" bestFit="1" customWidth="1"/>
    <col min="1543" max="1785" width="9" style="48"/>
    <col min="1786" max="1786" width="29.25" style="48" customWidth="1"/>
    <col min="1787" max="1788" width="0" style="48" hidden="1" customWidth="1"/>
    <col min="1789" max="1789" width="15.125" style="48" bestFit="1" customWidth="1"/>
    <col min="1790" max="1790" width="14.125" style="48" bestFit="1" customWidth="1"/>
    <col min="1791" max="1792" width="0" style="48" hidden="1" customWidth="1"/>
    <col min="1793" max="1793" width="14.375" style="48" bestFit="1" customWidth="1"/>
    <col min="1794" max="1794" width="14.125" style="48" bestFit="1" customWidth="1"/>
    <col min="1795" max="1795" width="14.125" style="48" customWidth="1"/>
    <col min="1796" max="1796" width="15.125" style="48" customWidth="1"/>
    <col min="1797" max="1797" width="15.5" style="48" customWidth="1"/>
    <col min="1798" max="1798" width="12.75" style="48" bestFit="1" customWidth="1"/>
    <col min="1799" max="2041" width="9" style="48"/>
    <col min="2042" max="2042" width="29.25" style="48" customWidth="1"/>
    <col min="2043" max="2044" width="0" style="48" hidden="1" customWidth="1"/>
    <col min="2045" max="2045" width="15.125" style="48" bestFit="1" customWidth="1"/>
    <col min="2046" max="2046" width="14.125" style="48" bestFit="1" customWidth="1"/>
    <col min="2047" max="2048" width="0" style="48" hidden="1" customWidth="1"/>
    <col min="2049" max="2049" width="14.375" style="48" bestFit="1" customWidth="1"/>
    <col min="2050" max="2050" width="14.125" style="48" bestFit="1" customWidth="1"/>
    <col min="2051" max="2051" width="14.125" style="48" customWidth="1"/>
    <col min="2052" max="2052" width="15.125" style="48" customWidth="1"/>
    <col min="2053" max="2053" width="15.5" style="48" customWidth="1"/>
    <col min="2054" max="2054" width="12.75" style="48" bestFit="1" customWidth="1"/>
    <col min="2055" max="2297" width="9" style="48"/>
    <col min="2298" max="2298" width="29.25" style="48" customWidth="1"/>
    <col min="2299" max="2300" width="0" style="48" hidden="1" customWidth="1"/>
    <col min="2301" max="2301" width="15.125" style="48" bestFit="1" customWidth="1"/>
    <col min="2302" max="2302" width="14.125" style="48" bestFit="1" customWidth="1"/>
    <col min="2303" max="2304" width="0" style="48" hidden="1" customWidth="1"/>
    <col min="2305" max="2305" width="14.375" style="48" bestFit="1" customWidth="1"/>
    <col min="2306" max="2306" width="14.125" style="48" bestFit="1" customWidth="1"/>
    <col min="2307" max="2307" width="14.125" style="48" customWidth="1"/>
    <col min="2308" max="2308" width="15.125" style="48" customWidth="1"/>
    <col min="2309" max="2309" width="15.5" style="48" customWidth="1"/>
    <col min="2310" max="2310" width="12.75" style="48" bestFit="1" customWidth="1"/>
    <col min="2311" max="2553" width="9" style="48"/>
    <col min="2554" max="2554" width="29.25" style="48" customWidth="1"/>
    <col min="2555" max="2556" width="0" style="48" hidden="1" customWidth="1"/>
    <col min="2557" max="2557" width="15.125" style="48" bestFit="1" customWidth="1"/>
    <col min="2558" max="2558" width="14.125" style="48" bestFit="1" customWidth="1"/>
    <col min="2559" max="2560" width="0" style="48" hidden="1" customWidth="1"/>
    <col min="2561" max="2561" width="14.375" style="48" bestFit="1" customWidth="1"/>
    <col min="2562" max="2562" width="14.125" style="48" bestFit="1" customWidth="1"/>
    <col min="2563" max="2563" width="14.125" style="48" customWidth="1"/>
    <col min="2564" max="2564" width="15.125" style="48" customWidth="1"/>
    <col min="2565" max="2565" width="15.5" style="48" customWidth="1"/>
    <col min="2566" max="2566" width="12.75" style="48" bestFit="1" customWidth="1"/>
    <col min="2567" max="2809" width="9" style="48"/>
    <col min="2810" max="2810" width="29.25" style="48" customWidth="1"/>
    <col min="2811" max="2812" width="0" style="48" hidden="1" customWidth="1"/>
    <col min="2813" max="2813" width="15.125" style="48" bestFit="1" customWidth="1"/>
    <col min="2814" max="2814" width="14.125" style="48" bestFit="1" customWidth="1"/>
    <col min="2815" max="2816" width="0" style="48" hidden="1" customWidth="1"/>
    <col min="2817" max="2817" width="14.375" style="48" bestFit="1" customWidth="1"/>
    <col min="2818" max="2818" width="14.125" style="48" bestFit="1" customWidth="1"/>
    <col min="2819" max="2819" width="14.125" style="48" customWidth="1"/>
    <col min="2820" max="2820" width="15.125" style="48" customWidth="1"/>
    <col min="2821" max="2821" width="15.5" style="48" customWidth="1"/>
    <col min="2822" max="2822" width="12.75" style="48" bestFit="1" customWidth="1"/>
    <col min="2823" max="3065" width="9" style="48"/>
    <col min="3066" max="3066" width="29.25" style="48" customWidth="1"/>
    <col min="3067" max="3068" width="0" style="48" hidden="1" customWidth="1"/>
    <col min="3069" max="3069" width="15.125" style="48" bestFit="1" customWidth="1"/>
    <col min="3070" max="3070" width="14.125" style="48" bestFit="1" customWidth="1"/>
    <col min="3071" max="3072" width="0" style="48" hidden="1" customWidth="1"/>
    <col min="3073" max="3073" width="14.375" style="48" bestFit="1" customWidth="1"/>
    <col min="3074" max="3074" width="14.125" style="48" bestFit="1" customWidth="1"/>
    <col min="3075" max="3075" width="14.125" style="48" customWidth="1"/>
    <col min="3076" max="3076" width="15.125" style="48" customWidth="1"/>
    <col min="3077" max="3077" width="15.5" style="48" customWidth="1"/>
    <col min="3078" max="3078" width="12.75" style="48" bestFit="1" customWidth="1"/>
    <col min="3079" max="3321" width="9" style="48"/>
    <col min="3322" max="3322" width="29.25" style="48" customWidth="1"/>
    <col min="3323" max="3324" width="0" style="48" hidden="1" customWidth="1"/>
    <col min="3325" max="3325" width="15.125" style="48" bestFit="1" customWidth="1"/>
    <col min="3326" max="3326" width="14.125" style="48" bestFit="1" customWidth="1"/>
    <col min="3327" max="3328" width="0" style="48" hidden="1" customWidth="1"/>
    <col min="3329" max="3329" width="14.375" style="48" bestFit="1" customWidth="1"/>
    <col min="3330" max="3330" width="14.125" style="48" bestFit="1" customWidth="1"/>
    <col min="3331" max="3331" width="14.125" style="48" customWidth="1"/>
    <col min="3332" max="3332" width="15.125" style="48" customWidth="1"/>
    <col min="3333" max="3333" width="15.5" style="48" customWidth="1"/>
    <col min="3334" max="3334" width="12.75" style="48" bestFit="1" customWidth="1"/>
    <col min="3335" max="3577" width="9" style="48"/>
    <col min="3578" max="3578" width="29.25" style="48" customWidth="1"/>
    <col min="3579" max="3580" width="0" style="48" hidden="1" customWidth="1"/>
    <col min="3581" max="3581" width="15.125" style="48" bestFit="1" customWidth="1"/>
    <col min="3582" max="3582" width="14.125" style="48" bestFit="1" customWidth="1"/>
    <col min="3583" max="3584" width="0" style="48" hidden="1" customWidth="1"/>
    <col min="3585" max="3585" width="14.375" style="48" bestFit="1" customWidth="1"/>
    <col min="3586" max="3586" width="14.125" style="48" bestFit="1" customWidth="1"/>
    <col min="3587" max="3587" width="14.125" style="48" customWidth="1"/>
    <col min="3588" max="3588" width="15.125" style="48" customWidth="1"/>
    <col min="3589" max="3589" width="15.5" style="48" customWidth="1"/>
    <col min="3590" max="3590" width="12.75" style="48" bestFit="1" customWidth="1"/>
    <col min="3591" max="3833" width="9" style="48"/>
    <col min="3834" max="3834" width="29.25" style="48" customWidth="1"/>
    <col min="3835" max="3836" width="0" style="48" hidden="1" customWidth="1"/>
    <col min="3837" max="3837" width="15.125" style="48" bestFit="1" customWidth="1"/>
    <col min="3838" max="3838" width="14.125" style="48" bestFit="1" customWidth="1"/>
    <col min="3839" max="3840" width="0" style="48" hidden="1" customWidth="1"/>
    <col min="3841" max="3841" width="14.375" style="48" bestFit="1" customWidth="1"/>
    <col min="3842" max="3842" width="14.125" style="48" bestFit="1" customWidth="1"/>
    <col min="3843" max="3843" width="14.125" style="48" customWidth="1"/>
    <col min="3844" max="3844" width="15.125" style="48" customWidth="1"/>
    <col min="3845" max="3845" width="15.5" style="48" customWidth="1"/>
    <col min="3846" max="3846" width="12.75" style="48" bestFit="1" customWidth="1"/>
    <col min="3847" max="4089" width="9" style="48"/>
    <col min="4090" max="4090" width="29.25" style="48" customWidth="1"/>
    <col min="4091" max="4092" width="0" style="48" hidden="1" customWidth="1"/>
    <col min="4093" max="4093" width="15.125" style="48" bestFit="1" customWidth="1"/>
    <col min="4094" max="4094" width="14.125" style="48" bestFit="1" customWidth="1"/>
    <col min="4095" max="4096" width="0" style="48" hidden="1" customWidth="1"/>
    <col min="4097" max="4097" width="14.375" style="48" bestFit="1" customWidth="1"/>
    <col min="4098" max="4098" width="14.125" style="48" bestFit="1" customWidth="1"/>
    <col min="4099" max="4099" width="14.125" style="48" customWidth="1"/>
    <col min="4100" max="4100" width="15.125" style="48" customWidth="1"/>
    <col min="4101" max="4101" width="15.5" style="48" customWidth="1"/>
    <col min="4102" max="4102" width="12.75" style="48" bestFit="1" customWidth="1"/>
    <col min="4103" max="4345" width="9" style="48"/>
    <col min="4346" max="4346" width="29.25" style="48" customWidth="1"/>
    <col min="4347" max="4348" width="0" style="48" hidden="1" customWidth="1"/>
    <col min="4349" max="4349" width="15.125" style="48" bestFit="1" customWidth="1"/>
    <col min="4350" max="4350" width="14.125" style="48" bestFit="1" customWidth="1"/>
    <col min="4351" max="4352" width="0" style="48" hidden="1" customWidth="1"/>
    <col min="4353" max="4353" width="14.375" style="48" bestFit="1" customWidth="1"/>
    <col min="4354" max="4354" width="14.125" style="48" bestFit="1" customWidth="1"/>
    <col min="4355" max="4355" width="14.125" style="48" customWidth="1"/>
    <col min="4356" max="4356" width="15.125" style="48" customWidth="1"/>
    <col min="4357" max="4357" width="15.5" style="48" customWidth="1"/>
    <col min="4358" max="4358" width="12.75" style="48" bestFit="1" customWidth="1"/>
    <col min="4359" max="4601" width="9" style="48"/>
    <col min="4602" max="4602" width="29.25" style="48" customWidth="1"/>
    <col min="4603" max="4604" width="0" style="48" hidden="1" customWidth="1"/>
    <col min="4605" max="4605" width="15.125" style="48" bestFit="1" customWidth="1"/>
    <col min="4606" max="4606" width="14.125" style="48" bestFit="1" customWidth="1"/>
    <col min="4607" max="4608" width="0" style="48" hidden="1" customWidth="1"/>
    <col min="4609" max="4609" width="14.375" style="48" bestFit="1" customWidth="1"/>
    <col min="4610" max="4610" width="14.125" style="48" bestFit="1" customWidth="1"/>
    <col min="4611" max="4611" width="14.125" style="48" customWidth="1"/>
    <col min="4612" max="4612" width="15.125" style="48" customWidth="1"/>
    <col min="4613" max="4613" width="15.5" style="48" customWidth="1"/>
    <col min="4614" max="4614" width="12.75" style="48" bestFit="1" customWidth="1"/>
    <col min="4615" max="4857" width="9" style="48"/>
    <col min="4858" max="4858" width="29.25" style="48" customWidth="1"/>
    <col min="4859" max="4860" width="0" style="48" hidden="1" customWidth="1"/>
    <col min="4861" max="4861" width="15.125" style="48" bestFit="1" customWidth="1"/>
    <col min="4862" max="4862" width="14.125" style="48" bestFit="1" customWidth="1"/>
    <col min="4863" max="4864" width="0" style="48" hidden="1" customWidth="1"/>
    <col min="4865" max="4865" width="14.375" style="48" bestFit="1" customWidth="1"/>
    <col min="4866" max="4866" width="14.125" style="48" bestFit="1" customWidth="1"/>
    <col min="4867" max="4867" width="14.125" style="48" customWidth="1"/>
    <col min="4868" max="4868" width="15.125" style="48" customWidth="1"/>
    <col min="4869" max="4869" width="15.5" style="48" customWidth="1"/>
    <col min="4870" max="4870" width="12.75" style="48" bestFit="1" customWidth="1"/>
    <col min="4871" max="5113" width="9" style="48"/>
    <col min="5114" max="5114" width="29.25" style="48" customWidth="1"/>
    <col min="5115" max="5116" width="0" style="48" hidden="1" customWidth="1"/>
    <col min="5117" max="5117" width="15.125" style="48" bestFit="1" customWidth="1"/>
    <col min="5118" max="5118" width="14.125" style="48" bestFit="1" customWidth="1"/>
    <col min="5119" max="5120" width="0" style="48" hidden="1" customWidth="1"/>
    <col min="5121" max="5121" width="14.375" style="48" bestFit="1" customWidth="1"/>
    <col min="5122" max="5122" width="14.125" style="48" bestFit="1" customWidth="1"/>
    <col min="5123" max="5123" width="14.125" style="48" customWidth="1"/>
    <col min="5124" max="5124" width="15.125" style="48" customWidth="1"/>
    <col min="5125" max="5125" width="15.5" style="48" customWidth="1"/>
    <col min="5126" max="5126" width="12.75" style="48" bestFit="1" customWidth="1"/>
    <col min="5127" max="5369" width="9" style="48"/>
    <col min="5370" max="5370" width="29.25" style="48" customWidth="1"/>
    <col min="5371" max="5372" width="0" style="48" hidden="1" customWidth="1"/>
    <col min="5373" max="5373" width="15.125" style="48" bestFit="1" customWidth="1"/>
    <col min="5374" max="5374" width="14.125" style="48" bestFit="1" customWidth="1"/>
    <col min="5375" max="5376" width="0" style="48" hidden="1" customWidth="1"/>
    <col min="5377" max="5377" width="14.375" style="48" bestFit="1" customWidth="1"/>
    <col min="5378" max="5378" width="14.125" style="48" bestFit="1" customWidth="1"/>
    <col min="5379" max="5379" width="14.125" style="48" customWidth="1"/>
    <col min="5380" max="5380" width="15.125" style="48" customWidth="1"/>
    <col min="5381" max="5381" width="15.5" style="48" customWidth="1"/>
    <col min="5382" max="5382" width="12.75" style="48" bestFit="1" customWidth="1"/>
    <col min="5383" max="5625" width="9" style="48"/>
    <col min="5626" max="5626" width="29.25" style="48" customWidth="1"/>
    <col min="5627" max="5628" width="0" style="48" hidden="1" customWidth="1"/>
    <col min="5629" max="5629" width="15.125" style="48" bestFit="1" customWidth="1"/>
    <col min="5630" max="5630" width="14.125" style="48" bestFit="1" customWidth="1"/>
    <col min="5631" max="5632" width="0" style="48" hidden="1" customWidth="1"/>
    <col min="5633" max="5633" width="14.375" style="48" bestFit="1" customWidth="1"/>
    <col min="5634" max="5634" width="14.125" style="48" bestFit="1" customWidth="1"/>
    <col min="5635" max="5635" width="14.125" style="48" customWidth="1"/>
    <col min="5636" max="5636" width="15.125" style="48" customWidth="1"/>
    <col min="5637" max="5637" width="15.5" style="48" customWidth="1"/>
    <col min="5638" max="5638" width="12.75" style="48" bestFit="1" customWidth="1"/>
    <col min="5639" max="5881" width="9" style="48"/>
    <col min="5882" max="5882" width="29.25" style="48" customWidth="1"/>
    <col min="5883" max="5884" width="0" style="48" hidden="1" customWidth="1"/>
    <col min="5885" max="5885" width="15.125" style="48" bestFit="1" customWidth="1"/>
    <col min="5886" max="5886" width="14.125" style="48" bestFit="1" customWidth="1"/>
    <col min="5887" max="5888" width="0" style="48" hidden="1" customWidth="1"/>
    <col min="5889" max="5889" width="14.375" style="48" bestFit="1" customWidth="1"/>
    <col min="5890" max="5890" width="14.125" style="48" bestFit="1" customWidth="1"/>
    <col min="5891" max="5891" width="14.125" style="48" customWidth="1"/>
    <col min="5892" max="5892" width="15.125" style="48" customWidth="1"/>
    <col min="5893" max="5893" width="15.5" style="48" customWidth="1"/>
    <col min="5894" max="5894" width="12.75" style="48" bestFit="1" customWidth="1"/>
    <col min="5895" max="6137" width="9" style="48"/>
    <col min="6138" max="6138" width="29.25" style="48" customWidth="1"/>
    <col min="6139" max="6140" width="0" style="48" hidden="1" customWidth="1"/>
    <col min="6141" max="6141" width="15.125" style="48" bestFit="1" customWidth="1"/>
    <col min="6142" max="6142" width="14.125" style="48" bestFit="1" customWidth="1"/>
    <col min="6143" max="6144" width="0" style="48" hidden="1" customWidth="1"/>
    <col min="6145" max="6145" width="14.375" style="48" bestFit="1" customWidth="1"/>
    <col min="6146" max="6146" width="14.125" style="48" bestFit="1" customWidth="1"/>
    <col min="6147" max="6147" width="14.125" style="48" customWidth="1"/>
    <col min="6148" max="6148" width="15.125" style="48" customWidth="1"/>
    <col min="6149" max="6149" width="15.5" style="48" customWidth="1"/>
    <col min="6150" max="6150" width="12.75" style="48" bestFit="1" customWidth="1"/>
    <col min="6151" max="6393" width="9" style="48"/>
    <col min="6394" max="6394" width="29.25" style="48" customWidth="1"/>
    <col min="6395" max="6396" width="0" style="48" hidden="1" customWidth="1"/>
    <col min="6397" max="6397" width="15.125" style="48" bestFit="1" customWidth="1"/>
    <col min="6398" max="6398" width="14.125" style="48" bestFit="1" customWidth="1"/>
    <col min="6399" max="6400" width="0" style="48" hidden="1" customWidth="1"/>
    <col min="6401" max="6401" width="14.375" style="48" bestFit="1" customWidth="1"/>
    <col min="6402" max="6402" width="14.125" style="48" bestFit="1" customWidth="1"/>
    <col min="6403" max="6403" width="14.125" style="48" customWidth="1"/>
    <col min="6404" max="6404" width="15.125" style="48" customWidth="1"/>
    <col min="6405" max="6405" width="15.5" style="48" customWidth="1"/>
    <col min="6406" max="6406" width="12.75" style="48" bestFit="1" customWidth="1"/>
    <col min="6407" max="6649" width="9" style="48"/>
    <col min="6650" max="6650" width="29.25" style="48" customWidth="1"/>
    <col min="6651" max="6652" width="0" style="48" hidden="1" customWidth="1"/>
    <col min="6653" max="6653" width="15.125" style="48" bestFit="1" customWidth="1"/>
    <col min="6654" max="6654" width="14.125" style="48" bestFit="1" customWidth="1"/>
    <col min="6655" max="6656" width="0" style="48" hidden="1" customWidth="1"/>
    <col min="6657" max="6657" width="14.375" style="48" bestFit="1" customWidth="1"/>
    <col min="6658" max="6658" width="14.125" style="48" bestFit="1" customWidth="1"/>
    <col min="6659" max="6659" width="14.125" style="48" customWidth="1"/>
    <col min="6660" max="6660" width="15.125" style="48" customWidth="1"/>
    <col min="6661" max="6661" width="15.5" style="48" customWidth="1"/>
    <col min="6662" max="6662" width="12.75" style="48" bestFit="1" customWidth="1"/>
    <col min="6663" max="6905" width="9" style="48"/>
    <col min="6906" max="6906" width="29.25" style="48" customWidth="1"/>
    <col min="6907" max="6908" width="0" style="48" hidden="1" customWidth="1"/>
    <col min="6909" max="6909" width="15.125" style="48" bestFit="1" customWidth="1"/>
    <col min="6910" max="6910" width="14.125" style="48" bestFit="1" customWidth="1"/>
    <col min="6911" max="6912" width="0" style="48" hidden="1" customWidth="1"/>
    <col min="6913" max="6913" width="14.375" style="48" bestFit="1" customWidth="1"/>
    <col min="6914" max="6914" width="14.125" style="48" bestFit="1" customWidth="1"/>
    <col min="6915" max="6915" width="14.125" style="48" customWidth="1"/>
    <col min="6916" max="6916" width="15.125" style="48" customWidth="1"/>
    <col min="6917" max="6917" width="15.5" style="48" customWidth="1"/>
    <col min="6918" max="6918" width="12.75" style="48" bestFit="1" customWidth="1"/>
    <col min="6919" max="7161" width="9" style="48"/>
    <col min="7162" max="7162" width="29.25" style="48" customWidth="1"/>
    <col min="7163" max="7164" width="0" style="48" hidden="1" customWidth="1"/>
    <col min="7165" max="7165" width="15.125" style="48" bestFit="1" customWidth="1"/>
    <col min="7166" max="7166" width="14.125" style="48" bestFit="1" customWidth="1"/>
    <col min="7167" max="7168" width="0" style="48" hidden="1" customWidth="1"/>
    <col min="7169" max="7169" width="14.375" style="48" bestFit="1" customWidth="1"/>
    <col min="7170" max="7170" width="14.125" style="48" bestFit="1" customWidth="1"/>
    <col min="7171" max="7171" width="14.125" style="48" customWidth="1"/>
    <col min="7172" max="7172" width="15.125" style="48" customWidth="1"/>
    <col min="7173" max="7173" width="15.5" style="48" customWidth="1"/>
    <col min="7174" max="7174" width="12.75" style="48" bestFit="1" customWidth="1"/>
    <col min="7175" max="7417" width="9" style="48"/>
    <col min="7418" max="7418" width="29.25" style="48" customWidth="1"/>
    <col min="7419" max="7420" width="0" style="48" hidden="1" customWidth="1"/>
    <col min="7421" max="7421" width="15.125" style="48" bestFit="1" customWidth="1"/>
    <col min="7422" max="7422" width="14.125" style="48" bestFit="1" customWidth="1"/>
    <col min="7423" max="7424" width="0" style="48" hidden="1" customWidth="1"/>
    <col min="7425" max="7425" width="14.375" style="48" bestFit="1" customWidth="1"/>
    <col min="7426" max="7426" width="14.125" style="48" bestFit="1" customWidth="1"/>
    <col min="7427" max="7427" width="14.125" style="48" customWidth="1"/>
    <col min="7428" max="7428" width="15.125" style="48" customWidth="1"/>
    <col min="7429" max="7429" width="15.5" style="48" customWidth="1"/>
    <col min="7430" max="7430" width="12.75" style="48" bestFit="1" customWidth="1"/>
    <col min="7431" max="7673" width="9" style="48"/>
    <col min="7674" max="7674" width="29.25" style="48" customWidth="1"/>
    <col min="7675" max="7676" width="0" style="48" hidden="1" customWidth="1"/>
    <col min="7677" max="7677" width="15.125" style="48" bestFit="1" customWidth="1"/>
    <col min="7678" max="7678" width="14.125" style="48" bestFit="1" customWidth="1"/>
    <col min="7679" max="7680" width="0" style="48" hidden="1" customWidth="1"/>
    <col min="7681" max="7681" width="14.375" style="48" bestFit="1" customWidth="1"/>
    <col min="7682" max="7682" width="14.125" style="48" bestFit="1" customWidth="1"/>
    <col min="7683" max="7683" width="14.125" style="48" customWidth="1"/>
    <col min="7684" max="7684" width="15.125" style="48" customWidth="1"/>
    <col min="7685" max="7685" width="15.5" style="48" customWidth="1"/>
    <col min="7686" max="7686" width="12.75" style="48" bestFit="1" customWidth="1"/>
    <col min="7687" max="7929" width="9" style="48"/>
    <col min="7930" max="7930" width="29.25" style="48" customWidth="1"/>
    <col min="7931" max="7932" width="0" style="48" hidden="1" customWidth="1"/>
    <col min="7933" max="7933" width="15.125" style="48" bestFit="1" customWidth="1"/>
    <col min="7934" max="7934" width="14.125" style="48" bestFit="1" customWidth="1"/>
    <col min="7935" max="7936" width="0" style="48" hidden="1" customWidth="1"/>
    <col min="7937" max="7937" width="14.375" style="48" bestFit="1" customWidth="1"/>
    <col min="7938" max="7938" width="14.125" style="48" bestFit="1" customWidth="1"/>
    <col min="7939" max="7939" width="14.125" style="48" customWidth="1"/>
    <col min="7940" max="7940" width="15.125" style="48" customWidth="1"/>
    <col min="7941" max="7941" width="15.5" style="48" customWidth="1"/>
    <col min="7942" max="7942" width="12.75" style="48" bestFit="1" customWidth="1"/>
    <col min="7943" max="8185" width="9" style="48"/>
    <col min="8186" max="8186" width="29.25" style="48" customWidth="1"/>
    <col min="8187" max="8188" width="0" style="48" hidden="1" customWidth="1"/>
    <col min="8189" max="8189" width="15.125" style="48" bestFit="1" customWidth="1"/>
    <col min="8190" max="8190" width="14.125" style="48" bestFit="1" customWidth="1"/>
    <col min="8191" max="8192" width="0" style="48" hidden="1" customWidth="1"/>
    <col min="8193" max="8193" width="14.375" style="48" bestFit="1" customWidth="1"/>
    <col min="8194" max="8194" width="14.125" style="48" bestFit="1" customWidth="1"/>
    <col min="8195" max="8195" width="14.125" style="48" customWidth="1"/>
    <col min="8196" max="8196" width="15.125" style="48" customWidth="1"/>
    <col min="8197" max="8197" width="15.5" style="48" customWidth="1"/>
    <col min="8198" max="8198" width="12.75" style="48" bestFit="1" customWidth="1"/>
    <col min="8199" max="8441" width="9" style="48"/>
    <col min="8442" max="8442" width="29.25" style="48" customWidth="1"/>
    <col min="8443" max="8444" width="0" style="48" hidden="1" customWidth="1"/>
    <col min="8445" max="8445" width="15.125" style="48" bestFit="1" customWidth="1"/>
    <col min="8446" max="8446" width="14.125" style="48" bestFit="1" customWidth="1"/>
    <col min="8447" max="8448" width="0" style="48" hidden="1" customWidth="1"/>
    <col min="8449" max="8449" width="14.375" style="48" bestFit="1" customWidth="1"/>
    <col min="8450" max="8450" width="14.125" style="48" bestFit="1" customWidth="1"/>
    <col min="8451" max="8451" width="14.125" style="48" customWidth="1"/>
    <col min="8452" max="8452" width="15.125" style="48" customWidth="1"/>
    <col min="8453" max="8453" width="15.5" style="48" customWidth="1"/>
    <col min="8454" max="8454" width="12.75" style="48" bestFit="1" customWidth="1"/>
    <col min="8455" max="8697" width="9" style="48"/>
    <col min="8698" max="8698" width="29.25" style="48" customWidth="1"/>
    <col min="8699" max="8700" width="0" style="48" hidden="1" customWidth="1"/>
    <col min="8701" max="8701" width="15.125" style="48" bestFit="1" customWidth="1"/>
    <col min="8702" max="8702" width="14.125" style="48" bestFit="1" customWidth="1"/>
    <col min="8703" max="8704" width="0" style="48" hidden="1" customWidth="1"/>
    <col min="8705" max="8705" width="14.375" style="48" bestFit="1" customWidth="1"/>
    <col min="8706" max="8706" width="14.125" style="48" bestFit="1" customWidth="1"/>
    <col min="8707" max="8707" width="14.125" style="48" customWidth="1"/>
    <col min="8708" max="8708" width="15.125" style="48" customWidth="1"/>
    <col min="8709" max="8709" width="15.5" style="48" customWidth="1"/>
    <col min="8710" max="8710" width="12.75" style="48" bestFit="1" customWidth="1"/>
    <col min="8711" max="8953" width="9" style="48"/>
    <col min="8954" max="8954" width="29.25" style="48" customWidth="1"/>
    <col min="8955" max="8956" width="0" style="48" hidden="1" customWidth="1"/>
    <col min="8957" max="8957" width="15.125" style="48" bestFit="1" customWidth="1"/>
    <col min="8958" max="8958" width="14.125" style="48" bestFit="1" customWidth="1"/>
    <col min="8959" max="8960" width="0" style="48" hidden="1" customWidth="1"/>
    <col min="8961" max="8961" width="14.375" style="48" bestFit="1" customWidth="1"/>
    <col min="8962" max="8962" width="14.125" style="48" bestFit="1" customWidth="1"/>
    <col min="8963" max="8963" width="14.125" style="48" customWidth="1"/>
    <col min="8964" max="8964" width="15.125" style="48" customWidth="1"/>
    <col min="8965" max="8965" width="15.5" style="48" customWidth="1"/>
    <col min="8966" max="8966" width="12.75" style="48" bestFit="1" customWidth="1"/>
    <col min="8967" max="9209" width="9" style="48"/>
    <col min="9210" max="9210" width="29.25" style="48" customWidth="1"/>
    <col min="9211" max="9212" width="0" style="48" hidden="1" customWidth="1"/>
    <col min="9213" max="9213" width="15.125" style="48" bestFit="1" customWidth="1"/>
    <col min="9214" max="9214" width="14.125" style="48" bestFit="1" customWidth="1"/>
    <col min="9215" max="9216" width="0" style="48" hidden="1" customWidth="1"/>
    <col min="9217" max="9217" width="14.375" style="48" bestFit="1" customWidth="1"/>
    <col min="9218" max="9218" width="14.125" style="48" bestFit="1" customWidth="1"/>
    <col min="9219" max="9219" width="14.125" style="48" customWidth="1"/>
    <col min="9220" max="9220" width="15.125" style="48" customWidth="1"/>
    <col min="9221" max="9221" width="15.5" style="48" customWidth="1"/>
    <col min="9222" max="9222" width="12.75" style="48" bestFit="1" customWidth="1"/>
    <col min="9223" max="9465" width="9" style="48"/>
    <col min="9466" max="9466" width="29.25" style="48" customWidth="1"/>
    <col min="9467" max="9468" width="0" style="48" hidden="1" customWidth="1"/>
    <col min="9469" max="9469" width="15.125" style="48" bestFit="1" customWidth="1"/>
    <col min="9470" max="9470" width="14.125" style="48" bestFit="1" customWidth="1"/>
    <col min="9471" max="9472" width="0" style="48" hidden="1" customWidth="1"/>
    <col min="9473" max="9473" width="14.375" style="48" bestFit="1" customWidth="1"/>
    <col min="9474" max="9474" width="14.125" style="48" bestFit="1" customWidth="1"/>
    <col min="9475" max="9475" width="14.125" style="48" customWidth="1"/>
    <col min="9476" max="9476" width="15.125" style="48" customWidth="1"/>
    <col min="9477" max="9477" width="15.5" style="48" customWidth="1"/>
    <col min="9478" max="9478" width="12.75" style="48" bestFit="1" customWidth="1"/>
    <col min="9479" max="9721" width="9" style="48"/>
    <col min="9722" max="9722" width="29.25" style="48" customWidth="1"/>
    <col min="9723" max="9724" width="0" style="48" hidden="1" customWidth="1"/>
    <col min="9725" max="9725" width="15.125" style="48" bestFit="1" customWidth="1"/>
    <col min="9726" max="9726" width="14.125" style="48" bestFit="1" customWidth="1"/>
    <col min="9727" max="9728" width="0" style="48" hidden="1" customWidth="1"/>
    <col min="9729" max="9729" width="14.375" style="48" bestFit="1" customWidth="1"/>
    <col min="9730" max="9730" width="14.125" style="48" bestFit="1" customWidth="1"/>
    <col min="9731" max="9731" width="14.125" style="48" customWidth="1"/>
    <col min="9732" max="9732" width="15.125" style="48" customWidth="1"/>
    <col min="9733" max="9733" width="15.5" style="48" customWidth="1"/>
    <col min="9734" max="9734" width="12.75" style="48" bestFit="1" customWidth="1"/>
    <col min="9735" max="9977" width="9" style="48"/>
    <col min="9978" max="9978" width="29.25" style="48" customWidth="1"/>
    <col min="9979" max="9980" width="0" style="48" hidden="1" customWidth="1"/>
    <col min="9981" max="9981" width="15.125" style="48" bestFit="1" customWidth="1"/>
    <col min="9982" max="9982" width="14.125" style="48" bestFit="1" customWidth="1"/>
    <col min="9983" max="9984" width="0" style="48" hidden="1" customWidth="1"/>
    <col min="9985" max="9985" width="14.375" style="48" bestFit="1" customWidth="1"/>
    <col min="9986" max="9986" width="14.125" style="48" bestFit="1" customWidth="1"/>
    <col min="9987" max="9987" width="14.125" style="48" customWidth="1"/>
    <col min="9988" max="9988" width="15.125" style="48" customWidth="1"/>
    <col min="9989" max="9989" width="15.5" style="48" customWidth="1"/>
    <col min="9990" max="9990" width="12.75" style="48" bestFit="1" customWidth="1"/>
    <col min="9991" max="10233" width="9" style="48"/>
    <col min="10234" max="10234" width="29.25" style="48" customWidth="1"/>
    <col min="10235" max="10236" width="0" style="48" hidden="1" customWidth="1"/>
    <col min="10237" max="10237" width="15.125" style="48" bestFit="1" customWidth="1"/>
    <col min="10238" max="10238" width="14.125" style="48" bestFit="1" customWidth="1"/>
    <col min="10239" max="10240" width="0" style="48" hidden="1" customWidth="1"/>
    <col min="10241" max="10241" width="14.375" style="48" bestFit="1" customWidth="1"/>
    <col min="10242" max="10242" width="14.125" style="48" bestFit="1" customWidth="1"/>
    <col min="10243" max="10243" width="14.125" style="48" customWidth="1"/>
    <col min="10244" max="10244" width="15.125" style="48" customWidth="1"/>
    <col min="10245" max="10245" width="15.5" style="48" customWidth="1"/>
    <col min="10246" max="10246" width="12.75" style="48" bestFit="1" customWidth="1"/>
    <col min="10247" max="10489" width="9" style="48"/>
    <col min="10490" max="10490" width="29.25" style="48" customWidth="1"/>
    <col min="10491" max="10492" width="0" style="48" hidden="1" customWidth="1"/>
    <col min="10493" max="10493" width="15.125" style="48" bestFit="1" customWidth="1"/>
    <col min="10494" max="10494" width="14.125" style="48" bestFit="1" customWidth="1"/>
    <col min="10495" max="10496" width="0" style="48" hidden="1" customWidth="1"/>
    <col min="10497" max="10497" width="14.375" style="48" bestFit="1" customWidth="1"/>
    <col min="10498" max="10498" width="14.125" style="48" bestFit="1" customWidth="1"/>
    <col min="10499" max="10499" width="14.125" style="48" customWidth="1"/>
    <col min="10500" max="10500" width="15.125" style="48" customWidth="1"/>
    <col min="10501" max="10501" width="15.5" style="48" customWidth="1"/>
    <col min="10502" max="10502" width="12.75" style="48" bestFit="1" customWidth="1"/>
    <col min="10503" max="10745" width="9" style="48"/>
    <col min="10746" max="10746" width="29.25" style="48" customWidth="1"/>
    <col min="10747" max="10748" width="0" style="48" hidden="1" customWidth="1"/>
    <col min="10749" max="10749" width="15.125" style="48" bestFit="1" customWidth="1"/>
    <col min="10750" max="10750" width="14.125" style="48" bestFit="1" customWidth="1"/>
    <col min="10751" max="10752" width="0" style="48" hidden="1" customWidth="1"/>
    <col min="10753" max="10753" width="14.375" style="48" bestFit="1" customWidth="1"/>
    <col min="10754" max="10754" width="14.125" style="48" bestFit="1" customWidth="1"/>
    <col min="10755" max="10755" width="14.125" style="48" customWidth="1"/>
    <col min="10756" max="10756" width="15.125" style="48" customWidth="1"/>
    <col min="10757" max="10757" width="15.5" style="48" customWidth="1"/>
    <col min="10758" max="10758" width="12.75" style="48" bestFit="1" customWidth="1"/>
    <col min="10759" max="11001" width="9" style="48"/>
    <col min="11002" max="11002" width="29.25" style="48" customWidth="1"/>
    <col min="11003" max="11004" width="0" style="48" hidden="1" customWidth="1"/>
    <col min="11005" max="11005" width="15.125" style="48" bestFit="1" customWidth="1"/>
    <col min="11006" max="11006" width="14.125" style="48" bestFit="1" customWidth="1"/>
    <col min="11007" max="11008" width="0" style="48" hidden="1" customWidth="1"/>
    <col min="11009" max="11009" width="14.375" style="48" bestFit="1" customWidth="1"/>
    <col min="11010" max="11010" width="14.125" style="48" bestFit="1" customWidth="1"/>
    <col min="11011" max="11011" width="14.125" style="48" customWidth="1"/>
    <col min="11012" max="11012" width="15.125" style="48" customWidth="1"/>
    <col min="11013" max="11013" width="15.5" style="48" customWidth="1"/>
    <col min="11014" max="11014" width="12.75" style="48" bestFit="1" customWidth="1"/>
    <col min="11015" max="11257" width="9" style="48"/>
    <col min="11258" max="11258" width="29.25" style="48" customWidth="1"/>
    <col min="11259" max="11260" width="0" style="48" hidden="1" customWidth="1"/>
    <col min="11261" max="11261" width="15.125" style="48" bestFit="1" customWidth="1"/>
    <col min="11262" max="11262" width="14.125" style="48" bestFit="1" customWidth="1"/>
    <col min="11263" max="11264" width="0" style="48" hidden="1" customWidth="1"/>
    <col min="11265" max="11265" width="14.375" style="48" bestFit="1" customWidth="1"/>
    <col min="11266" max="11266" width="14.125" style="48" bestFit="1" customWidth="1"/>
    <col min="11267" max="11267" width="14.125" style="48" customWidth="1"/>
    <col min="11268" max="11268" width="15.125" style="48" customWidth="1"/>
    <col min="11269" max="11269" width="15.5" style="48" customWidth="1"/>
    <col min="11270" max="11270" width="12.75" style="48" bestFit="1" customWidth="1"/>
    <col min="11271" max="11513" width="9" style="48"/>
    <col min="11514" max="11514" width="29.25" style="48" customWidth="1"/>
    <col min="11515" max="11516" width="0" style="48" hidden="1" customWidth="1"/>
    <col min="11517" max="11517" width="15.125" style="48" bestFit="1" customWidth="1"/>
    <col min="11518" max="11518" width="14.125" style="48" bestFit="1" customWidth="1"/>
    <col min="11519" max="11520" width="0" style="48" hidden="1" customWidth="1"/>
    <col min="11521" max="11521" width="14.375" style="48" bestFit="1" customWidth="1"/>
    <col min="11522" max="11522" width="14.125" style="48" bestFit="1" customWidth="1"/>
    <col min="11523" max="11523" width="14.125" style="48" customWidth="1"/>
    <col min="11524" max="11524" width="15.125" style="48" customWidth="1"/>
    <col min="11525" max="11525" width="15.5" style="48" customWidth="1"/>
    <col min="11526" max="11526" width="12.75" style="48" bestFit="1" customWidth="1"/>
    <col min="11527" max="11769" width="9" style="48"/>
    <col min="11770" max="11770" width="29.25" style="48" customWidth="1"/>
    <col min="11771" max="11772" width="0" style="48" hidden="1" customWidth="1"/>
    <col min="11773" max="11773" width="15.125" style="48" bestFit="1" customWidth="1"/>
    <col min="11774" max="11774" width="14.125" style="48" bestFit="1" customWidth="1"/>
    <col min="11775" max="11776" width="0" style="48" hidden="1" customWidth="1"/>
    <col min="11777" max="11777" width="14.375" style="48" bestFit="1" customWidth="1"/>
    <col min="11778" max="11778" width="14.125" style="48" bestFit="1" customWidth="1"/>
    <col min="11779" max="11779" width="14.125" style="48" customWidth="1"/>
    <col min="11780" max="11780" width="15.125" style="48" customWidth="1"/>
    <col min="11781" max="11781" width="15.5" style="48" customWidth="1"/>
    <col min="11782" max="11782" width="12.75" style="48" bestFit="1" customWidth="1"/>
    <col min="11783" max="12025" width="9" style="48"/>
    <col min="12026" max="12026" width="29.25" style="48" customWidth="1"/>
    <col min="12027" max="12028" width="0" style="48" hidden="1" customWidth="1"/>
    <col min="12029" max="12029" width="15.125" style="48" bestFit="1" customWidth="1"/>
    <col min="12030" max="12030" width="14.125" style="48" bestFit="1" customWidth="1"/>
    <col min="12031" max="12032" width="0" style="48" hidden="1" customWidth="1"/>
    <col min="12033" max="12033" width="14.375" style="48" bestFit="1" customWidth="1"/>
    <col min="12034" max="12034" width="14.125" style="48" bestFit="1" customWidth="1"/>
    <col min="12035" max="12035" width="14.125" style="48" customWidth="1"/>
    <col min="12036" max="12036" width="15.125" style="48" customWidth="1"/>
    <col min="12037" max="12037" width="15.5" style="48" customWidth="1"/>
    <col min="12038" max="12038" width="12.75" style="48" bestFit="1" customWidth="1"/>
    <col min="12039" max="12281" width="9" style="48"/>
    <col min="12282" max="12282" width="29.25" style="48" customWidth="1"/>
    <col min="12283" max="12284" width="0" style="48" hidden="1" customWidth="1"/>
    <col min="12285" max="12285" width="15.125" style="48" bestFit="1" customWidth="1"/>
    <col min="12286" max="12286" width="14.125" style="48" bestFit="1" customWidth="1"/>
    <col min="12287" max="12288" width="0" style="48" hidden="1" customWidth="1"/>
    <col min="12289" max="12289" width="14.375" style="48" bestFit="1" customWidth="1"/>
    <col min="12290" max="12290" width="14.125" style="48" bestFit="1" customWidth="1"/>
    <col min="12291" max="12291" width="14.125" style="48" customWidth="1"/>
    <col min="12292" max="12292" width="15.125" style="48" customWidth="1"/>
    <col min="12293" max="12293" width="15.5" style="48" customWidth="1"/>
    <col min="12294" max="12294" width="12.75" style="48" bestFit="1" customWidth="1"/>
    <col min="12295" max="12537" width="9" style="48"/>
    <col min="12538" max="12538" width="29.25" style="48" customWidth="1"/>
    <col min="12539" max="12540" width="0" style="48" hidden="1" customWidth="1"/>
    <col min="12541" max="12541" width="15.125" style="48" bestFit="1" customWidth="1"/>
    <col min="12542" max="12542" width="14.125" style="48" bestFit="1" customWidth="1"/>
    <col min="12543" max="12544" width="0" style="48" hidden="1" customWidth="1"/>
    <col min="12545" max="12545" width="14.375" style="48" bestFit="1" customWidth="1"/>
    <col min="12546" max="12546" width="14.125" style="48" bestFit="1" customWidth="1"/>
    <col min="12547" max="12547" width="14.125" style="48" customWidth="1"/>
    <col min="12548" max="12548" width="15.125" style="48" customWidth="1"/>
    <col min="12549" max="12549" width="15.5" style="48" customWidth="1"/>
    <col min="12550" max="12550" width="12.75" style="48" bestFit="1" customWidth="1"/>
    <col min="12551" max="12793" width="9" style="48"/>
    <col min="12794" max="12794" width="29.25" style="48" customWidth="1"/>
    <col min="12795" max="12796" width="0" style="48" hidden="1" customWidth="1"/>
    <col min="12797" max="12797" width="15.125" style="48" bestFit="1" customWidth="1"/>
    <col min="12798" max="12798" width="14.125" style="48" bestFit="1" customWidth="1"/>
    <col min="12799" max="12800" width="0" style="48" hidden="1" customWidth="1"/>
    <col min="12801" max="12801" width="14.375" style="48" bestFit="1" customWidth="1"/>
    <col min="12802" max="12802" width="14.125" style="48" bestFit="1" customWidth="1"/>
    <col min="12803" max="12803" width="14.125" style="48" customWidth="1"/>
    <col min="12804" max="12804" width="15.125" style="48" customWidth="1"/>
    <col min="12805" max="12805" width="15.5" style="48" customWidth="1"/>
    <col min="12806" max="12806" width="12.75" style="48" bestFit="1" customWidth="1"/>
    <col min="12807" max="13049" width="9" style="48"/>
    <col min="13050" max="13050" width="29.25" style="48" customWidth="1"/>
    <col min="13051" max="13052" width="0" style="48" hidden="1" customWidth="1"/>
    <col min="13053" max="13053" width="15.125" style="48" bestFit="1" customWidth="1"/>
    <col min="13054" max="13054" width="14.125" style="48" bestFit="1" customWidth="1"/>
    <col min="13055" max="13056" width="0" style="48" hidden="1" customWidth="1"/>
    <col min="13057" max="13057" width="14.375" style="48" bestFit="1" customWidth="1"/>
    <col min="13058" max="13058" width="14.125" style="48" bestFit="1" customWidth="1"/>
    <col min="13059" max="13059" width="14.125" style="48" customWidth="1"/>
    <col min="13060" max="13060" width="15.125" style="48" customWidth="1"/>
    <col min="13061" max="13061" width="15.5" style="48" customWidth="1"/>
    <col min="13062" max="13062" width="12.75" style="48" bestFit="1" customWidth="1"/>
    <col min="13063" max="13305" width="9" style="48"/>
    <col min="13306" max="13306" width="29.25" style="48" customWidth="1"/>
    <col min="13307" max="13308" width="0" style="48" hidden="1" customWidth="1"/>
    <col min="13309" max="13309" width="15.125" style="48" bestFit="1" customWidth="1"/>
    <col min="13310" max="13310" width="14.125" style="48" bestFit="1" customWidth="1"/>
    <col min="13311" max="13312" width="0" style="48" hidden="1" customWidth="1"/>
    <col min="13313" max="13313" width="14.375" style="48" bestFit="1" customWidth="1"/>
    <col min="13314" max="13314" width="14.125" style="48" bestFit="1" customWidth="1"/>
    <col min="13315" max="13315" width="14.125" style="48" customWidth="1"/>
    <col min="13316" max="13316" width="15.125" style="48" customWidth="1"/>
    <col min="13317" max="13317" width="15.5" style="48" customWidth="1"/>
    <col min="13318" max="13318" width="12.75" style="48" bestFit="1" customWidth="1"/>
    <col min="13319" max="13561" width="9" style="48"/>
    <col min="13562" max="13562" width="29.25" style="48" customWidth="1"/>
    <col min="13563" max="13564" width="0" style="48" hidden="1" customWidth="1"/>
    <col min="13565" max="13565" width="15.125" style="48" bestFit="1" customWidth="1"/>
    <col min="13566" max="13566" width="14.125" style="48" bestFit="1" customWidth="1"/>
    <col min="13567" max="13568" width="0" style="48" hidden="1" customWidth="1"/>
    <col min="13569" max="13569" width="14.375" style="48" bestFit="1" customWidth="1"/>
    <col min="13570" max="13570" width="14.125" style="48" bestFit="1" customWidth="1"/>
    <col min="13571" max="13571" width="14.125" style="48" customWidth="1"/>
    <col min="13572" max="13572" width="15.125" style="48" customWidth="1"/>
    <col min="13573" max="13573" width="15.5" style="48" customWidth="1"/>
    <col min="13574" max="13574" width="12.75" style="48" bestFit="1" customWidth="1"/>
    <col min="13575" max="13817" width="9" style="48"/>
    <col min="13818" max="13818" width="29.25" style="48" customWidth="1"/>
    <col min="13819" max="13820" width="0" style="48" hidden="1" customWidth="1"/>
    <col min="13821" max="13821" width="15.125" style="48" bestFit="1" customWidth="1"/>
    <col min="13822" max="13822" width="14.125" style="48" bestFit="1" customWidth="1"/>
    <col min="13823" max="13824" width="0" style="48" hidden="1" customWidth="1"/>
    <col min="13825" max="13825" width="14.375" style="48" bestFit="1" customWidth="1"/>
    <col min="13826" max="13826" width="14.125" style="48" bestFit="1" customWidth="1"/>
    <col min="13827" max="13827" width="14.125" style="48" customWidth="1"/>
    <col min="13828" max="13828" width="15.125" style="48" customWidth="1"/>
    <col min="13829" max="13829" width="15.5" style="48" customWidth="1"/>
    <col min="13830" max="13830" width="12.75" style="48" bestFit="1" customWidth="1"/>
    <col min="13831" max="14073" width="9" style="48"/>
    <col min="14074" max="14074" width="29.25" style="48" customWidth="1"/>
    <col min="14075" max="14076" width="0" style="48" hidden="1" customWidth="1"/>
    <col min="14077" max="14077" width="15.125" style="48" bestFit="1" customWidth="1"/>
    <col min="14078" max="14078" width="14.125" style="48" bestFit="1" customWidth="1"/>
    <col min="14079" max="14080" width="0" style="48" hidden="1" customWidth="1"/>
    <col min="14081" max="14081" width="14.375" style="48" bestFit="1" customWidth="1"/>
    <col min="14082" max="14082" width="14.125" style="48" bestFit="1" customWidth="1"/>
    <col min="14083" max="14083" width="14.125" style="48" customWidth="1"/>
    <col min="14084" max="14084" width="15.125" style="48" customWidth="1"/>
    <col min="14085" max="14085" width="15.5" style="48" customWidth="1"/>
    <col min="14086" max="14086" width="12.75" style="48" bestFit="1" customWidth="1"/>
    <col min="14087" max="14329" width="9" style="48"/>
    <col min="14330" max="14330" width="29.25" style="48" customWidth="1"/>
    <col min="14331" max="14332" width="0" style="48" hidden="1" customWidth="1"/>
    <col min="14333" max="14333" width="15.125" style="48" bestFit="1" customWidth="1"/>
    <col min="14334" max="14334" width="14.125" style="48" bestFit="1" customWidth="1"/>
    <col min="14335" max="14336" width="0" style="48" hidden="1" customWidth="1"/>
    <col min="14337" max="14337" width="14.375" style="48" bestFit="1" customWidth="1"/>
    <col min="14338" max="14338" width="14.125" style="48" bestFit="1" customWidth="1"/>
    <col min="14339" max="14339" width="14.125" style="48" customWidth="1"/>
    <col min="14340" max="14340" width="15.125" style="48" customWidth="1"/>
    <col min="14341" max="14341" width="15.5" style="48" customWidth="1"/>
    <col min="14342" max="14342" width="12.75" style="48" bestFit="1" customWidth="1"/>
    <col min="14343" max="14585" width="9" style="48"/>
    <col min="14586" max="14586" width="29.25" style="48" customWidth="1"/>
    <col min="14587" max="14588" width="0" style="48" hidden="1" customWidth="1"/>
    <col min="14589" max="14589" width="15.125" style="48" bestFit="1" customWidth="1"/>
    <col min="14590" max="14590" width="14.125" style="48" bestFit="1" customWidth="1"/>
    <col min="14591" max="14592" width="0" style="48" hidden="1" customWidth="1"/>
    <col min="14593" max="14593" width="14.375" style="48" bestFit="1" customWidth="1"/>
    <col min="14594" max="14594" width="14.125" style="48" bestFit="1" customWidth="1"/>
    <col min="14595" max="14595" width="14.125" style="48" customWidth="1"/>
    <col min="14596" max="14596" width="15.125" style="48" customWidth="1"/>
    <col min="14597" max="14597" width="15.5" style="48" customWidth="1"/>
    <col min="14598" max="14598" width="12.75" style="48" bestFit="1" customWidth="1"/>
    <col min="14599" max="14841" width="9" style="48"/>
    <col min="14842" max="14842" width="29.25" style="48" customWidth="1"/>
    <col min="14843" max="14844" width="0" style="48" hidden="1" customWidth="1"/>
    <col min="14845" max="14845" width="15.125" style="48" bestFit="1" customWidth="1"/>
    <col min="14846" max="14846" width="14.125" style="48" bestFit="1" customWidth="1"/>
    <col min="14847" max="14848" width="0" style="48" hidden="1" customWidth="1"/>
    <col min="14849" max="14849" width="14.375" style="48" bestFit="1" customWidth="1"/>
    <col min="14850" max="14850" width="14.125" style="48" bestFit="1" customWidth="1"/>
    <col min="14851" max="14851" width="14.125" style="48" customWidth="1"/>
    <col min="14852" max="14852" width="15.125" style="48" customWidth="1"/>
    <col min="14853" max="14853" width="15.5" style="48" customWidth="1"/>
    <col min="14854" max="14854" width="12.75" style="48" bestFit="1" customWidth="1"/>
    <col min="14855" max="15097" width="9" style="48"/>
    <col min="15098" max="15098" width="29.25" style="48" customWidth="1"/>
    <col min="15099" max="15100" width="0" style="48" hidden="1" customWidth="1"/>
    <col min="15101" max="15101" width="15.125" style="48" bestFit="1" customWidth="1"/>
    <col min="15102" max="15102" width="14.125" style="48" bestFit="1" customWidth="1"/>
    <col min="15103" max="15104" width="0" style="48" hidden="1" customWidth="1"/>
    <col min="15105" max="15105" width="14.375" style="48" bestFit="1" customWidth="1"/>
    <col min="15106" max="15106" width="14.125" style="48" bestFit="1" customWidth="1"/>
    <col min="15107" max="15107" width="14.125" style="48" customWidth="1"/>
    <col min="15108" max="15108" width="15.125" style="48" customWidth="1"/>
    <col min="15109" max="15109" width="15.5" style="48" customWidth="1"/>
    <col min="15110" max="15110" width="12.75" style="48" bestFit="1" customWidth="1"/>
    <col min="15111" max="15353" width="9" style="48"/>
    <col min="15354" max="15354" width="29.25" style="48" customWidth="1"/>
    <col min="15355" max="15356" width="0" style="48" hidden="1" customWidth="1"/>
    <col min="15357" max="15357" width="15.125" style="48" bestFit="1" customWidth="1"/>
    <col min="15358" max="15358" width="14.125" style="48" bestFit="1" customWidth="1"/>
    <col min="15359" max="15360" width="0" style="48" hidden="1" customWidth="1"/>
    <col min="15361" max="15361" width="14.375" style="48" bestFit="1" customWidth="1"/>
    <col min="15362" max="15362" width="14.125" style="48" bestFit="1" customWidth="1"/>
    <col min="15363" max="15363" width="14.125" style="48" customWidth="1"/>
    <col min="15364" max="15364" width="15.125" style="48" customWidth="1"/>
    <col min="15365" max="15365" width="15.5" style="48" customWidth="1"/>
    <col min="15366" max="15366" width="12.75" style="48" bestFit="1" customWidth="1"/>
    <col min="15367" max="15609" width="9" style="48"/>
    <col min="15610" max="15610" width="29.25" style="48" customWidth="1"/>
    <col min="15611" max="15612" width="0" style="48" hidden="1" customWidth="1"/>
    <col min="15613" max="15613" width="15.125" style="48" bestFit="1" customWidth="1"/>
    <col min="15614" max="15614" width="14.125" style="48" bestFit="1" customWidth="1"/>
    <col min="15615" max="15616" width="0" style="48" hidden="1" customWidth="1"/>
    <col min="15617" max="15617" width="14.375" style="48" bestFit="1" customWidth="1"/>
    <col min="15618" max="15618" width="14.125" style="48" bestFit="1" customWidth="1"/>
    <col min="15619" max="15619" width="14.125" style="48" customWidth="1"/>
    <col min="15620" max="15620" width="15.125" style="48" customWidth="1"/>
    <col min="15621" max="15621" width="15.5" style="48" customWidth="1"/>
    <col min="15622" max="15622" width="12.75" style="48" bestFit="1" customWidth="1"/>
    <col min="15623" max="15865" width="9" style="48"/>
    <col min="15866" max="15866" width="29.25" style="48" customWidth="1"/>
    <col min="15867" max="15868" width="0" style="48" hidden="1" customWidth="1"/>
    <col min="15869" max="15869" width="15.125" style="48" bestFit="1" customWidth="1"/>
    <col min="15870" max="15870" width="14.125" style="48" bestFit="1" customWidth="1"/>
    <col min="15871" max="15872" width="0" style="48" hidden="1" customWidth="1"/>
    <col min="15873" max="15873" width="14.375" style="48" bestFit="1" customWidth="1"/>
    <col min="15874" max="15874" width="14.125" style="48" bestFit="1" customWidth="1"/>
    <col min="15875" max="15875" width="14.125" style="48" customWidth="1"/>
    <col min="15876" max="15876" width="15.125" style="48" customWidth="1"/>
    <col min="15877" max="15877" width="15.5" style="48" customWidth="1"/>
    <col min="15878" max="15878" width="12.75" style="48" bestFit="1" customWidth="1"/>
    <col min="15879" max="16121" width="9" style="48"/>
    <col min="16122" max="16122" width="29.25" style="48" customWidth="1"/>
    <col min="16123" max="16124" width="0" style="48" hidden="1" customWidth="1"/>
    <col min="16125" max="16125" width="15.125" style="48" bestFit="1" customWidth="1"/>
    <col min="16126" max="16126" width="14.125" style="48" bestFit="1" customWidth="1"/>
    <col min="16127" max="16128" width="0" style="48" hidden="1" customWidth="1"/>
    <col min="16129" max="16129" width="14.375" style="48" bestFit="1" customWidth="1"/>
    <col min="16130" max="16130" width="14.125" style="48" bestFit="1" customWidth="1"/>
    <col min="16131" max="16131" width="14.125" style="48" customWidth="1"/>
    <col min="16132" max="16132" width="15.125" style="48" customWidth="1"/>
    <col min="16133" max="16133" width="15.5" style="48" customWidth="1"/>
    <col min="16134" max="16134" width="12.75" style="48" bestFit="1" customWidth="1"/>
    <col min="16135" max="16384" width="9" style="48"/>
  </cols>
  <sheetData>
    <row r="1" spans="1:10" ht="27" x14ac:dyDescent="0.3">
      <c r="A1" s="98" t="s">
        <v>171</v>
      </c>
      <c r="B1" s="47"/>
      <c r="C1" s="47"/>
      <c r="D1" s="47"/>
      <c r="E1" s="47"/>
      <c r="F1" s="47"/>
      <c r="G1" s="47"/>
      <c r="H1" s="47"/>
      <c r="I1" s="47"/>
    </row>
    <row r="2" spans="1:10" ht="17.25" customHeight="1" x14ac:dyDescent="0.3">
      <c r="A2" s="49"/>
      <c r="B2" s="47"/>
      <c r="C2" s="47"/>
      <c r="D2" s="47"/>
      <c r="E2" s="47"/>
      <c r="F2" s="47"/>
      <c r="G2" s="47"/>
      <c r="H2" s="47"/>
      <c r="I2" s="47"/>
    </row>
    <row r="3" spans="1:10" x14ac:dyDescent="0.15">
      <c r="A3" s="47" t="s">
        <v>172</v>
      </c>
      <c r="B3" s="47"/>
      <c r="C3" s="47"/>
      <c r="D3" s="47"/>
      <c r="E3" s="47"/>
      <c r="F3" s="47"/>
      <c r="G3" s="47"/>
      <c r="H3" s="47"/>
      <c r="I3" s="47"/>
    </row>
    <row r="4" spans="1:10" x14ac:dyDescent="0.15">
      <c r="A4" s="47" t="s">
        <v>173</v>
      </c>
      <c r="B4" s="47"/>
      <c r="C4" s="47"/>
      <c r="D4" s="47"/>
      <c r="E4" s="47"/>
      <c r="F4" s="47"/>
      <c r="G4" s="47"/>
      <c r="H4" s="47"/>
      <c r="I4" s="47"/>
    </row>
    <row r="5" spans="1:10" x14ac:dyDescent="0.15">
      <c r="A5" s="47"/>
      <c r="B5" s="47"/>
      <c r="C5" s="47"/>
      <c r="D5" s="47"/>
      <c r="E5" s="47"/>
      <c r="F5" s="47"/>
      <c r="G5" s="47"/>
      <c r="H5" s="47"/>
      <c r="I5" s="47"/>
    </row>
    <row r="6" spans="1:10" x14ac:dyDescent="0.15">
      <c r="A6" s="101"/>
      <c r="B6" s="101"/>
      <c r="C6" s="101"/>
      <c r="D6" s="101"/>
      <c r="E6" s="101"/>
      <c r="F6" s="101"/>
      <c r="G6" s="101"/>
      <c r="H6" s="101"/>
      <c r="I6" s="101"/>
      <c r="J6" s="102"/>
    </row>
    <row r="7" spans="1:10" ht="15" thickBot="1" x14ac:dyDescent="0.2">
      <c r="A7" s="50" t="s">
        <v>16</v>
      </c>
      <c r="C7" s="51"/>
      <c r="E7" s="51"/>
      <c r="G7" s="51"/>
      <c r="I7" s="51"/>
    </row>
    <row r="8" spans="1:10" ht="13.5" customHeight="1" x14ac:dyDescent="0.15">
      <c r="A8" s="103"/>
      <c r="B8" s="183" t="s">
        <v>62</v>
      </c>
      <c r="C8" s="191"/>
      <c r="D8" s="191"/>
      <c r="E8" s="184"/>
      <c r="F8" s="187" t="s">
        <v>59</v>
      </c>
      <c r="G8" s="191"/>
      <c r="H8" s="191"/>
      <c r="I8" s="188"/>
    </row>
    <row r="9" spans="1:10" ht="13.5" customHeight="1" x14ac:dyDescent="0.15">
      <c r="A9" s="104" t="s">
        <v>17</v>
      </c>
      <c r="B9" s="185"/>
      <c r="C9" s="192"/>
      <c r="D9" s="192"/>
      <c r="E9" s="186"/>
      <c r="F9" s="189"/>
      <c r="G9" s="192"/>
      <c r="H9" s="192"/>
      <c r="I9" s="190"/>
      <c r="J9" s="48" t="s">
        <v>297</v>
      </c>
    </row>
    <row r="10" spans="1:10" ht="13.5" customHeight="1" thickBot="1" x14ac:dyDescent="0.2">
      <c r="A10" s="106"/>
      <c r="B10" s="107" t="s">
        <v>174</v>
      </c>
      <c r="C10" s="108"/>
      <c r="D10" s="107" t="s">
        <v>175</v>
      </c>
      <c r="E10" s="109"/>
      <c r="F10" s="107" t="s">
        <v>174</v>
      </c>
      <c r="G10" s="108"/>
      <c r="H10" s="107" t="s">
        <v>176</v>
      </c>
      <c r="I10" s="110"/>
    </row>
    <row r="11" spans="1:10" ht="13.5" customHeight="1" thickTop="1" x14ac:dyDescent="0.15">
      <c r="A11" s="56" t="s">
        <v>177</v>
      </c>
      <c r="B11" s="111"/>
      <c r="C11" s="102">
        <f>E11-30970780172</f>
        <v>9418509706</v>
      </c>
      <c r="D11" s="111"/>
      <c r="E11" s="102">
        <v>40389289878</v>
      </c>
      <c r="F11" s="111"/>
      <c r="G11" s="102">
        <v>10990729279</v>
      </c>
      <c r="H11" s="111"/>
      <c r="I11" s="112">
        <v>46897937751</v>
      </c>
    </row>
    <row r="12" spans="1:10" ht="13.5" customHeight="1" x14ac:dyDescent="0.15">
      <c r="A12" s="56"/>
      <c r="B12" s="111"/>
      <c r="C12" s="102"/>
      <c r="D12" s="111"/>
      <c r="E12" s="102"/>
      <c r="F12" s="111"/>
      <c r="G12" s="102"/>
      <c r="H12" s="111"/>
      <c r="I12" s="112"/>
      <c r="J12" s="113"/>
    </row>
    <row r="13" spans="1:10" ht="13.5" customHeight="1" x14ac:dyDescent="0.15">
      <c r="A13" s="56" t="s">
        <v>178</v>
      </c>
      <c r="B13" s="111"/>
      <c r="C13" s="102">
        <f>+B19-B20-B21-B22</f>
        <v>10463151584</v>
      </c>
      <c r="D13" s="111"/>
      <c r="E13" s="102">
        <v>40864715895</v>
      </c>
      <c r="F13" s="111"/>
      <c r="G13" s="102">
        <v>10099093871</v>
      </c>
      <c r="H13" s="111"/>
      <c r="I13" s="114">
        <v>42507683442</v>
      </c>
    </row>
    <row r="14" spans="1:10" ht="13.5" customHeight="1" x14ac:dyDescent="0.15">
      <c r="A14" s="56" t="s">
        <v>179</v>
      </c>
      <c r="B14" s="111">
        <v>1198455134</v>
      </c>
      <c r="C14" s="115"/>
      <c r="D14" s="111">
        <v>1456872380</v>
      </c>
      <c r="E14" s="115"/>
      <c r="F14" s="111">
        <v>1180212876</v>
      </c>
      <c r="G14" s="115"/>
      <c r="H14" s="111">
        <v>903586861</v>
      </c>
      <c r="I14" s="116"/>
    </row>
    <row r="15" spans="1:10" ht="13.5" customHeight="1" x14ac:dyDescent="0.15">
      <c r="A15" s="56" t="s">
        <v>180</v>
      </c>
      <c r="B15" s="111">
        <v>1226992424</v>
      </c>
      <c r="C15" s="100"/>
      <c r="D15" s="111">
        <v>1000976105</v>
      </c>
      <c r="E15" s="100"/>
      <c r="F15" s="111">
        <v>1543827249</v>
      </c>
      <c r="G15" s="100"/>
      <c r="H15" s="111">
        <v>1099796418</v>
      </c>
      <c r="I15" s="114"/>
    </row>
    <row r="16" spans="1:10" ht="13.5" customHeight="1" x14ac:dyDescent="0.15">
      <c r="A16" s="56" t="s">
        <v>181</v>
      </c>
      <c r="B16" s="111">
        <f>+D16-26311002907</f>
        <v>9271507458</v>
      </c>
      <c r="C16" s="102"/>
      <c r="D16" s="111">
        <v>35582510365</v>
      </c>
      <c r="E16" s="102"/>
      <c r="F16" s="111">
        <v>8316811983</v>
      </c>
      <c r="G16" s="102"/>
      <c r="H16" s="111">
        <v>36121252332</v>
      </c>
      <c r="I16" s="114"/>
    </row>
    <row r="17" spans="1:10" ht="13.5" customHeight="1" x14ac:dyDescent="0.15">
      <c r="A17" s="56" t="s">
        <v>182</v>
      </c>
      <c r="B17" s="111">
        <f>+'[6]23기합잔'!B27-D15-4058160477</f>
        <v>317952415</v>
      </c>
      <c r="C17" s="102"/>
      <c r="D17" s="111">
        <v>4376112892</v>
      </c>
      <c r="E17" s="102"/>
      <c r="F17" s="111">
        <v>1274065798</v>
      </c>
      <c r="G17" s="102"/>
      <c r="H17" s="111">
        <v>6507941850</v>
      </c>
      <c r="I17" s="114"/>
    </row>
    <row r="18" spans="1:10" ht="13.5" customHeight="1" x14ac:dyDescent="0.15">
      <c r="A18" s="56" t="s">
        <v>183</v>
      </c>
      <c r="B18" s="118">
        <f>D18-0</f>
        <v>514722415</v>
      </c>
      <c r="C18" s="102"/>
      <c r="D18" s="118">
        <v>514722415</v>
      </c>
      <c r="E18" s="102"/>
      <c r="F18" s="118">
        <v>242024450</v>
      </c>
      <c r="G18" s="102"/>
      <c r="H18" s="118">
        <v>332954466</v>
      </c>
      <c r="I18" s="114"/>
    </row>
    <row r="19" spans="1:10" ht="13.5" customHeight="1" x14ac:dyDescent="0.15">
      <c r="A19" s="119" t="s">
        <v>24</v>
      </c>
      <c r="B19" s="111">
        <f>SUM(B14:B18)</f>
        <v>12529629846</v>
      </c>
      <c r="C19" s="100"/>
      <c r="D19" s="111">
        <v>42931194157</v>
      </c>
      <c r="E19" s="100"/>
      <c r="F19" s="111">
        <v>12556942356</v>
      </c>
      <c r="G19" s="100"/>
      <c r="H19" s="111">
        <v>44965531927</v>
      </c>
      <c r="I19" s="114"/>
    </row>
    <row r="20" spans="1:10" ht="13.5" customHeight="1" x14ac:dyDescent="0.15">
      <c r="A20" s="56" t="s">
        <v>184</v>
      </c>
      <c r="B20" s="111">
        <f>+'[6]23기합잔'!A29</f>
        <v>1259568175</v>
      </c>
      <c r="C20" s="102"/>
      <c r="D20" s="111">
        <v>1259568175</v>
      </c>
      <c r="E20" s="102"/>
      <c r="F20" s="111">
        <v>1456872380</v>
      </c>
      <c r="G20" s="102"/>
      <c r="H20" s="111">
        <v>1456872380</v>
      </c>
      <c r="I20" s="114"/>
    </row>
    <row r="21" spans="1:10" ht="13.5" customHeight="1" x14ac:dyDescent="0.15">
      <c r="A21" s="56" t="s">
        <v>185</v>
      </c>
      <c r="B21" s="111">
        <f>+'[6]23기합잔'!A27</f>
        <v>806910087</v>
      </c>
      <c r="C21" s="102"/>
      <c r="D21" s="111">
        <v>806910087</v>
      </c>
      <c r="E21" s="102"/>
      <c r="F21" s="111">
        <v>1000976105</v>
      </c>
      <c r="G21" s="102"/>
      <c r="H21" s="111">
        <v>1000976105</v>
      </c>
      <c r="I21" s="114"/>
    </row>
    <row r="22" spans="1:10" ht="13.5" customHeight="1" x14ac:dyDescent="0.15">
      <c r="A22" s="56" t="s">
        <v>186</v>
      </c>
      <c r="B22" s="118">
        <v>0</v>
      </c>
      <c r="C22" s="102"/>
      <c r="D22" s="118">
        <v>0</v>
      </c>
      <c r="E22" s="102"/>
      <c r="F22" s="118">
        <v>0</v>
      </c>
      <c r="G22" s="102"/>
      <c r="H22" s="118">
        <v>0</v>
      </c>
      <c r="I22" s="114"/>
    </row>
    <row r="23" spans="1:10" ht="13.5" customHeight="1" x14ac:dyDescent="0.15">
      <c r="A23" s="56"/>
      <c r="B23" s="111"/>
      <c r="C23" s="102"/>
      <c r="D23" s="111"/>
      <c r="E23" s="102"/>
      <c r="F23" s="111"/>
      <c r="G23" s="102"/>
      <c r="H23" s="111"/>
      <c r="I23" s="114"/>
    </row>
    <row r="24" spans="1:10" ht="13.5" customHeight="1" x14ac:dyDescent="0.15">
      <c r="A24" s="56" t="s">
        <v>187</v>
      </c>
      <c r="B24" s="111"/>
      <c r="C24" s="102">
        <f>+C11-C13</f>
        <v>-1044641878</v>
      </c>
      <c r="D24" s="111"/>
      <c r="E24" s="102">
        <v>-475426017</v>
      </c>
      <c r="F24" s="111"/>
      <c r="G24" s="102">
        <v>891635408</v>
      </c>
      <c r="H24" s="111"/>
      <c r="I24" s="114">
        <v>4390254309</v>
      </c>
    </row>
    <row r="25" spans="1:10" ht="13.5" customHeight="1" x14ac:dyDescent="0.15">
      <c r="A25" s="56"/>
      <c r="B25" s="111"/>
      <c r="C25" s="115">
        <v>0.21840151643122044</v>
      </c>
      <c r="D25" s="111"/>
      <c r="E25" s="115"/>
      <c r="F25" s="111"/>
      <c r="G25" s="115">
        <v>0.21840151643122044</v>
      </c>
      <c r="H25" s="111"/>
      <c r="I25" s="116"/>
    </row>
    <row r="26" spans="1:10" ht="13.5" customHeight="1" x14ac:dyDescent="0.15">
      <c r="A26" s="56" t="s">
        <v>188</v>
      </c>
      <c r="B26" s="111"/>
      <c r="C26" s="102">
        <f>SUM(B27:B47)</f>
        <v>1009394020</v>
      </c>
      <c r="D26" s="111"/>
      <c r="E26" s="102">
        <v>2920048717</v>
      </c>
      <c r="F26" s="111"/>
      <c r="G26" s="102">
        <v>393974235</v>
      </c>
      <c r="H26" s="111"/>
      <c r="I26" s="114">
        <v>1755616583</v>
      </c>
    </row>
    <row r="27" spans="1:10" ht="13.5" customHeight="1" x14ac:dyDescent="0.15">
      <c r="A27" s="56" t="s">
        <v>28</v>
      </c>
      <c r="B27" s="111">
        <f>+'[6]23기합잔'!A105-863429799</f>
        <v>272803810</v>
      </c>
      <c r="C27" s="102"/>
      <c r="D27" s="111">
        <v>1136233609</v>
      </c>
      <c r="E27" s="102"/>
      <c r="F27" s="111">
        <v>211842710</v>
      </c>
      <c r="G27" s="102"/>
      <c r="H27" s="111">
        <v>941234149</v>
      </c>
      <c r="I27" s="114"/>
      <c r="J27" s="69"/>
    </row>
    <row r="28" spans="1:10" ht="13.5" customHeight="1" x14ac:dyDescent="0.15">
      <c r="A28" s="56" t="s">
        <v>189</v>
      </c>
      <c r="B28" s="111">
        <f>'[6]23기합잔'!A106-122479017</f>
        <v>49056566</v>
      </c>
      <c r="C28" s="102"/>
      <c r="D28" s="111">
        <v>171535583</v>
      </c>
      <c r="E28" s="102"/>
      <c r="F28" s="111">
        <v>25897757</v>
      </c>
      <c r="G28" s="102"/>
      <c r="H28" s="111">
        <v>71435304</v>
      </c>
      <c r="I28" s="114"/>
      <c r="J28" s="69"/>
    </row>
    <row r="29" spans="1:10" ht="13.5" customHeight="1" x14ac:dyDescent="0.15">
      <c r="A29" s="56" t="s">
        <v>190</v>
      </c>
      <c r="B29" s="111">
        <f>'[6]23기합잔'!A107-81757978</f>
        <v>31082087</v>
      </c>
      <c r="C29" s="102"/>
      <c r="D29" s="111">
        <v>112840065</v>
      </c>
      <c r="E29" s="102"/>
      <c r="F29" s="111">
        <v>23780534</v>
      </c>
      <c r="G29" s="102"/>
      <c r="H29" s="111">
        <v>92444094</v>
      </c>
      <c r="I29" s="114"/>
      <c r="J29" s="69"/>
    </row>
    <row r="30" spans="1:10" ht="13.5" customHeight="1" x14ac:dyDescent="0.15">
      <c r="A30" s="56" t="s">
        <v>191</v>
      </c>
      <c r="B30" s="111">
        <f>'[6]23기합잔'!A108-11083243</f>
        <v>4833120</v>
      </c>
      <c r="C30" s="102"/>
      <c r="D30" s="111">
        <v>15916363</v>
      </c>
      <c r="E30" s="102"/>
      <c r="F30" s="111">
        <v>3539310</v>
      </c>
      <c r="G30" s="102"/>
      <c r="H30" s="111">
        <v>15264570</v>
      </c>
      <c r="I30" s="114"/>
      <c r="J30" s="69"/>
    </row>
    <row r="31" spans="1:10" ht="13.5" customHeight="1" x14ac:dyDescent="0.15">
      <c r="A31" s="56" t="s">
        <v>192</v>
      </c>
      <c r="B31" s="111">
        <f>'[6]23기합잔'!A109-334310</f>
        <v>80350</v>
      </c>
      <c r="C31" s="102"/>
      <c r="D31" s="111">
        <v>414660</v>
      </c>
      <c r="E31" s="102"/>
      <c r="F31" s="111">
        <v>58130</v>
      </c>
      <c r="G31" s="102"/>
      <c r="H31" s="111">
        <v>300470</v>
      </c>
      <c r="I31" s="114"/>
      <c r="J31" s="69"/>
    </row>
    <row r="32" spans="1:10" ht="13.5" customHeight="1" x14ac:dyDescent="0.15">
      <c r="A32" s="56" t="s">
        <v>193</v>
      </c>
      <c r="B32" s="111">
        <f>'[6]23기합잔'!A112-27913765</f>
        <v>10636989</v>
      </c>
      <c r="C32" s="102"/>
      <c r="D32" s="111">
        <v>38550754</v>
      </c>
      <c r="E32" s="102"/>
      <c r="F32" s="111">
        <v>8845546</v>
      </c>
      <c r="G32" s="102"/>
      <c r="H32" s="111">
        <v>49166013</v>
      </c>
      <c r="I32" s="114"/>
      <c r="J32" s="69"/>
    </row>
    <row r="33" spans="1:10" ht="13.5" customHeight="1" x14ac:dyDescent="0.15">
      <c r="A33" s="56" t="s">
        <v>194</v>
      </c>
      <c r="B33" s="111">
        <f>'[6]23기합잔'!A113-1617183</f>
        <v>540273</v>
      </c>
      <c r="C33" s="102"/>
      <c r="D33" s="111">
        <v>2157456</v>
      </c>
      <c r="E33" s="102"/>
      <c r="F33" s="111">
        <v>537546</v>
      </c>
      <c r="G33" s="102"/>
      <c r="H33" s="111">
        <v>8010271</v>
      </c>
      <c r="I33" s="114"/>
      <c r="J33" s="69"/>
    </row>
    <row r="34" spans="1:10" ht="13.5" customHeight="1" x14ac:dyDescent="0.15">
      <c r="A34" s="56" t="s">
        <v>195</v>
      </c>
      <c r="B34" s="111">
        <f>'[6]23기합잔'!A114-26588727</f>
        <v>8862576</v>
      </c>
      <c r="C34" s="102"/>
      <c r="D34" s="111">
        <v>35451303</v>
      </c>
      <c r="E34" s="102"/>
      <c r="F34" s="111">
        <v>8862554</v>
      </c>
      <c r="G34" s="102"/>
      <c r="H34" s="111">
        <v>30665128</v>
      </c>
      <c r="I34" s="114"/>
      <c r="J34" s="69"/>
    </row>
    <row r="35" spans="1:10" ht="13.5" customHeight="1" x14ac:dyDescent="0.15">
      <c r="A35" s="56" t="s">
        <v>196</v>
      </c>
      <c r="B35" s="111">
        <f>'[6]23기합잔'!A116-0</f>
        <v>0</v>
      </c>
      <c r="C35" s="102"/>
      <c r="D35" s="111">
        <v>0</v>
      </c>
      <c r="E35" s="102"/>
      <c r="F35" s="111">
        <v>0</v>
      </c>
      <c r="G35" s="102"/>
      <c r="H35" s="111">
        <v>0</v>
      </c>
      <c r="I35" s="114"/>
      <c r="J35" s="69"/>
    </row>
    <row r="36" spans="1:10" ht="13.5" customHeight="1" x14ac:dyDescent="0.15">
      <c r="A36" s="56" t="s">
        <v>197</v>
      </c>
      <c r="B36" s="111">
        <f>'[6]23기합잔'!A117-16837380</f>
        <v>5342570</v>
      </c>
      <c r="C36" s="102"/>
      <c r="D36" s="111">
        <v>22179950</v>
      </c>
      <c r="E36" s="102"/>
      <c r="F36" s="111">
        <v>3259460</v>
      </c>
      <c r="G36" s="102"/>
      <c r="H36" s="111">
        <v>19257130</v>
      </c>
      <c r="I36" s="114"/>
      <c r="J36" s="69"/>
    </row>
    <row r="37" spans="1:10" ht="13.5" customHeight="1" x14ac:dyDescent="0.15">
      <c r="A37" s="56" t="s">
        <v>198</v>
      </c>
      <c r="B37" s="111">
        <f>'[6]23기합잔'!A118-222960</f>
        <v>338000</v>
      </c>
      <c r="C37" s="102"/>
      <c r="D37" s="111">
        <v>560960</v>
      </c>
      <c r="E37" s="102"/>
      <c r="F37" s="111">
        <v>281000</v>
      </c>
      <c r="G37" s="102"/>
      <c r="H37" s="111">
        <v>281000</v>
      </c>
      <c r="I37" s="114"/>
      <c r="J37" s="69"/>
    </row>
    <row r="38" spans="1:10" ht="13.5" customHeight="1" x14ac:dyDescent="0.15">
      <c r="A38" s="56" t="s">
        <v>199</v>
      </c>
      <c r="B38" s="111"/>
      <c r="C38" s="102"/>
      <c r="D38" s="111"/>
      <c r="E38" s="102"/>
      <c r="F38" s="111"/>
      <c r="G38" s="102"/>
      <c r="H38" s="111"/>
      <c r="I38" s="114"/>
      <c r="J38" s="69"/>
    </row>
    <row r="39" spans="1:10" ht="13.5" customHeight="1" thickBot="1" x14ac:dyDescent="0.2">
      <c r="A39" s="72" t="s">
        <v>200</v>
      </c>
      <c r="B39" s="120">
        <f>'[6]23기합잔'!A120-0</f>
        <v>0</v>
      </c>
      <c r="C39" s="121"/>
      <c r="D39" s="120">
        <v>0</v>
      </c>
      <c r="E39" s="121"/>
      <c r="F39" s="120">
        <v>0</v>
      </c>
      <c r="G39" s="121"/>
      <c r="H39" s="120">
        <v>597413</v>
      </c>
      <c r="I39" s="122"/>
      <c r="J39" s="69"/>
    </row>
    <row r="40" spans="1:10" ht="13.5" customHeight="1" x14ac:dyDescent="0.15">
      <c r="A40" s="56" t="s">
        <v>201</v>
      </c>
      <c r="B40" s="111">
        <f>'[6]23기합잔'!A121-815500</f>
        <v>1208543</v>
      </c>
      <c r="C40" s="102"/>
      <c r="D40" s="111">
        <v>2024043</v>
      </c>
      <c r="E40" s="102"/>
      <c r="F40" s="111">
        <v>376500</v>
      </c>
      <c r="G40" s="102"/>
      <c r="H40" s="111">
        <v>1646500</v>
      </c>
      <c r="I40" s="114"/>
      <c r="J40" s="69"/>
    </row>
    <row r="41" spans="1:10" ht="13.5" customHeight="1" x14ac:dyDescent="0.15">
      <c r="A41" s="56" t="s">
        <v>202</v>
      </c>
      <c r="B41" s="111">
        <f>'[6]23기합잔'!A122-116760716</f>
        <v>34631275</v>
      </c>
      <c r="C41" s="102"/>
      <c r="D41" s="111">
        <v>151391991</v>
      </c>
      <c r="E41" s="102"/>
      <c r="F41" s="111">
        <v>38276961</v>
      </c>
      <c r="G41" s="102"/>
      <c r="H41" s="111">
        <v>157950533</v>
      </c>
      <c r="I41" s="114"/>
      <c r="J41" s="69"/>
    </row>
    <row r="42" spans="1:10" ht="13.5" customHeight="1" x14ac:dyDescent="0.15">
      <c r="A42" s="56" t="s">
        <v>203</v>
      </c>
      <c r="B42" s="111">
        <f>'[6]23기합잔'!A123-351000909</f>
        <v>102301612</v>
      </c>
      <c r="C42" s="102"/>
      <c r="D42" s="111">
        <v>453302521</v>
      </c>
      <c r="E42" s="102"/>
      <c r="F42" s="111">
        <v>66726897</v>
      </c>
      <c r="G42" s="102"/>
      <c r="H42" s="111">
        <v>331286386</v>
      </c>
      <c r="I42" s="114"/>
      <c r="J42" s="69"/>
    </row>
    <row r="43" spans="1:10" ht="13.5" customHeight="1" x14ac:dyDescent="0.15">
      <c r="A43" s="56" t="s">
        <v>204</v>
      </c>
      <c r="B43" s="111">
        <f>'[6]23기합잔'!A124-0</f>
        <v>0</v>
      </c>
      <c r="C43" s="102"/>
      <c r="D43" s="111">
        <v>0</v>
      </c>
      <c r="E43" s="102"/>
      <c r="F43" s="111">
        <v>0</v>
      </c>
      <c r="G43" s="102"/>
      <c r="H43" s="111">
        <v>0</v>
      </c>
      <c r="I43" s="114"/>
      <c r="J43" s="69"/>
    </row>
    <row r="44" spans="1:10" ht="13.5" customHeight="1" x14ac:dyDescent="0.15">
      <c r="A44" s="56" t="s">
        <v>205</v>
      </c>
      <c r="B44" s="111">
        <f>'[6]23기합잔'!A125-2500000</f>
        <v>0</v>
      </c>
      <c r="C44" s="102"/>
      <c r="D44" s="111">
        <v>2500000</v>
      </c>
      <c r="E44" s="102"/>
      <c r="F44" s="111">
        <v>0</v>
      </c>
      <c r="G44" s="102"/>
      <c r="H44" s="111">
        <v>1400000</v>
      </c>
      <c r="I44" s="114"/>
      <c r="J44" s="69"/>
    </row>
    <row r="45" spans="1:10" ht="13.5" customHeight="1" x14ac:dyDescent="0.15">
      <c r="A45" s="56" t="s">
        <v>206</v>
      </c>
      <c r="B45" s="111">
        <f>'[6]23기합잔'!A126-4044972</f>
        <v>339100</v>
      </c>
      <c r="C45" s="102"/>
      <c r="D45" s="111">
        <v>4384072</v>
      </c>
      <c r="E45" s="102"/>
      <c r="F45" s="111">
        <v>6147168</v>
      </c>
      <c r="G45" s="102"/>
      <c r="H45" s="111">
        <v>14456338</v>
      </c>
      <c r="I45" s="114"/>
      <c r="J45" s="69"/>
    </row>
    <row r="46" spans="1:10" ht="13.5" customHeight="1" x14ac:dyDescent="0.15">
      <c r="A46" s="56" t="s">
        <v>207</v>
      </c>
      <c r="B46" s="111">
        <f>'[6]23기합잔'!A127-249719413</f>
        <v>476792449</v>
      </c>
      <c r="C46" s="100"/>
      <c r="D46" s="111">
        <v>726511862</v>
      </c>
      <c r="E46" s="100"/>
      <c r="F46" s="111">
        <v>-15932445</v>
      </c>
      <c r="G46" s="100"/>
      <c r="H46" s="111">
        <v>-25227147</v>
      </c>
      <c r="I46" s="114"/>
      <c r="J46" s="69"/>
    </row>
    <row r="47" spans="1:10" ht="13.5" customHeight="1" x14ac:dyDescent="0.15">
      <c r="A47" s="56" t="s">
        <v>208</v>
      </c>
      <c r="B47" s="118">
        <f>'[6]23기합잔'!A128-33548825</f>
        <v>10544700</v>
      </c>
      <c r="C47" s="100"/>
      <c r="D47" s="118">
        <v>44093525</v>
      </c>
      <c r="E47" s="100"/>
      <c r="F47" s="118">
        <v>11474607</v>
      </c>
      <c r="G47" s="100"/>
      <c r="H47" s="118">
        <v>45448431</v>
      </c>
      <c r="I47" s="114"/>
      <c r="J47" s="69"/>
    </row>
    <row r="48" spans="1:10" ht="13.5" customHeight="1" x14ac:dyDescent="0.15">
      <c r="A48" s="56"/>
      <c r="B48" s="111"/>
      <c r="C48" s="102"/>
      <c r="D48" s="111"/>
      <c r="E48" s="102"/>
      <c r="F48" s="111"/>
      <c r="G48" s="102"/>
      <c r="H48" s="111"/>
      <c r="I48" s="114"/>
    </row>
    <row r="49" spans="1:10" ht="13.5" customHeight="1" x14ac:dyDescent="0.15">
      <c r="A49" s="56" t="s">
        <v>209</v>
      </c>
      <c r="B49" s="111"/>
      <c r="C49" s="102">
        <f>+C24-C26</f>
        <v>-2054035898</v>
      </c>
      <c r="D49" s="111"/>
      <c r="E49" s="102">
        <v>-3395474734</v>
      </c>
      <c r="F49" s="111"/>
      <c r="G49" s="102">
        <v>497661173</v>
      </c>
      <c r="H49" s="111"/>
      <c r="I49" s="114">
        <v>2634637726</v>
      </c>
    </row>
    <row r="50" spans="1:10" ht="13.5" customHeight="1" x14ac:dyDescent="0.15">
      <c r="A50" s="56"/>
      <c r="B50" s="111"/>
      <c r="C50" s="100"/>
      <c r="D50" s="111"/>
      <c r="E50" s="100"/>
      <c r="F50" s="111"/>
      <c r="G50" s="100"/>
      <c r="H50" s="111"/>
      <c r="I50" s="114"/>
    </row>
    <row r="51" spans="1:10" ht="13.5" customHeight="1" x14ac:dyDescent="0.15">
      <c r="A51" s="56" t="s">
        <v>210</v>
      </c>
      <c r="B51" s="111"/>
      <c r="C51" s="100">
        <f>SUM(B52:B63)</f>
        <v>1169327477</v>
      </c>
      <c r="D51" s="111"/>
      <c r="E51" s="100">
        <v>13991720921</v>
      </c>
      <c r="F51" s="111"/>
      <c r="G51" s="100">
        <v>3970970095</v>
      </c>
      <c r="H51" s="111"/>
      <c r="I51" s="114">
        <v>11082919920</v>
      </c>
    </row>
    <row r="52" spans="1:10" ht="13.5" customHeight="1" x14ac:dyDescent="0.15">
      <c r="A52" s="56" t="s">
        <v>211</v>
      </c>
      <c r="B52" s="111">
        <f>'[6]23기합잔'!E129-377221526</f>
        <v>239356589</v>
      </c>
      <c r="C52" s="100"/>
      <c r="D52" s="111">
        <v>616578115</v>
      </c>
      <c r="E52" s="100"/>
      <c r="F52" s="111">
        <v>95684238</v>
      </c>
      <c r="G52" s="100"/>
      <c r="H52" s="111">
        <v>270288720</v>
      </c>
      <c r="I52" s="114"/>
      <c r="J52" s="69"/>
    </row>
    <row r="53" spans="1:10" ht="13.5" customHeight="1" x14ac:dyDescent="0.15">
      <c r="A53" s="56" t="s">
        <v>212</v>
      </c>
      <c r="B53" s="111">
        <f>'[6]23기합잔'!E130-8908226884</f>
        <v>18149200</v>
      </c>
      <c r="C53" s="102"/>
      <c r="D53" s="111">
        <v>8926376084</v>
      </c>
      <c r="E53" s="102"/>
      <c r="F53" s="111">
        <v>2041205358</v>
      </c>
      <c r="G53" s="102"/>
      <c r="H53" s="111">
        <v>2586761758</v>
      </c>
      <c r="I53" s="114"/>
      <c r="J53" s="69"/>
    </row>
    <row r="54" spans="1:10" ht="13.5" customHeight="1" x14ac:dyDescent="0.15">
      <c r="A54" s="56" t="s">
        <v>213</v>
      </c>
      <c r="B54" s="111">
        <f>'[6]23기합잔'!E131-1114643490</f>
        <v>536250866</v>
      </c>
      <c r="C54" s="102"/>
      <c r="D54" s="111">
        <v>1650894356</v>
      </c>
      <c r="E54" s="102"/>
      <c r="F54" s="111">
        <v>283201793</v>
      </c>
      <c r="G54" s="102"/>
      <c r="H54" s="111">
        <v>1037573958</v>
      </c>
      <c r="I54" s="114"/>
      <c r="J54" s="69"/>
    </row>
    <row r="55" spans="1:10" ht="13.5" customHeight="1" x14ac:dyDescent="0.15">
      <c r="A55" s="56" t="s">
        <v>214</v>
      </c>
      <c r="B55" s="111">
        <f>'[6]23기합잔'!E135-106649637</f>
        <v>23402051</v>
      </c>
      <c r="C55" s="102"/>
      <c r="D55" s="111">
        <v>130051688</v>
      </c>
      <c r="E55" s="102"/>
      <c r="F55" s="111">
        <v>-4687065</v>
      </c>
      <c r="G55" s="102"/>
      <c r="H55" s="111">
        <v>144121948</v>
      </c>
      <c r="I55" s="114"/>
      <c r="J55" s="69"/>
    </row>
    <row r="56" spans="1:10" ht="13.5" customHeight="1" x14ac:dyDescent="0.15">
      <c r="A56" s="56" t="s">
        <v>215</v>
      </c>
      <c r="B56" s="111">
        <f>'[6]23기합잔'!E133-0</f>
        <v>0</v>
      </c>
      <c r="C56" s="102"/>
      <c r="D56" s="111">
        <v>0</v>
      </c>
      <c r="E56" s="102"/>
      <c r="F56" s="111">
        <v>0</v>
      </c>
      <c r="G56" s="102"/>
      <c r="H56" s="111">
        <v>0</v>
      </c>
      <c r="I56" s="114"/>
      <c r="J56" s="69"/>
    </row>
    <row r="57" spans="1:10" ht="13.5" customHeight="1" x14ac:dyDescent="0.15">
      <c r="A57" s="56" t="s">
        <v>216</v>
      </c>
      <c r="B57" s="111">
        <f>'[6]23기합잔'!E134-206365472</f>
        <v>91421093</v>
      </c>
      <c r="C57" s="102"/>
      <c r="D57" s="111">
        <v>297786565</v>
      </c>
      <c r="E57" s="102"/>
      <c r="F57" s="111">
        <v>717805809</v>
      </c>
      <c r="G57" s="102"/>
      <c r="H57" s="111">
        <v>4294386067</v>
      </c>
      <c r="I57" s="114"/>
      <c r="J57" s="69"/>
    </row>
    <row r="58" spans="1:10" ht="13.5" customHeight="1" x14ac:dyDescent="0.15">
      <c r="A58" s="56" t="s">
        <v>217</v>
      </c>
      <c r="B58" s="111">
        <f>'[6]23기합잔'!E132-1530009218</f>
        <v>-1318355590</v>
      </c>
      <c r="C58" s="102"/>
      <c r="D58" s="111">
        <v>211653628</v>
      </c>
      <c r="E58" s="102"/>
      <c r="F58" s="111">
        <v>87715920</v>
      </c>
      <c r="G58" s="102"/>
      <c r="H58" s="111">
        <v>410515811</v>
      </c>
      <c r="I58" s="114"/>
      <c r="J58" s="69"/>
    </row>
    <row r="59" spans="1:10" ht="13.5" customHeight="1" x14ac:dyDescent="0.15">
      <c r="A59" s="56" t="s">
        <v>218</v>
      </c>
      <c r="B59" s="111">
        <f>'[6]23기합잔'!E137-37230000</f>
        <v>93162120</v>
      </c>
      <c r="C59" s="102"/>
      <c r="D59" s="111">
        <v>130392120</v>
      </c>
      <c r="E59" s="102"/>
      <c r="F59" s="111">
        <v>141008380</v>
      </c>
      <c r="G59" s="102"/>
      <c r="H59" s="111">
        <v>141008380</v>
      </c>
      <c r="I59" s="114"/>
      <c r="J59" s="69"/>
    </row>
    <row r="60" spans="1:10" ht="13.5" customHeight="1" x14ac:dyDescent="0.15">
      <c r="A60" s="56" t="s">
        <v>219</v>
      </c>
      <c r="B60" s="111">
        <f>'[6]23기합잔'!E138-528547217</f>
        <v>1481441148</v>
      </c>
      <c r="C60" s="100"/>
      <c r="D60" s="111">
        <v>2009988365</v>
      </c>
      <c r="E60" s="100"/>
      <c r="F60" s="111">
        <v>604535662</v>
      </c>
      <c r="G60" s="100"/>
      <c r="H60" s="111">
        <v>2128265278</v>
      </c>
      <c r="I60" s="114"/>
      <c r="J60" s="117"/>
    </row>
    <row r="61" spans="1:10" ht="13.5" customHeight="1" x14ac:dyDescent="0.15">
      <c r="A61" s="56" t="s">
        <v>220</v>
      </c>
      <c r="B61" s="111">
        <f>'[6]23기합잔'!E139-0</f>
        <v>0</v>
      </c>
      <c r="C61" s="100"/>
      <c r="D61" s="111">
        <v>0</v>
      </c>
      <c r="E61" s="100"/>
      <c r="F61" s="111">
        <v>0</v>
      </c>
      <c r="G61" s="100"/>
      <c r="H61" s="111">
        <v>51998000</v>
      </c>
      <c r="I61" s="114"/>
      <c r="J61" s="69"/>
    </row>
    <row r="62" spans="1:10" ht="13.5" customHeight="1" x14ac:dyDescent="0.15">
      <c r="A62" s="56" t="s">
        <v>221</v>
      </c>
      <c r="B62" s="111">
        <f>'[6]23기합잔'!E136-13500000</f>
        <v>4500000</v>
      </c>
      <c r="C62" s="102"/>
      <c r="D62" s="111">
        <v>18000000</v>
      </c>
      <c r="E62" s="102"/>
      <c r="F62" s="111">
        <v>4500000</v>
      </c>
      <c r="G62" s="102"/>
      <c r="H62" s="111">
        <v>18000000</v>
      </c>
      <c r="I62" s="114"/>
      <c r="J62" s="69"/>
    </row>
    <row r="63" spans="1:10" ht="13.5" customHeight="1" x14ac:dyDescent="0.15">
      <c r="A63" s="56" t="s">
        <v>222</v>
      </c>
      <c r="B63" s="118">
        <f>'[6]23기합잔'!E141-0</f>
        <v>0</v>
      </c>
      <c r="C63" s="102"/>
      <c r="D63" s="118">
        <v>0</v>
      </c>
      <c r="E63" s="102"/>
      <c r="F63" s="118"/>
      <c r="G63" s="102"/>
      <c r="H63" s="118"/>
      <c r="I63" s="114"/>
      <c r="J63" s="69"/>
    </row>
    <row r="64" spans="1:10" ht="13.5" customHeight="1" x14ac:dyDescent="0.15">
      <c r="A64" s="56"/>
      <c r="B64" s="123"/>
      <c r="C64" s="102"/>
      <c r="D64" s="123"/>
      <c r="E64" s="102"/>
      <c r="F64" s="123"/>
      <c r="G64" s="102"/>
      <c r="H64" s="123"/>
      <c r="I64" s="114"/>
    </row>
    <row r="65" spans="1:10" ht="13.5" customHeight="1" x14ac:dyDescent="0.15">
      <c r="A65" s="56" t="s">
        <v>223</v>
      </c>
      <c r="B65" s="111"/>
      <c r="C65" s="102">
        <f>SUM(B66:B76)</f>
        <v>3498863675</v>
      </c>
      <c r="D65" s="111"/>
      <c r="E65" s="102">
        <v>6526647208</v>
      </c>
      <c r="F65" s="111"/>
      <c r="G65" s="102">
        <v>6836599733</v>
      </c>
      <c r="H65" s="111"/>
      <c r="I65" s="114">
        <v>10090273543</v>
      </c>
    </row>
    <row r="66" spans="1:10" ht="13.5" customHeight="1" x14ac:dyDescent="0.15">
      <c r="A66" s="56" t="s">
        <v>224</v>
      </c>
      <c r="B66" s="111">
        <f>'[6]23기합잔'!A142-224263265</f>
        <v>79995340</v>
      </c>
      <c r="C66" s="102"/>
      <c r="D66" s="111">
        <v>304258605</v>
      </c>
      <c r="E66" s="102"/>
      <c r="F66" s="111">
        <v>28543918</v>
      </c>
      <c r="G66" s="102"/>
      <c r="H66" s="111">
        <v>34083735</v>
      </c>
      <c r="I66" s="114"/>
      <c r="J66" s="69"/>
    </row>
    <row r="67" spans="1:10" ht="13.5" customHeight="1" x14ac:dyDescent="0.15">
      <c r="A67" s="56" t="s">
        <v>225</v>
      </c>
      <c r="B67" s="111">
        <f>'[6]23기합잔'!A143-166738460</f>
        <v>166254401</v>
      </c>
      <c r="C67" s="102"/>
      <c r="D67" s="111">
        <v>332992861</v>
      </c>
      <c r="E67" s="102"/>
      <c r="F67" s="111">
        <v>30949527</v>
      </c>
      <c r="G67" s="102"/>
      <c r="H67" s="111">
        <v>91896217</v>
      </c>
      <c r="I67" s="114"/>
      <c r="J67" s="69"/>
    </row>
    <row r="68" spans="1:10" ht="13.5" customHeight="1" x14ac:dyDescent="0.15">
      <c r="A68" s="56" t="s">
        <v>226</v>
      </c>
      <c r="B68" s="111">
        <f>'[6]23기합잔'!A145-1322514</f>
        <v>243978</v>
      </c>
      <c r="C68" s="102"/>
      <c r="D68" s="111">
        <v>1566492</v>
      </c>
      <c r="E68" s="102"/>
      <c r="F68" s="111">
        <v>150000003</v>
      </c>
      <c r="G68" s="102"/>
      <c r="H68" s="111">
        <v>154528562</v>
      </c>
      <c r="I68" s="114"/>
      <c r="J68" s="69"/>
    </row>
    <row r="69" spans="1:10" ht="13.5" customHeight="1" x14ac:dyDescent="0.15">
      <c r="A69" s="56" t="s">
        <v>227</v>
      </c>
      <c r="B69" s="111">
        <f>'[6]23기합잔'!A144-56330907</f>
        <v>661277128</v>
      </c>
      <c r="C69" s="102"/>
      <c r="D69" s="111">
        <v>717608035</v>
      </c>
      <c r="E69" s="102"/>
      <c r="F69" s="111">
        <v>15209783</v>
      </c>
      <c r="G69" s="102"/>
      <c r="H69" s="111">
        <v>38289901</v>
      </c>
      <c r="I69" s="114"/>
      <c r="J69" s="69"/>
    </row>
    <row r="70" spans="1:10" ht="13.5" customHeight="1" x14ac:dyDescent="0.15">
      <c r="A70" s="56" t="s">
        <v>228</v>
      </c>
      <c r="B70" s="111">
        <f>'[6]23기합잔'!A146-2000000000</f>
        <v>385111883</v>
      </c>
      <c r="C70" s="102"/>
      <c r="D70" s="111">
        <v>2385111883</v>
      </c>
      <c r="E70" s="102"/>
      <c r="F70" s="111">
        <v>3763554321</v>
      </c>
      <c r="G70" s="102"/>
      <c r="H70" s="111">
        <v>5772130089</v>
      </c>
      <c r="I70" s="114"/>
      <c r="J70" s="69"/>
    </row>
    <row r="71" spans="1:10" ht="13.5" customHeight="1" x14ac:dyDescent="0.15">
      <c r="A71" s="56" t="s">
        <v>229</v>
      </c>
      <c r="B71" s="111">
        <f>'[6]23기합잔'!A148-332560909</f>
        <v>1794600887</v>
      </c>
      <c r="C71" s="102"/>
      <c r="D71" s="111">
        <v>2127161796</v>
      </c>
      <c r="E71" s="102"/>
      <c r="F71" s="111">
        <v>2225755981</v>
      </c>
      <c r="G71" s="102"/>
      <c r="H71" s="111">
        <v>3376726922</v>
      </c>
      <c r="I71" s="114"/>
      <c r="J71" s="69"/>
    </row>
    <row r="72" spans="1:10" ht="13.5" customHeight="1" thickBot="1" x14ac:dyDescent="0.2">
      <c r="A72" s="72" t="s">
        <v>230</v>
      </c>
      <c r="B72" s="120">
        <f>'[6]23기합잔'!A149</f>
        <v>0</v>
      </c>
      <c r="C72" s="121"/>
      <c r="D72" s="120">
        <v>0</v>
      </c>
      <c r="E72" s="121"/>
      <c r="F72" s="120">
        <v>0</v>
      </c>
      <c r="G72" s="121"/>
      <c r="H72" s="120">
        <v>0</v>
      </c>
      <c r="I72" s="122"/>
      <c r="J72" s="69"/>
    </row>
    <row r="73" spans="1:10" ht="13.5" customHeight="1" x14ac:dyDescent="0.15">
      <c r="A73" s="56" t="s">
        <v>231</v>
      </c>
      <c r="B73" s="111">
        <f>'[6]23기합잔'!A150-240562478</f>
        <v>0</v>
      </c>
      <c r="C73" s="102"/>
      <c r="D73" s="111">
        <v>240562478</v>
      </c>
      <c r="E73" s="102"/>
      <c r="F73" s="111">
        <v>620586200</v>
      </c>
      <c r="G73" s="102"/>
      <c r="H73" s="111">
        <v>620616117</v>
      </c>
      <c r="I73" s="114"/>
      <c r="J73" s="69"/>
    </row>
    <row r="74" spans="1:10" ht="13.5" customHeight="1" x14ac:dyDescent="0.15">
      <c r="A74" s="56" t="s">
        <v>232</v>
      </c>
      <c r="B74" s="111">
        <f>'[6]23기합잔'!A147-3000000</f>
        <v>0</v>
      </c>
      <c r="C74" s="102"/>
      <c r="D74" s="111">
        <v>3000000</v>
      </c>
      <c r="E74" s="102"/>
      <c r="F74" s="111">
        <v>2000000</v>
      </c>
      <c r="G74" s="102"/>
      <c r="H74" s="111">
        <v>2000000</v>
      </c>
      <c r="I74" s="114"/>
      <c r="J74" s="69"/>
    </row>
    <row r="75" spans="1:10" ht="13.5" customHeight="1" x14ac:dyDescent="0.15">
      <c r="A75" s="56" t="s">
        <v>233</v>
      </c>
      <c r="B75" s="111">
        <f>'[6]23기합잔'!A151-3000000</f>
        <v>411375058</v>
      </c>
      <c r="C75" s="102"/>
      <c r="D75" s="111">
        <v>414375058</v>
      </c>
      <c r="E75" s="102"/>
      <c r="F75" s="111"/>
      <c r="G75" s="102"/>
      <c r="H75" s="111"/>
      <c r="I75" s="114"/>
      <c r="J75" s="69"/>
    </row>
    <row r="76" spans="1:10" ht="13.5" customHeight="1" x14ac:dyDescent="0.15">
      <c r="A76" s="56" t="s">
        <v>234</v>
      </c>
      <c r="B76" s="111">
        <f>'[6]23기합잔'!A152-5000</f>
        <v>5000</v>
      </c>
      <c r="C76" s="102"/>
      <c r="D76" s="111">
        <v>10000</v>
      </c>
      <c r="E76" s="102"/>
      <c r="F76" s="111">
        <v>0</v>
      </c>
      <c r="G76" s="102"/>
      <c r="H76" s="111">
        <v>2000</v>
      </c>
      <c r="I76" s="114"/>
      <c r="J76" s="69"/>
    </row>
    <row r="77" spans="1:10" ht="13.5" customHeight="1" x14ac:dyDescent="0.15">
      <c r="A77" s="56" t="s">
        <v>235</v>
      </c>
      <c r="B77" s="124">
        <f>0</f>
        <v>0</v>
      </c>
      <c r="C77" s="101"/>
      <c r="D77" s="125"/>
      <c r="E77" s="100"/>
      <c r="F77" s="118">
        <v>0</v>
      </c>
      <c r="G77" s="102"/>
      <c r="H77" s="118"/>
      <c r="I77" s="114"/>
      <c r="J77" s="69"/>
    </row>
    <row r="78" spans="1:10" ht="13.5" customHeight="1" x14ac:dyDescent="0.15">
      <c r="A78" s="56"/>
      <c r="B78" s="111"/>
      <c r="C78" s="102"/>
      <c r="D78" s="111"/>
      <c r="E78" s="102"/>
      <c r="F78" s="111"/>
      <c r="G78" s="102"/>
      <c r="H78" s="111"/>
      <c r="I78" s="114"/>
    </row>
    <row r="79" spans="1:10" ht="13.5" customHeight="1" x14ac:dyDescent="0.15">
      <c r="A79" s="56" t="s">
        <v>236</v>
      </c>
      <c r="B79" s="111"/>
      <c r="C79" s="102">
        <f>+C49+C51-C65</f>
        <v>-4383572096</v>
      </c>
      <c r="D79" s="111"/>
      <c r="E79" s="102">
        <v>4069598979</v>
      </c>
      <c r="F79" s="111"/>
      <c r="G79" s="102">
        <v>-2367968465</v>
      </c>
      <c r="H79" s="111"/>
      <c r="I79" s="114">
        <v>3627284103</v>
      </c>
    </row>
    <row r="80" spans="1:10" ht="13.5" customHeight="1" x14ac:dyDescent="0.15">
      <c r="A80" s="56"/>
      <c r="B80" s="111"/>
      <c r="C80" s="126"/>
      <c r="D80" s="111"/>
      <c r="E80" s="126"/>
      <c r="F80" s="111"/>
      <c r="G80" s="126"/>
      <c r="H80" s="111"/>
      <c r="I80" s="127"/>
    </row>
    <row r="81" spans="1:10" ht="13.5" customHeight="1" x14ac:dyDescent="0.15">
      <c r="A81" s="56" t="s">
        <v>237</v>
      </c>
      <c r="B81" s="111"/>
      <c r="C81" s="102">
        <f>+C79</f>
        <v>-4383572096</v>
      </c>
      <c r="D81" s="111"/>
      <c r="E81" s="102">
        <v>4069598979</v>
      </c>
      <c r="F81" s="111"/>
      <c r="G81" s="102">
        <v>-2367968465</v>
      </c>
      <c r="H81" s="111"/>
      <c r="I81" s="114">
        <v>3627284103</v>
      </c>
    </row>
    <row r="82" spans="1:10" ht="13.5" customHeight="1" x14ac:dyDescent="0.15">
      <c r="A82" s="56"/>
      <c r="B82" s="111"/>
      <c r="C82" s="102"/>
      <c r="D82" s="111"/>
      <c r="E82" s="102"/>
      <c r="F82" s="111"/>
      <c r="G82" s="102"/>
      <c r="H82" s="111"/>
      <c r="I82" s="114"/>
    </row>
    <row r="83" spans="1:10" ht="13.5" customHeight="1" x14ac:dyDescent="0.15">
      <c r="A83" s="56" t="s">
        <v>238</v>
      </c>
      <c r="B83" s="111"/>
      <c r="C83" s="102">
        <f>+'[6]23기합잔'!B190-1610979362</f>
        <v>-1652544513</v>
      </c>
      <c r="D83" s="111"/>
      <c r="E83" s="102">
        <v>-41565151</v>
      </c>
      <c r="F83" s="111"/>
      <c r="G83" s="102">
        <v>-934457808</v>
      </c>
      <c r="H83" s="111"/>
      <c r="I83" s="114">
        <v>422900897</v>
      </c>
    </row>
    <row r="84" spans="1:10" ht="13.5" customHeight="1" x14ac:dyDescent="0.15">
      <c r="A84" s="56"/>
      <c r="B84" s="111"/>
      <c r="C84" s="102"/>
      <c r="D84" s="111"/>
      <c r="E84" s="102"/>
      <c r="F84" s="111"/>
      <c r="G84" s="102"/>
      <c r="H84" s="111"/>
      <c r="I84" s="114"/>
    </row>
    <row r="85" spans="1:10" ht="13.5" customHeight="1" x14ac:dyDescent="0.15">
      <c r="A85" s="56" t="s">
        <v>239</v>
      </c>
      <c r="B85" s="111"/>
      <c r="C85" s="128">
        <f>+C81-C83</f>
        <v>-2731027583</v>
      </c>
      <c r="D85" s="111"/>
      <c r="E85" s="128">
        <v>4111164130</v>
      </c>
      <c r="F85" s="111"/>
      <c r="G85" s="128">
        <v>-1433510657</v>
      </c>
      <c r="H85" s="111"/>
      <c r="I85" s="129">
        <v>3204383206</v>
      </c>
    </row>
    <row r="86" spans="1:10" ht="13.5" customHeight="1" x14ac:dyDescent="0.15">
      <c r="A86" s="56"/>
      <c r="B86" s="111"/>
      <c r="C86" s="102"/>
      <c r="D86" s="111"/>
      <c r="E86" s="102"/>
      <c r="F86" s="111"/>
      <c r="G86" s="102"/>
      <c r="H86" s="111"/>
      <c r="I86" s="114"/>
    </row>
    <row r="87" spans="1:10" ht="13.5" customHeight="1" thickBot="1" x14ac:dyDescent="0.2">
      <c r="A87" s="72"/>
      <c r="B87" s="120"/>
      <c r="C87" s="121"/>
      <c r="D87" s="120"/>
      <c r="E87" s="121"/>
      <c r="F87" s="120"/>
      <c r="G87" s="121"/>
      <c r="H87" s="120"/>
      <c r="I87" s="122"/>
    </row>
    <row r="88" spans="1:10" ht="13.5" customHeight="1" x14ac:dyDescent="0.15"/>
    <row r="89" spans="1:10" x14ac:dyDescent="0.15">
      <c r="B89" s="113"/>
      <c r="C89" s="99">
        <v>0.17195623621894715</v>
      </c>
      <c r="E89" s="99">
        <v>0.17195623621894715</v>
      </c>
      <c r="G89" s="99">
        <v>0.17195623621894715</v>
      </c>
      <c r="I89" s="99">
        <v>0.13438712306835207</v>
      </c>
    </row>
    <row r="90" spans="1:10" x14ac:dyDescent="0.15">
      <c r="C90" s="105">
        <f>+C85/C11</f>
        <v>-0.28996387626592524</v>
      </c>
      <c r="E90" s="105">
        <f>+E85/E11</f>
        <v>0.10178847269704899</v>
      </c>
      <c r="G90" s="105">
        <f>+G85/G11</f>
        <v>-0.13042907532432907</v>
      </c>
      <c r="I90" s="105">
        <f>+I85/I11</f>
        <v>6.8326740143955969E-2</v>
      </c>
    </row>
    <row r="91" spans="1:10" x14ac:dyDescent="0.15">
      <c r="B91" s="130"/>
      <c r="C91" s="131"/>
      <c r="D91" s="130"/>
      <c r="E91" s="131"/>
      <c r="F91" s="130"/>
      <c r="G91" s="131"/>
      <c r="I91" s="105"/>
    </row>
    <row r="92" spans="1:10" x14ac:dyDescent="0.15">
      <c r="A92" s="48" t="s">
        <v>240</v>
      </c>
      <c r="B92" s="132"/>
      <c r="C92" s="132"/>
      <c r="D92" s="132"/>
      <c r="E92" s="132"/>
      <c r="F92" s="132"/>
      <c r="G92" s="132"/>
      <c r="I92" s="99"/>
    </row>
    <row r="93" spans="1:10" x14ac:dyDescent="0.15">
      <c r="A93" s="48" t="s">
        <v>241</v>
      </c>
      <c r="B93" s="132"/>
      <c r="C93" s="132"/>
      <c r="D93" s="132"/>
      <c r="E93" s="132"/>
      <c r="F93" s="132"/>
      <c r="G93" s="132"/>
    </row>
    <row r="94" spans="1:10" x14ac:dyDescent="0.15">
      <c r="A94" s="48" t="s">
        <v>242</v>
      </c>
      <c r="B94" s="132"/>
      <c r="C94" s="132"/>
      <c r="D94" s="132"/>
      <c r="E94" s="132"/>
      <c r="F94" s="132"/>
      <c r="G94" s="132"/>
      <c r="I94" s="117"/>
    </row>
    <row r="95" spans="1:10" x14ac:dyDescent="0.15">
      <c r="A95" s="48" t="s">
        <v>243</v>
      </c>
      <c r="B95" s="132"/>
      <c r="C95" s="132"/>
      <c r="D95" s="132"/>
      <c r="E95" s="132"/>
      <c r="F95" s="132"/>
      <c r="G95" s="132"/>
      <c r="I95" s="133"/>
    </row>
    <row r="96" spans="1:10" x14ac:dyDescent="0.15">
      <c r="B96" s="132"/>
      <c r="C96" s="132"/>
      <c r="D96" s="132"/>
      <c r="E96" s="132"/>
      <c r="F96" s="132"/>
      <c r="G96" s="132"/>
      <c r="I96" s="133"/>
      <c r="J96" s="100"/>
    </row>
    <row r="97" spans="1:10" x14ac:dyDescent="0.15">
      <c r="A97" s="48" t="s">
        <v>244</v>
      </c>
      <c r="B97" s="105"/>
      <c r="C97" s="105">
        <f>+C49/C11</f>
        <v>-0.21808502216560757</v>
      </c>
      <c r="D97" s="105"/>
      <c r="E97" s="105">
        <f>+E49/E11</f>
        <v>-8.4068691087572478E-2</v>
      </c>
      <c r="F97" s="105"/>
      <c r="G97" s="105">
        <f>+G49/G11</f>
        <v>4.5280086549932749E-2</v>
      </c>
      <c r="I97" s="105">
        <f>+I49/I11</f>
        <v>5.6178114696393486E-2</v>
      </c>
      <c r="J97" s="100"/>
    </row>
    <row r="98" spans="1:10" x14ac:dyDescent="0.15">
      <c r="B98" s="134"/>
      <c r="C98" s="135"/>
      <c r="D98" s="134"/>
      <c r="E98" s="135"/>
      <c r="F98" s="134"/>
      <c r="G98" s="135"/>
      <c r="H98" s="134"/>
      <c r="I98" s="135"/>
      <c r="J98" s="100"/>
    </row>
    <row r="99" spans="1:10" x14ac:dyDescent="0.15">
      <c r="B99" s="134"/>
      <c r="C99" s="135"/>
      <c r="D99" s="134"/>
      <c r="E99" s="136">
        <f>E83/E79</f>
        <v>-1.0213574166517404E-2</v>
      </c>
      <c r="F99" s="134"/>
      <c r="G99" s="135"/>
      <c r="H99" s="134"/>
      <c r="I99" s="135"/>
      <c r="J99" s="100"/>
    </row>
    <row r="100" spans="1:10" x14ac:dyDescent="0.15">
      <c r="B100" s="134"/>
      <c r="C100" s="135"/>
      <c r="D100" s="134"/>
      <c r="E100" s="135"/>
      <c r="F100" s="134"/>
      <c r="G100" s="135"/>
      <c r="H100" s="134"/>
      <c r="I100" s="135"/>
      <c r="J100" s="100"/>
    </row>
  </sheetData>
  <mergeCells count="2">
    <mergeCell ref="B8:E9"/>
    <mergeCell ref="F8:I9"/>
  </mergeCells>
  <phoneticPr fontId="4" type="noConversion"/>
  <printOptions gridLinesSet="0"/>
  <pageMargins left="0.67" right="0.23622047244094491" top="0.98425196850393704" bottom="0.62" header="0.51181102362204722" footer="0.51181102362204722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4" zoomScale="89" zoomScaleNormal="89" workbookViewId="0">
      <pane xSplit="1" ySplit="2" topLeftCell="B24" activePane="bottomRight" state="frozen"/>
      <selection activeCell="A4" sqref="A4"/>
      <selection pane="topRight" activeCell="B4" sqref="B4"/>
      <selection pane="bottomLeft" activeCell="A6" sqref="A6"/>
      <selection pane="bottomRight" activeCell="K42" sqref="K42"/>
    </sheetView>
  </sheetViews>
  <sheetFormatPr defaultRowHeight="16.5" x14ac:dyDescent="0.3"/>
  <cols>
    <col min="1" max="1" width="27.5" style="137" customWidth="1"/>
    <col min="2" max="8" width="16.625" style="137" customWidth="1"/>
    <col min="9" max="9" width="13.75" style="137" bestFit="1" customWidth="1"/>
    <col min="10" max="10" width="17.625" style="137" customWidth="1"/>
    <col min="11" max="11" width="15.875" style="197" bestFit="1" customWidth="1"/>
    <col min="12" max="16384" width="9" style="137"/>
  </cols>
  <sheetData>
    <row r="1" spans="1:11" x14ac:dyDescent="0.3">
      <c r="A1" s="193" t="s">
        <v>245</v>
      </c>
      <c r="B1" s="193"/>
      <c r="C1" s="193"/>
      <c r="D1" s="193"/>
      <c r="E1" s="193"/>
      <c r="F1" s="193"/>
      <c r="G1" s="193"/>
      <c r="H1" s="193"/>
    </row>
    <row r="3" spans="1:11" x14ac:dyDescent="0.3">
      <c r="A3" s="138" t="s">
        <v>246</v>
      </c>
      <c r="B3" s="139"/>
      <c r="C3" s="139"/>
      <c r="D3" s="139"/>
      <c r="E3" s="139"/>
      <c r="F3" s="139"/>
      <c r="G3" s="139"/>
      <c r="H3" s="139"/>
    </row>
    <row r="4" spans="1:11" x14ac:dyDescent="0.3">
      <c r="A4" s="138"/>
      <c r="B4" s="139"/>
      <c r="C4" s="139"/>
      <c r="D4" s="139"/>
      <c r="E4" s="139"/>
      <c r="F4" s="139"/>
      <c r="G4" s="139"/>
      <c r="H4" s="139"/>
    </row>
    <row r="5" spans="1:11" x14ac:dyDescent="0.3">
      <c r="A5" s="140" t="s">
        <v>247</v>
      </c>
      <c r="B5" s="141" t="s">
        <v>248</v>
      </c>
      <c r="C5" s="141"/>
      <c r="D5" s="141" t="s">
        <v>249</v>
      </c>
      <c r="E5" s="141" t="s">
        <v>250</v>
      </c>
      <c r="F5" s="141" t="s">
        <v>251</v>
      </c>
      <c r="G5" s="140" t="s">
        <v>252</v>
      </c>
      <c r="H5" s="140" t="s">
        <v>253</v>
      </c>
      <c r="I5" s="194"/>
      <c r="J5" s="194" t="s">
        <v>298</v>
      </c>
      <c r="K5" s="198" t="s">
        <v>301</v>
      </c>
    </row>
    <row r="6" spans="1:11" x14ac:dyDescent="0.3">
      <c r="A6" s="142" t="s">
        <v>254</v>
      </c>
      <c r="B6" s="143"/>
      <c r="C6" s="143"/>
      <c r="D6" s="143"/>
      <c r="E6" s="143"/>
      <c r="F6" s="143"/>
      <c r="G6" s="144"/>
      <c r="H6" s="144"/>
    </row>
    <row r="7" spans="1:11" x14ac:dyDescent="0.3">
      <c r="A7" s="145" t="s">
        <v>255</v>
      </c>
      <c r="B7" s="143">
        <v>7669220360</v>
      </c>
      <c r="C7" s="143"/>
      <c r="D7" s="146">
        <f>[7]소득금액조정합계표!C24</f>
        <v>0</v>
      </c>
      <c r="E7" s="146">
        <f>[7]소득금액조정합계표!F25+[7]소득금액조정합계표!F26</f>
        <v>760836356</v>
      </c>
      <c r="F7" s="143">
        <f>B7+D7-E7</f>
        <v>6908384004</v>
      </c>
      <c r="G7" s="144"/>
      <c r="H7" s="144">
        <f>F7</f>
        <v>6908384004</v>
      </c>
      <c r="I7" s="147"/>
      <c r="J7" s="137" t="s">
        <v>299</v>
      </c>
      <c r="K7" s="197">
        <f>IF(J7="O",F7,0)</f>
        <v>6908384004</v>
      </c>
    </row>
    <row r="8" spans="1:11" x14ac:dyDescent="0.3">
      <c r="A8" s="145" t="s">
        <v>256</v>
      </c>
      <c r="B8" s="143">
        <v>1318532494</v>
      </c>
      <c r="C8" s="143"/>
      <c r="D8" s="148">
        <f>[7]소득금액조정합계표!C44+[7]소득금액조정합계표!C46+[7]소득금액조정합계표!C48+[7]소득금액조정합계표!C50</f>
        <v>514722415</v>
      </c>
      <c r="E8" s="143"/>
      <c r="F8" s="143">
        <f>B8+D8-E8</f>
        <v>1833254909</v>
      </c>
      <c r="G8" s="144">
        <f t="shared" ref="G8:G14" si="0">F8</f>
        <v>1833254909</v>
      </c>
      <c r="H8" s="144"/>
      <c r="J8" s="137" t="s">
        <v>299</v>
      </c>
      <c r="K8" s="197">
        <f t="shared" ref="K8:K18" si="1">IF(J8="O",F8,0)</f>
        <v>1833254909</v>
      </c>
    </row>
    <row r="9" spans="1:11" x14ac:dyDescent="0.3">
      <c r="A9" s="149" t="s">
        <v>257</v>
      </c>
      <c r="B9" s="150">
        <v>447803860</v>
      </c>
      <c r="C9" s="150"/>
      <c r="D9" s="151">
        <f>[7]소득금액조정합계표!C31</f>
        <v>1182652192</v>
      </c>
      <c r="E9" s="151">
        <f>[7]소득금액조정합계표!F30</f>
        <v>447803860</v>
      </c>
      <c r="F9" s="143">
        <f>B9+D9-E9</f>
        <v>1182652192</v>
      </c>
      <c r="G9" s="150">
        <f t="shared" si="0"/>
        <v>1182652192</v>
      </c>
      <c r="H9" s="150"/>
      <c r="J9" s="195" t="s">
        <v>300</v>
      </c>
      <c r="K9" s="197">
        <f t="shared" si="1"/>
        <v>0</v>
      </c>
    </row>
    <row r="10" spans="1:11" x14ac:dyDescent="0.3">
      <c r="A10" s="150" t="s">
        <v>258</v>
      </c>
      <c r="B10" s="150">
        <v>2495753649</v>
      </c>
      <c r="C10" s="150"/>
      <c r="D10" s="150">
        <f>[7]소득금액조정합계표!C16+[7]소득금액조정합계표!C19</f>
        <v>1198004532</v>
      </c>
      <c r="E10" s="151">
        <f>[7]소득금액조정합계표!F13</f>
        <v>-476042627</v>
      </c>
      <c r="F10" s="143">
        <f t="shared" ref="F10:F14" si="2">B10+D10-E10</f>
        <v>4169800808</v>
      </c>
      <c r="G10" s="150"/>
      <c r="H10" s="150">
        <f>F10</f>
        <v>4169800808</v>
      </c>
      <c r="K10" s="197">
        <f t="shared" si="1"/>
        <v>0</v>
      </c>
    </row>
    <row r="11" spans="1:11" x14ac:dyDescent="0.3">
      <c r="A11" s="150" t="s">
        <v>259</v>
      </c>
      <c r="B11" s="150">
        <v>15925834719</v>
      </c>
      <c r="C11" s="150"/>
      <c r="D11" s="151">
        <f>[7]소득금액조정합계표!C59+[7]소득금액조정합계표!C56+[7]소득금액조정합계표!C57</f>
        <v>2708820383</v>
      </c>
      <c r="E11" s="150"/>
      <c r="F11" s="143">
        <f t="shared" si="2"/>
        <v>18634655102</v>
      </c>
      <c r="G11" s="150"/>
      <c r="H11" s="150">
        <f>F11</f>
        <v>18634655102</v>
      </c>
      <c r="K11" s="197">
        <f t="shared" si="1"/>
        <v>0</v>
      </c>
    </row>
    <row r="12" spans="1:11" x14ac:dyDescent="0.3">
      <c r="A12" s="150" t="s">
        <v>260</v>
      </c>
      <c r="B12" s="150">
        <v>1313219362</v>
      </c>
      <c r="C12" s="150"/>
      <c r="D12" s="151">
        <f>[7]소득금액조정합계표!C42</f>
        <v>513000000</v>
      </c>
      <c r="E12" s="152">
        <f>[7]소득금액조정합계표!F42</f>
        <v>545239955</v>
      </c>
      <c r="F12" s="143">
        <f t="shared" si="2"/>
        <v>1280979407</v>
      </c>
      <c r="G12" s="150"/>
      <c r="H12" s="150">
        <f>F12</f>
        <v>1280979407</v>
      </c>
      <c r="J12" s="137" t="s">
        <v>299</v>
      </c>
      <c r="K12" s="197">
        <f t="shared" si="1"/>
        <v>1280979407</v>
      </c>
    </row>
    <row r="13" spans="1:11" x14ac:dyDescent="0.3">
      <c r="A13" s="150" t="s">
        <v>261</v>
      </c>
      <c r="B13" s="150">
        <v>0</v>
      </c>
      <c r="C13" s="150"/>
      <c r="D13" s="151">
        <f>[7]소득금액조정합계표!C6</f>
        <v>672334577</v>
      </c>
      <c r="E13" s="152">
        <f>[7]소득금액조정합계표!F6</f>
        <v>0</v>
      </c>
      <c r="F13" s="143">
        <f t="shared" si="2"/>
        <v>672334577</v>
      </c>
      <c r="G13" s="150"/>
      <c r="H13" s="150">
        <f>F13</f>
        <v>672334577</v>
      </c>
      <c r="K13" s="197">
        <f t="shared" si="1"/>
        <v>0</v>
      </c>
    </row>
    <row r="14" spans="1:11" x14ac:dyDescent="0.3">
      <c r="A14" s="150" t="s">
        <v>262</v>
      </c>
      <c r="B14" s="150">
        <v>0</v>
      </c>
      <c r="C14" s="150"/>
      <c r="D14" s="150">
        <f>[7]소득금액조정합계표!C7</f>
        <v>0</v>
      </c>
      <c r="E14" s="151">
        <f>[7]소득금액조정합계표!F28</f>
        <v>0</v>
      </c>
      <c r="F14" s="143">
        <f t="shared" si="2"/>
        <v>0</v>
      </c>
      <c r="G14" s="150">
        <f t="shared" si="0"/>
        <v>0</v>
      </c>
      <c r="H14" s="150"/>
      <c r="J14" s="137" t="s">
        <v>299</v>
      </c>
      <c r="K14" s="197">
        <f t="shared" si="1"/>
        <v>0</v>
      </c>
    </row>
    <row r="15" spans="1:11" x14ac:dyDescent="0.3">
      <c r="A15" s="153" t="s">
        <v>263</v>
      </c>
      <c r="B15" s="150"/>
      <c r="C15" s="150"/>
      <c r="D15" s="150"/>
      <c r="E15" s="150"/>
      <c r="F15" s="150"/>
      <c r="G15" s="150"/>
      <c r="H15" s="150"/>
      <c r="K15" s="197">
        <f t="shared" si="1"/>
        <v>0</v>
      </c>
    </row>
    <row r="16" spans="1:11" x14ac:dyDescent="0.3">
      <c r="A16" s="152" t="s">
        <v>265</v>
      </c>
      <c r="B16" s="152">
        <v>83935369</v>
      </c>
      <c r="C16" s="152"/>
      <c r="D16" s="150"/>
      <c r="E16" s="150"/>
      <c r="F16" s="150">
        <f>B16+D16-E16</f>
        <v>83935369</v>
      </c>
      <c r="G16" s="150"/>
      <c r="H16" s="150">
        <f>F16</f>
        <v>83935369</v>
      </c>
      <c r="K16" s="197">
        <f t="shared" si="1"/>
        <v>0</v>
      </c>
    </row>
    <row r="17" spans="1:11" x14ac:dyDescent="0.3">
      <c r="A17" s="150" t="s">
        <v>266</v>
      </c>
      <c r="B17" s="150">
        <v>280395394</v>
      </c>
      <c r="C17" s="150"/>
      <c r="D17" s="151">
        <f>[7]소득금액조정합계표!C35</f>
        <v>493979843</v>
      </c>
      <c r="E17" s="151">
        <f>[7]소득금액조정합계표!F35</f>
        <v>280395294</v>
      </c>
      <c r="F17" s="150">
        <f>B17+D17-E17</f>
        <v>493979943</v>
      </c>
      <c r="G17" s="150">
        <f>F17</f>
        <v>493979943</v>
      </c>
      <c r="H17" s="150"/>
      <c r="K17" s="197">
        <f t="shared" si="1"/>
        <v>0</v>
      </c>
    </row>
    <row r="18" spans="1:11" x14ac:dyDescent="0.3">
      <c r="A18" s="152" t="s">
        <v>267</v>
      </c>
      <c r="B18" s="152"/>
      <c r="C18" s="152"/>
      <c r="D18" s="150"/>
      <c r="E18" s="151">
        <f>[7]소득금액조정합계표!F65</f>
        <v>0</v>
      </c>
      <c r="F18" s="150">
        <f>B18+D18-E18</f>
        <v>0</v>
      </c>
      <c r="G18" s="150"/>
      <c r="H18" s="150">
        <f>F18</f>
        <v>0</v>
      </c>
      <c r="K18" s="197">
        <f t="shared" si="1"/>
        <v>0</v>
      </c>
    </row>
    <row r="19" spans="1:11" ht="17.25" thickBot="1" x14ac:dyDescent="0.35">
      <c r="A19" s="154" t="s">
        <v>268</v>
      </c>
      <c r="B19" s="155">
        <f>SUM(B7:B18)</f>
        <v>29534695207</v>
      </c>
      <c r="C19" s="155"/>
      <c r="D19" s="155">
        <f>SUM(D7:D18)</f>
        <v>7283513942</v>
      </c>
      <c r="E19" s="155">
        <f>SUM(E7:E18)</f>
        <v>1558232838</v>
      </c>
      <c r="F19" s="155">
        <f>SUM(F7:F18)</f>
        <v>35259976311</v>
      </c>
      <c r="G19" s="155">
        <f>SUM(G7:G18)</f>
        <v>3509887044</v>
      </c>
      <c r="H19" s="155">
        <f>SUM(H7:H18)</f>
        <v>31750089267</v>
      </c>
      <c r="J19" s="196"/>
      <c r="K19" s="199">
        <f>SUM(K7:K18)</f>
        <v>10022618320</v>
      </c>
    </row>
    <row r="20" spans="1:11" ht="17.25" thickTop="1" x14ac:dyDescent="0.3">
      <c r="A20" s="150" t="s">
        <v>269</v>
      </c>
      <c r="B20" s="150">
        <v>447803857</v>
      </c>
      <c r="C20" s="150"/>
      <c r="D20" s="143"/>
      <c r="E20" s="150"/>
      <c r="F20" s="143">
        <f>F9</f>
        <v>1182652192</v>
      </c>
      <c r="G20" s="143">
        <f>F20</f>
        <v>1182652192</v>
      </c>
      <c r="H20" s="143">
        <v>0</v>
      </c>
    </row>
    <row r="21" spans="1:11" x14ac:dyDescent="0.3">
      <c r="A21" s="150" t="s">
        <v>270</v>
      </c>
      <c r="B21" s="143">
        <v>29086891247</v>
      </c>
      <c r="C21" s="143"/>
      <c r="D21" s="143"/>
      <c r="E21" s="143"/>
      <c r="F21" s="143">
        <f>F19-F20</f>
        <v>34077324119</v>
      </c>
      <c r="G21" s="156">
        <f>G19-G20</f>
        <v>2327234852</v>
      </c>
      <c r="H21" s="156">
        <f>H19-H20</f>
        <v>31750089267</v>
      </c>
    </row>
    <row r="22" spans="1:11" x14ac:dyDescent="0.3">
      <c r="A22" s="157" t="s">
        <v>271</v>
      </c>
      <c r="B22" s="143" t="s">
        <v>272</v>
      </c>
      <c r="C22" s="143"/>
      <c r="D22" s="143"/>
      <c r="E22" s="143"/>
      <c r="F22" s="143"/>
      <c r="G22" s="158">
        <v>0.21</v>
      </c>
      <c r="H22" s="158">
        <v>0.21</v>
      </c>
      <c r="K22" s="200">
        <f>H22</f>
        <v>0.21</v>
      </c>
    </row>
    <row r="23" spans="1:11" ht="17.25" thickBot="1" x14ac:dyDescent="0.35">
      <c r="A23" s="150" t="s">
        <v>273</v>
      </c>
      <c r="B23" s="143">
        <f>ROUND(B21*22%,0)</f>
        <v>6399116074</v>
      </c>
      <c r="C23" s="143"/>
      <c r="D23" s="150"/>
      <c r="E23" s="150"/>
      <c r="F23" s="150"/>
      <c r="G23" s="150">
        <f>ROUND(G21*G22,)</f>
        <v>488719319</v>
      </c>
      <c r="H23" s="150">
        <f>ROUND(H21*H22,)</f>
        <v>6667518746</v>
      </c>
      <c r="J23" s="196"/>
      <c r="K23" s="199">
        <f>K19*K22</f>
        <v>2104749847.1999998</v>
      </c>
    </row>
    <row r="24" spans="1:11" ht="17.25" thickTop="1" x14ac:dyDescent="0.3">
      <c r="A24" s="150"/>
      <c r="B24" s="150"/>
      <c r="C24" s="150"/>
      <c r="D24" s="150"/>
      <c r="E24" s="150"/>
      <c r="F24" s="150"/>
      <c r="G24" s="150"/>
      <c r="H24" s="150"/>
    </row>
    <row r="25" spans="1:11" x14ac:dyDescent="0.3">
      <c r="A25" s="159" t="s">
        <v>274</v>
      </c>
      <c r="B25" s="143"/>
      <c r="C25" s="143"/>
      <c r="D25" s="143"/>
      <c r="E25" s="157"/>
      <c r="F25" s="143"/>
      <c r="G25" s="157"/>
      <c r="H25" s="157"/>
    </row>
    <row r="26" spans="1:11" x14ac:dyDescent="0.3">
      <c r="A26" s="157" t="s">
        <v>275</v>
      </c>
      <c r="B26" s="143">
        <v>-78863934</v>
      </c>
      <c r="C26" s="143"/>
      <c r="D26" s="146">
        <f>-[7]소득금액조정합계표!F8</f>
        <v>-225820949</v>
      </c>
      <c r="E26" s="146">
        <f>-[7]소득금액조정합계표!C8</f>
        <v>-78863934</v>
      </c>
      <c r="F26" s="143">
        <f t="shared" ref="F26:F32" si="3">B26+D26-E26</f>
        <v>-225820949</v>
      </c>
      <c r="G26" s="157">
        <f t="shared" ref="G26" si="4">F26</f>
        <v>-225820949</v>
      </c>
      <c r="H26" s="157"/>
      <c r="K26" s="197">
        <f t="shared" ref="K26:K35" si="5">IF(J26="O",F26,0)</f>
        <v>0</v>
      </c>
    </row>
    <row r="27" spans="1:11" x14ac:dyDescent="0.3">
      <c r="A27" s="157" t="s">
        <v>276</v>
      </c>
      <c r="B27" s="143">
        <v>0</v>
      </c>
      <c r="C27" s="143"/>
      <c r="D27" s="146">
        <f>-[7]소득금액조정합계표!F5</f>
        <v>0</v>
      </c>
      <c r="E27" s="146">
        <f>-[7]소득금액조정합계표!C5</f>
        <v>0</v>
      </c>
      <c r="F27" s="143">
        <f>B27+D27-E27</f>
        <v>0</v>
      </c>
      <c r="G27" s="157">
        <f>F27</f>
        <v>0</v>
      </c>
      <c r="H27" s="157"/>
      <c r="K27" s="197">
        <f t="shared" si="5"/>
        <v>0</v>
      </c>
    </row>
    <row r="28" spans="1:11" x14ac:dyDescent="0.3">
      <c r="A28" s="157" t="s">
        <v>277</v>
      </c>
      <c r="B28" s="143">
        <v>-1608449458</v>
      </c>
      <c r="C28" s="143"/>
      <c r="D28" s="146">
        <f>-[7]소득금액조정합계표!F61</f>
        <v>0</v>
      </c>
      <c r="E28" s="146">
        <f>-[7]소득금액조정합계표!C62</f>
        <v>-298694148</v>
      </c>
      <c r="F28" s="143">
        <f t="shared" si="3"/>
        <v>-1309755310</v>
      </c>
      <c r="G28" s="157"/>
      <c r="H28" s="157">
        <f>F28</f>
        <v>-1309755310</v>
      </c>
      <c r="K28" s="197">
        <f t="shared" si="5"/>
        <v>0</v>
      </c>
    </row>
    <row r="29" spans="1:11" x14ac:dyDescent="0.3">
      <c r="A29" s="150" t="s">
        <v>278</v>
      </c>
      <c r="B29" s="150">
        <v>0</v>
      </c>
      <c r="C29" s="150"/>
      <c r="D29" s="150"/>
      <c r="E29" s="151">
        <f>-[7]소득금액조정합계표!C33</f>
        <v>0</v>
      </c>
      <c r="F29" s="143">
        <f t="shared" si="3"/>
        <v>0</v>
      </c>
      <c r="G29" s="157"/>
      <c r="H29" s="157">
        <f>F29</f>
        <v>0</v>
      </c>
      <c r="J29" s="137" t="s">
        <v>299</v>
      </c>
      <c r="K29" s="197">
        <f t="shared" si="5"/>
        <v>0</v>
      </c>
    </row>
    <row r="30" spans="1:11" x14ac:dyDescent="0.3">
      <c r="A30" s="150" t="s">
        <v>279</v>
      </c>
      <c r="B30" s="150">
        <v>-6128466122</v>
      </c>
      <c r="C30" s="150"/>
      <c r="D30" s="151">
        <f>-[7]소득금액조정합계표!F23</f>
        <v>-1329824224</v>
      </c>
      <c r="E30" s="151">
        <f>-[7]소득금액조정합계표!C25</f>
        <v>-662777339</v>
      </c>
      <c r="F30" s="143">
        <f>B30+D30-E30</f>
        <v>-6795513007</v>
      </c>
      <c r="G30" s="157"/>
      <c r="H30" s="157">
        <f>F30</f>
        <v>-6795513007</v>
      </c>
      <c r="J30" s="137" t="s">
        <v>299</v>
      </c>
      <c r="K30" s="197">
        <f t="shared" si="5"/>
        <v>-6795513007</v>
      </c>
    </row>
    <row r="31" spans="1:11" x14ac:dyDescent="0.3">
      <c r="A31" s="150" t="s">
        <v>280</v>
      </c>
      <c r="B31" s="150">
        <v>-8034801320</v>
      </c>
      <c r="C31" s="150"/>
      <c r="D31" s="151">
        <f>-[7]소득금액조정합계표!F12-[7]소득금액조정합계표!F15</f>
        <v>0</v>
      </c>
      <c r="E31" s="150">
        <f>-[7]소득금액조정합계표!C18</f>
        <v>1142157084</v>
      </c>
      <c r="F31" s="143">
        <f>B31+D31-E31</f>
        <v>-9176958404</v>
      </c>
      <c r="G31" s="157"/>
      <c r="H31" s="157">
        <f t="shared" ref="H31:H32" si="6">F31</f>
        <v>-9176958404</v>
      </c>
      <c r="K31" s="197">
        <f t="shared" si="5"/>
        <v>0</v>
      </c>
    </row>
    <row r="32" spans="1:11" x14ac:dyDescent="0.3">
      <c r="A32" s="150" t="s">
        <v>264</v>
      </c>
      <c r="B32" s="150">
        <v>-2849895451</v>
      </c>
      <c r="C32" s="150"/>
      <c r="D32" s="150"/>
      <c r="E32" s="150"/>
      <c r="F32" s="143">
        <f t="shared" si="3"/>
        <v>-2849895451</v>
      </c>
      <c r="G32" s="157"/>
      <c r="H32" s="157">
        <f t="shared" si="6"/>
        <v>-2849895451</v>
      </c>
      <c r="K32" s="197">
        <f t="shared" si="5"/>
        <v>0</v>
      </c>
    </row>
    <row r="33" spans="1:11" x14ac:dyDescent="0.3">
      <c r="A33" s="153" t="s">
        <v>263</v>
      </c>
      <c r="B33" s="150"/>
      <c r="C33" s="150"/>
      <c r="D33" s="150"/>
      <c r="E33" s="150"/>
      <c r="F33" s="150"/>
      <c r="G33" s="150"/>
      <c r="H33" s="150"/>
      <c r="K33" s="197">
        <f t="shared" si="5"/>
        <v>0</v>
      </c>
    </row>
    <row r="34" spans="1:11" x14ac:dyDescent="0.3">
      <c r="A34" s="152" t="s">
        <v>281</v>
      </c>
      <c r="B34" s="152">
        <v>-2931336713</v>
      </c>
      <c r="C34" s="152"/>
      <c r="D34" s="150"/>
      <c r="E34" s="150"/>
      <c r="F34" s="150">
        <f>B34+D34-E34</f>
        <v>-2931336713</v>
      </c>
      <c r="G34" s="150"/>
      <c r="H34" s="157">
        <f t="shared" ref="H34:H35" si="7">F34</f>
        <v>-2931336713</v>
      </c>
      <c r="K34" s="197">
        <f t="shared" si="5"/>
        <v>0</v>
      </c>
    </row>
    <row r="35" spans="1:11" x14ac:dyDescent="0.3">
      <c r="A35" s="150" t="s">
        <v>282</v>
      </c>
      <c r="B35" s="150">
        <v>0</v>
      </c>
      <c r="C35" s="150"/>
      <c r="D35" s="151">
        <f>[7]소득금액조정합계표!C40</f>
        <v>0</v>
      </c>
      <c r="E35" s="151"/>
      <c r="F35" s="150">
        <f>B35+D35-E35</f>
        <v>0</v>
      </c>
      <c r="G35" s="150"/>
      <c r="H35" s="157">
        <f t="shared" si="7"/>
        <v>0</v>
      </c>
      <c r="K35" s="197">
        <f t="shared" si="5"/>
        <v>0</v>
      </c>
    </row>
    <row r="36" spans="1:11" ht="17.25" thickBot="1" x14ac:dyDescent="0.35">
      <c r="A36" s="154" t="s">
        <v>268</v>
      </c>
      <c r="B36" s="159">
        <f t="shared" ref="B36:H36" si="8">SUM(B26:B35)</f>
        <v>-21631812998</v>
      </c>
      <c r="C36" s="159"/>
      <c r="D36" s="159">
        <f t="shared" si="8"/>
        <v>-1555645173</v>
      </c>
      <c r="E36" s="159">
        <f t="shared" si="8"/>
        <v>101821663</v>
      </c>
      <c r="F36" s="159">
        <f t="shared" si="8"/>
        <v>-23289279834</v>
      </c>
      <c r="G36" s="159">
        <f t="shared" si="8"/>
        <v>-225820949</v>
      </c>
      <c r="H36" s="159">
        <f t="shared" si="8"/>
        <v>-23063458885</v>
      </c>
      <c r="J36" s="196"/>
      <c r="K36" s="199">
        <f>SUM(K24:K35)</f>
        <v>-6795513007</v>
      </c>
    </row>
    <row r="37" spans="1:11" ht="17.25" thickTop="1" x14ac:dyDescent="0.3">
      <c r="A37" s="150" t="s">
        <v>283</v>
      </c>
      <c r="B37" s="157"/>
      <c r="C37" s="157"/>
      <c r="D37" s="157"/>
      <c r="E37" s="157"/>
      <c r="F37" s="157"/>
      <c r="G37" s="157">
        <v>0</v>
      </c>
      <c r="H37" s="157">
        <v>0</v>
      </c>
    </row>
    <row r="38" spans="1:11" x14ac:dyDescent="0.3">
      <c r="A38" s="150" t="s">
        <v>284</v>
      </c>
      <c r="B38" s="143">
        <f>B36</f>
        <v>-21631812998</v>
      </c>
      <c r="C38" s="143"/>
      <c r="D38" s="143"/>
      <c r="E38" s="143"/>
      <c r="F38" s="143"/>
      <c r="G38" s="157">
        <f>G36-G37</f>
        <v>-225820949</v>
      </c>
      <c r="H38" s="157">
        <f>H36-H37</f>
        <v>-23063458885</v>
      </c>
    </row>
    <row r="39" spans="1:11" x14ac:dyDescent="0.3">
      <c r="A39" s="145" t="s">
        <v>271</v>
      </c>
      <c r="B39" s="143" t="s">
        <v>272</v>
      </c>
      <c r="C39" s="143"/>
      <c r="D39" s="143"/>
      <c r="E39" s="143"/>
      <c r="F39" s="143"/>
      <c r="G39" s="158">
        <v>0.21</v>
      </c>
      <c r="H39" s="158">
        <v>0.21</v>
      </c>
      <c r="K39" s="200">
        <f>H39</f>
        <v>0.21</v>
      </c>
    </row>
    <row r="40" spans="1:11" x14ac:dyDescent="0.3">
      <c r="A40" s="145" t="s">
        <v>285</v>
      </c>
      <c r="B40" s="143">
        <f>ROUND(B38*22%,0)</f>
        <v>-4758998860</v>
      </c>
      <c r="C40" s="143"/>
      <c r="D40" s="143"/>
      <c r="E40" s="143"/>
      <c r="F40" s="143"/>
      <c r="G40" s="143">
        <f>ROUND(G38*G39,)</f>
        <v>-47422399</v>
      </c>
      <c r="H40" s="143">
        <f>ROUND(H38*H39,)</f>
        <v>-4843326366</v>
      </c>
      <c r="K40" s="197">
        <f>K36*K39</f>
        <v>-1427057731.47</v>
      </c>
    </row>
    <row r="41" spans="1:11" x14ac:dyDescent="0.3">
      <c r="A41" s="157"/>
      <c r="B41" s="143"/>
      <c r="C41" s="143"/>
      <c r="D41" s="143"/>
      <c r="E41" s="143"/>
      <c r="F41" s="143"/>
      <c r="G41" s="143"/>
      <c r="H41" s="143"/>
    </row>
    <row r="42" spans="1:11" ht="17.25" thickBot="1" x14ac:dyDescent="0.35">
      <c r="A42" s="153" t="s">
        <v>286</v>
      </c>
      <c r="B42" s="150">
        <f>B23+B40</f>
        <v>1640117214</v>
      </c>
      <c r="C42" s="150"/>
      <c r="D42" s="150"/>
      <c r="E42" s="150"/>
      <c r="F42" s="150"/>
      <c r="G42" s="150">
        <f>G23+G40</f>
        <v>441296920</v>
      </c>
      <c r="H42" s="150">
        <f>H23+H40</f>
        <v>1824192380</v>
      </c>
      <c r="J42" s="196"/>
      <c r="K42" s="199">
        <f>K23+K40</f>
        <v>677692115.72999978</v>
      </c>
    </row>
    <row r="43" spans="1:11" ht="17.25" thickTop="1" x14ac:dyDescent="0.3">
      <c r="A43" s="160"/>
      <c r="B43" s="160"/>
      <c r="C43" s="160"/>
      <c r="D43" s="160"/>
      <c r="E43" s="160"/>
      <c r="F43" s="160"/>
      <c r="G43" s="160"/>
      <c r="H43" s="139"/>
    </row>
    <row r="44" spans="1:11" x14ac:dyDescent="0.3">
      <c r="A44" s="161"/>
      <c r="B44" s="161" t="s">
        <v>287</v>
      </c>
      <c r="C44" s="161"/>
      <c r="D44" s="160"/>
      <c r="E44" s="160"/>
      <c r="F44" s="160"/>
      <c r="G44" s="160"/>
      <c r="H44" s="139"/>
    </row>
    <row r="45" spans="1:11" x14ac:dyDescent="0.3">
      <c r="A45" s="160"/>
      <c r="B45" s="160"/>
      <c r="C45" s="160"/>
      <c r="D45" s="160"/>
      <c r="E45" s="160"/>
      <c r="F45" s="162" t="s">
        <v>288</v>
      </c>
      <c r="G45" s="162" t="s">
        <v>289</v>
      </c>
      <c r="H45" s="139"/>
    </row>
    <row r="46" spans="1:11" x14ac:dyDescent="0.3">
      <c r="A46" s="160"/>
      <c r="B46" s="160"/>
      <c r="C46" s="160"/>
      <c r="D46" s="160"/>
      <c r="E46" s="160"/>
      <c r="F46" s="157" t="s">
        <v>290</v>
      </c>
      <c r="G46" s="157">
        <f>1640117221</f>
        <v>1640117221</v>
      </c>
      <c r="H46" s="139"/>
    </row>
    <row r="47" spans="1:11" x14ac:dyDescent="0.3">
      <c r="A47" s="160"/>
      <c r="B47" s="160"/>
      <c r="C47" s="160"/>
      <c r="D47" s="160"/>
      <c r="E47" s="160"/>
      <c r="F47" s="157" t="s">
        <v>291</v>
      </c>
      <c r="G47" s="157">
        <f>G42+H42</f>
        <v>2265489300</v>
      </c>
      <c r="H47" s="139"/>
    </row>
    <row r="48" spans="1:11" x14ac:dyDescent="0.3">
      <c r="A48" s="160"/>
      <c r="B48" s="160"/>
      <c r="C48" s="160"/>
      <c r="D48" s="160"/>
      <c r="E48" s="160"/>
      <c r="F48" s="139"/>
      <c r="G48" s="139">
        <f>G47-G46</f>
        <v>625372079</v>
      </c>
      <c r="H48" s="139" t="s">
        <v>292</v>
      </c>
    </row>
    <row r="49" spans="4:5" x14ac:dyDescent="0.3">
      <c r="D49" s="137" t="s">
        <v>293</v>
      </c>
    </row>
    <row r="50" spans="4:5" x14ac:dyDescent="0.3">
      <c r="D50" s="147">
        <f>D19-E36</f>
        <v>7181692279</v>
      </c>
      <c r="E50" s="147">
        <f>E19-D36</f>
        <v>3113878011</v>
      </c>
    </row>
    <row r="51" spans="4:5" x14ac:dyDescent="0.3">
      <c r="D51" s="163">
        <f>[7]소득금액조정합계표!C71</f>
        <v>7181692279</v>
      </c>
      <c r="E51" s="163">
        <f>[7]소득금액조정합계표!F71</f>
        <v>3113878011</v>
      </c>
    </row>
    <row r="52" spans="4:5" x14ac:dyDescent="0.3">
      <c r="D52" s="163">
        <f>D50-D51</f>
        <v>0</v>
      </c>
      <c r="E52" s="163">
        <f>E50-E51</f>
        <v>0</v>
      </c>
    </row>
  </sheetData>
  <mergeCells count="1">
    <mergeCell ref="A1:H1"/>
  </mergeCells>
  <phoneticPr fontId="4" type="noConversion"/>
  <conditionalFormatting sqref="A22:A23">
    <cfRule type="duplicateValues" dxfId="0" priority="1"/>
  </conditionalFormatting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1. 매출 구분</vt:lpstr>
      <vt:lpstr>2. 제조원명세서</vt:lpstr>
      <vt:lpstr>3-1. 2022년재무상태표</vt:lpstr>
      <vt:lpstr>3-2. 2022년손익계산서</vt:lpstr>
      <vt:lpstr>4. 이연법인세산출내역</vt:lpstr>
      <vt:lpstr>'3-1. 2022년재무상태표'!Print_Area</vt:lpstr>
      <vt:lpstr>'3-2. 2022년손익계산서'!Print_Area</vt:lpstr>
      <vt:lpstr>'3-1. 2022년재무상태표'!Print_Titles</vt:lpstr>
      <vt:lpstr>'3-2. 2022년손익계산서'!Print_Titles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YUJINOH</dc:creator>
  <cp:lastModifiedBy>다.최수민</cp:lastModifiedBy>
  <dcterms:created xsi:type="dcterms:W3CDTF">2024-01-11T00:02:42Z</dcterms:created>
  <dcterms:modified xsi:type="dcterms:W3CDTF">2024-02-07T08:30:18Z</dcterms:modified>
</cp:coreProperties>
</file>